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drawings/drawing9.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E385663A-8E45-4CFF-8E3C-EF6698C6EA98}" xr6:coauthVersionLast="47" xr6:coauthVersionMax="47" xr10:uidLastSave="{00000000-0000-0000-0000-000000000000}"/>
  <bookViews>
    <workbookView xWindow="-120" yWindow="-120" windowWidth="29040" windowHeight="15840" tabRatio="872" firstSheet="6" activeTab="6" xr2:uid="{61C84AEA-A539-4D70-AFD9-121B78DC1838}"/>
  </bookViews>
  <sheets>
    <sheet name="DIPA4_PUSDIK (2)" sheetId="6" state="hidden" r:id="rId1"/>
    <sheet name="DIPA Revisi 3" sheetId="38" r:id="rId2"/>
    <sheet name="SP2D ON" sheetId="23" r:id="rId3"/>
    <sheet name="Pagu Per Jenis Akun2" sheetId="44" state="hidden" r:id="rId4"/>
    <sheet name="Pagu Per Jenis Akun" sheetId="45" r:id="rId5"/>
    <sheet name="Sisa Per Jenis Akun" sheetId="43" r:id="rId6"/>
    <sheet name="PERAKUN" sheetId="20" r:id="rId7"/>
    <sheet name="GUP TUP" sheetId="22" r:id="rId8"/>
    <sheet name="Sheet1" sheetId="46" r:id="rId9"/>
    <sheet name="SP2D" sheetId="16" r:id="rId10"/>
    <sheet name="SP2D Gaji" sheetId="32" r:id="rId11"/>
    <sheet name="PER BULAN" sheetId="13" r:id="rId12"/>
    <sheet name="Real SPAN vs SAKTI (Tanpa Gaji)" sheetId="40" r:id="rId13"/>
    <sheet name="Real SPAN vs SAKTI (Plus Gaji)" sheetId="41" r:id="rId14"/>
    <sheet name="Real Per Jenis Belanja" sheetId="47" r:id="rId15"/>
    <sheet name="PERSUBBID - Gaji" sheetId="14" r:id="rId16"/>
    <sheet name="PERSUBBID - Gaji Non Blokir" sheetId="34" r:id="rId17"/>
    <sheet name="TANPA GAJI" sheetId="17" r:id="rId18"/>
    <sheet name="PERSUBBID + GAJI" sheetId="33" r:id="rId19"/>
    <sheet name="PERSUBBID + GAJI Non Blokir" sheetId="35" r:id="rId20"/>
    <sheet name="DENGAN GAJI" sheetId="27" r:id="rId21"/>
    <sheet name="DIPA3" sheetId="28" r:id="rId22"/>
    <sheet name="HistoryDIPA" sheetId="39" r:id="rId23"/>
  </sheets>
  <functionGroups builtInGroupCount="19"/>
  <externalReferences>
    <externalReference r:id="rId24"/>
    <externalReference r:id="rId25"/>
    <externalReference r:id="rId26"/>
    <externalReference r:id="rId27"/>
    <externalReference r:id="rId28"/>
  </externalReferences>
  <definedNames>
    <definedName name="_xlnm._FilterDatabase" localSheetId="1" hidden="1">'DIPA Revisi 3'!$A$11:$H$515</definedName>
    <definedName name="_xlnm._FilterDatabase" localSheetId="0" hidden="1">'DIPA4_PUSDIK (2)'!$A$10:$G$587</definedName>
    <definedName name="_xlnm._FilterDatabase" localSheetId="7" hidden="1">'GUP TUP'!$B$5:$I$20</definedName>
    <definedName name="_xlnm._FilterDatabase" localSheetId="4" hidden="1">'Pagu Per Jenis Akun'!$C$6:$P$88</definedName>
    <definedName name="_xlnm._FilterDatabase" localSheetId="3" hidden="1">'Pagu Per Jenis Akun2'!$C$5:$J$261</definedName>
    <definedName name="_xlnm._FilterDatabase" localSheetId="11" hidden="1">'PER BULAN'!$B$4:$BM$246</definedName>
    <definedName name="_xlnm._FilterDatabase" localSheetId="6" hidden="1">PERAKUN!$C$5:$J$261</definedName>
    <definedName name="_xlnm._FilterDatabase" localSheetId="5" hidden="1">'Sisa Per Jenis Akun'!$C$6:$P$88</definedName>
    <definedName name="_xlnm._FilterDatabase" localSheetId="9" hidden="1">'SP2D'!$A$3:$AY$152</definedName>
    <definedName name="_xlnm._FilterDatabase" localSheetId="10"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21">#REF!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21">#REF!</definedName>
    <definedName name="chkAkun" localSheetId="0">'DIPA4_PUSDIK (2)'!$J$21</definedName>
    <definedName name="chkAkun">#REF!</definedName>
    <definedName name="chkKegiatan" localSheetId="1">#REF!</definedName>
    <definedName name="chkKegiatan" localSheetId="21">#REF!</definedName>
    <definedName name="chkKegiatan" localSheetId="0">'DIPA4_PUSDIK (2)'!$J$16</definedName>
    <definedName name="chkKegiatan">#REF!</definedName>
    <definedName name="chkKomponen" localSheetId="1">#REF!</definedName>
    <definedName name="chkKomponen" localSheetId="21">#REF!</definedName>
    <definedName name="chkKomponen" localSheetId="0">'DIPA4_PUSDIK (2)'!$J$19</definedName>
    <definedName name="chkKomponen">#REF!</definedName>
    <definedName name="chkKRO" localSheetId="1">#REF!</definedName>
    <definedName name="chkKRO" localSheetId="21">#REF!</definedName>
    <definedName name="chkKRO" localSheetId="0">'DIPA4_PUSDIK (2)'!$J$17</definedName>
    <definedName name="chkKRO">#REF!</definedName>
    <definedName name="chkProgram" localSheetId="1">#REF!</definedName>
    <definedName name="chkProgram" localSheetId="21">#REF!</definedName>
    <definedName name="chkProgram" localSheetId="0">'DIPA4_PUSDIK (2)'!$J$15</definedName>
    <definedName name="chkProgram">#REF!</definedName>
    <definedName name="chkRO" localSheetId="1">#REF!</definedName>
    <definedName name="chkRO" localSheetId="21">#REF!</definedName>
    <definedName name="chkRO" localSheetId="0">'DIPA4_PUSDIK (2)'!$J$18</definedName>
    <definedName name="chkRO">#REF!</definedName>
    <definedName name="chksKomponen" localSheetId="1">#REF!</definedName>
    <definedName name="chksKomponen" localSheetId="21">#REF!</definedName>
    <definedName name="chksKomponen" localSheetId="0">'DIPA4_PUSDIK (2)'!$J$20</definedName>
    <definedName name="chksKomponen">#REF!</definedName>
    <definedName name="cKegiatan" localSheetId="1">#REF!</definedName>
    <definedName name="cKegiatan" localSheetId="21">#REF!</definedName>
    <definedName name="cKegiatan" localSheetId="0">'DIPA4_PUSDIK (2)'!$I$16</definedName>
    <definedName name="cKegiatan">#REF!</definedName>
    <definedName name="cKomponen" localSheetId="1">#REF!</definedName>
    <definedName name="cKomponen" localSheetId="21">#REF!</definedName>
    <definedName name="cKomponen" localSheetId="0">'DIPA4_PUSDIK (2)'!$I$19</definedName>
    <definedName name="cKomponen">#REF!</definedName>
    <definedName name="cKRO" localSheetId="1">#REF!</definedName>
    <definedName name="cKRO" localSheetId="21">#REF!</definedName>
    <definedName name="cKRO" localSheetId="0">'DIPA4_PUSDIK (2)'!$I$17</definedName>
    <definedName name="cKRO">#REF!</definedName>
    <definedName name="cProgram" localSheetId="1">#REF!</definedName>
    <definedName name="cProgram" localSheetId="21">#REF!</definedName>
    <definedName name="cProgram" localSheetId="0">'DIPA4_PUSDIK (2)'!$I$15</definedName>
    <definedName name="cProgram">#REF!</definedName>
    <definedName name="cRO" localSheetId="1">#REF!</definedName>
    <definedName name="cRO" localSheetId="21">#REF!</definedName>
    <definedName name="cRO" localSheetId="0">'DIPA4_PUSDIK (2)'!$I$18</definedName>
    <definedName name="cRO">#REF!</definedName>
    <definedName name="cSKomponen" localSheetId="1">#REF!</definedName>
    <definedName name="cSKomponen" localSheetId="21">#REF!</definedName>
    <definedName name="cSKomponen" localSheetId="0">'DIPA4_PUSDIK (2)'!$I$20</definedName>
    <definedName name="cSKomponen">#REF!</definedName>
    <definedName name="Entri_Es2" localSheetId="1">#REF!</definedName>
    <definedName name="Entri_Es2" localSheetId="21">#REF!</definedName>
    <definedName name="Entri_Es2">#REF!</definedName>
    <definedName name="Entri_Es3" localSheetId="1">#REF!</definedName>
    <definedName name="Entri_Es3" localSheetId="21">#REF!</definedName>
    <definedName name="Entri_Es3">#REF!</definedName>
    <definedName name="Entri_Es4" localSheetId="1">#REF!</definedName>
    <definedName name="Entri_Es4" localSheetId="21">#REF!</definedName>
    <definedName name="Entri_Es4">#REF!</definedName>
    <definedName name="Eselon3">[2]eselon3_4!$A$2:$A$7</definedName>
    <definedName name="Eselon4">[2]eselon3_4!$B$2:$B$11</definedName>
    <definedName name="ExternalData_1" localSheetId="21" hidden="1">DIPA3!$A$1:$B$276</definedName>
    <definedName name="FILTER_LAP" localSheetId="1">#REF!</definedName>
    <definedName name="FILTER_LAP" localSheetId="21">'[1]DASHBOARD SP2D'!#REF!</definedName>
    <definedName name="FILTER_LAP">'[1]DASHBOARD SP2D'!#REF!</definedName>
    <definedName name="kegiatan" localSheetId="1">#REF!</definedName>
    <definedName name="kegiatan" localSheetId="21">[3]DIPA_AWAL!$T$2:$T$2</definedName>
    <definedName name="kegiatan">#REF!</definedName>
    <definedName name="_xlnm.Print_Area" localSheetId="20">'DENGAN GAJI'!$A$1:$U$61</definedName>
    <definedName name="_xlnm.Print_Area" localSheetId="1">'DIPA Revisi 3'!$A$1:$G$526</definedName>
    <definedName name="_xlnm.Print_Area" localSheetId="0">'DIPA4_PUSDIK (2)'!$B$1:$G$2221</definedName>
    <definedName name="_xlnm.Print_Area" localSheetId="7">'GUP TUP'!$B$5:$I$20</definedName>
    <definedName name="_xlnm.Print_Area" localSheetId="4">'Pagu Per Jenis Akun'!$C$1:$P$221</definedName>
    <definedName name="_xlnm.Print_Area" localSheetId="3">'Pagu Per Jenis Akun2'!$C$1:$L$221</definedName>
    <definedName name="_xlnm.Print_Area" localSheetId="11">'PER BULAN'!$AG$268:$AU$271</definedName>
    <definedName name="_xlnm.Print_Area" localSheetId="6">PERAKUN!$C$1:$H$221</definedName>
    <definedName name="_xlnm.Print_Area" localSheetId="15">'PERSUBBID - Gaji'!$A$1:$J$56</definedName>
    <definedName name="_xlnm.Print_Area" localSheetId="16">'PERSUBBID - Gaji Non Blokir'!$A$1:$J$56</definedName>
    <definedName name="_xlnm.Print_Area" localSheetId="18">'PERSUBBID + GAJI'!$A$1:$J$60</definedName>
    <definedName name="_xlnm.Print_Area" localSheetId="19">'PERSUBBID + GAJI Non Blokir'!$A$1:$J$60</definedName>
    <definedName name="_xlnm.Print_Area" localSheetId="14">'Real Per Jenis Belanja'!$A$1:$N$61</definedName>
    <definedName name="_xlnm.Print_Area" localSheetId="13">'Real SPAN vs SAKTI (Plus Gaji)'!$A$1:$N$61</definedName>
    <definedName name="_xlnm.Print_Area" localSheetId="12">'Real SPAN vs SAKTI (Tanpa Gaji)'!$A$1:$N$59</definedName>
    <definedName name="_xlnm.Print_Area" localSheetId="5">'Sisa Per Jenis Akun'!$C$1:$P$221</definedName>
    <definedName name="_xlnm.Print_Area" localSheetId="2">Table1[[#Headers],[#Data],[No]:[Deskripsi]]</definedName>
    <definedName name="_xlnm.Print_Area" localSheetId="17">'TANPA GAJI'!$A$1:$T$61</definedName>
    <definedName name="_xlnm.Print_Titles" localSheetId="1">'DIPA Revisi 3'!$9:$11</definedName>
    <definedName name="_xlnm.Print_Titles" localSheetId="0">'DIPA4_PUSDIK (2)'!$1:$11</definedName>
    <definedName name="_xlnm.Print_Titles" localSheetId="4">'Pagu Per Jenis Akun'!$5:$5</definedName>
    <definedName name="_xlnm.Print_Titles" localSheetId="3">'Pagu Per Jenis Akun2'!$5:$5</definedName>
    <definedName name="_xlnm.Print_Titles" localSheetId="11">'PER BULAN'!$12:$14</definedName>
    <definedName name="_xlnm.Print_Titles" localSheetId="6">PERAKUN!$5:$5</definedName>
    <definedName name="_xlnm.Print_Titles" localSheetId="5">'Sisa Per Jenis Akun'!$5:$5</definedName>
    <definedName name="_xlnm.Print_Titles" localSheetId="2">'SP2D ON'!$13:$13</definedName>
    <definedName name="rngSP2D" localSheetId="1">'[4]Tambahan Realisasi'!$C$2</definedName>
    <definedName name="rngSP2D" localSheetId="21">'[4]Tambahan Realisasi'!$C$2</definedName>
    <definedName name="rngSP2D">'[5]Tambahan Realisasi'!$C$2</definedName>
    <definedName name="rowEselon2" localSheetId="1">#REF!</definedName>
    <definedName name="rowEselon2" localSheetId="21">#REF!</definedName>
    <definedName name="rowEselon2">#REF!</definedName>
    <definedName name="rowKoord" localSheetId="1">#REF!</definedName>
    <definedName name="rowKoord" localSheetId="21">#REF!</definedName>
    <definedName name="rowKoord">#REF!</definedName>
    <definedName name="rowSelect" localSheetId="1">#REF!</definedName>
    <definedName name="rowSelect" localSheetId="21">#REF!</definedName>
    <definedName name="rowSelect">#REF!</definedName>
    <definedName name="rowSubKoord" localSheetId="1">#REF!</definedName>
    <definedName name="rowSubKoord" localSheetId="21">#REF!</definedName>
    <definedName name="rowSubKoord">#REF!</definedName>
    <definedName name="Slicer_koordinator">#N/A</definedName>
    <definedName name="Slicer_koordinator1">#N/A</definedName>
    <definedName name="Slicer_koordinator11">#N/A</definedName>
    <definedName name="Slicer_koordinator2">#N/A</definedName>
    <definedName name="Slicer_Pagu_Blokir">#N/A</definedName>
    <definedName name="Slicer_Pagu_Blokir1">#N/A</definedName>
    <definedName name="Slicer_Pagu_Blokir11">#N/A</definedName>
    <definedName name="Slicer_Pagu_Blokir2">#N/A</definedName>
    <definedName name="Slicer_Subkoordinator">#N/A</definedName>
    <definedName name="Slicer_Subkoordinator1">#N/A</definedName>
    <definedName name="Slicer_Subkoordinator11">#N/A</definedName>
    <definedName name="Slicer_Subkoordinator2">#N/A</definedName>
    <definedName name="SSBP" localSheetId="1">#REF!</definedName>
    <definedName name="SSBP" localSheetId="21">[1]SSBP!#REF!</definedName>
    <definedName name="SSBP">[1]SSBP!#REF!</definedName>
    <definedName name="Start_Jadi" localSheetId="1">'DIPA Revisi 3'!$B$13</definedName>
    <definedName name="Start_Jadi" localSheetId="21">#REF!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9"/>
    <pivotCache cacheId="2" r:id="rId30"/>
    <pivotCache cacheId="15" r:id="rId31"/>
  </pivotCaches>
  <extLs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4" i="16" l="1"/>
  <c r="AL5" i="16"/>
  <c r="AL6" i="16"/>
  <c r="AL7" i="16"/>
  <c r="AL8" i="16"/>
  <c r="AL9" i="16"/>
  <c r="AL10" i="16"/>
  <c r="AL11" i="16"/>
  <c r="AL12" i="16"/>
  <c r="AL13" i="16"/>
  <c r="AL14" i="16"/>
  <c r="AL15" i="16"/>
  <c r="AL16" i="16"/>
  <c r="AL17" i="16"/>
  <c r="AL18" i="16"/>
  <c r="AL19" i="16"/>
  <c r="AL20" i="16"/>
  <c r="AL21" i="16"/>
  <c r="AL22" i="16"/>
  <c r="AL23" i="16"/>
  <c r="AL24" i="16"/>
  <c r="AL25" i="16"/>
  <c r="AL26" i="16"/>
  <c r="AL27" i="16"/>
  <c r="AL28" i="16"/>
  <c r="AL29" i="16"/>
  <c r="AL30" i="16"/>
  <c r="AL31" i="16"/>
  <c r="AL32" i="16"/>
  <c r="AL33" i="16"/>
  <c r="AL34" i="16"/>
  <c r="AL35" i="16"/>
  <c r="AL36" i="16"/>
  <c r="AL37" i="16"/>
  <c r="AL38" i="16"/>
  <c r="AL39" i="16"/>
  <c r="AL40" i="16"/>
  <c r="AL41" i="16"/>
  <c r="AL42" i="16"/>
  <c r="AL43" i="16"/>
  <c r="AL44" i="16"/>
  <c r="AL45" i="16"/>
  <c r="AL46" i="16"/>
  <c r="AL47" i="16"/>
  <c r="AL48" i="16"/>
  <c r="AL49" i="16"/>
  <c r="AL50" i="16"/>
  <c r="AL51" i="16"/>
  <c r="AL52" i="16"/>
  <c r="AL53" i="16"/>
  <c r="AL54" i="16"/>
  <c r="AL55" i="16"/>
  <c r="AL56" i="16"/>
  <c r="AL57" i="16"/>
  <c r="AL58" i="16"/>
  <c r="AL59" i="16"/>
  <c r="AL60" i="16"/>
  <c r="AL61" i="16"/>
  <c r="AL62" i="16"/>
  <c r="AL63" i="16"/>
  <c r="AL64" i="16"/>
  <c r="AL65" i="16"/>
  <c r="AL66" i="16"/>
  <c r="AL67" i="16"/>
  <c r="AL68" i="16"/>
  <c r="AL69" i="16"/>
  <c r="AL70" i="16"/>
  <c r="AL71" i="16"/>
  <c r="AL72" i="16"/>
  <c r="AL73" i="16"/>
  <c r="AL74" i="16"/>
  <c r="AL75" i="16"/>
  <c r="AL76" i="16"/>
  <c r="AL77" i="16"/>
  <c r="AL78" i="16"/>
  <c r="AL79" i="16"/>
  <c r="AL80" i="16"/>
  <c r="AL81" i="16"/>
  <c r="AL82" i="16"/>
  <c r="AL83" i="16"/>
  <c r="AL84" i="16"/>
  <c r="AL85" i="16"/>
  <c r="AL86" i="16"/>
  <c r="AL87" i="16"/>
  <c r="AL88" i="16"/>
  <c r="AL89" i="16"/>
  <c r="AL90" i="16"/>
  <c r="AL91" i="16"/>
  <c r="AL92" i="16"/>
  <c r="AL93" i="16"/>
  <c r="AL94" i="16"/>
  <c r="AL95" i="16"/>
  <c r="AL96" i="16"/>
  <c r="AL97" i="16"/>
  <c r="AL98" i="16"/>
  <c r="AL99" i="16"/>
  <c r="AL100" i="16"/>
  <c r="AL101" i="16"/>
  <c r="AL102" i="16"/>
  <c r="AL103" i="16"/>
  <c r="AL104" i="16"/>
  <c r="AL105" i="16"/>
  <c r="AL106" i="16"/>
  <c r="AL107" i="16"/>
  <c r="AL108" i="16"/>
  <c r="AL109" i="16"/>
  <c r="AL110" i="16"/>
  <c r="AL111" i="16"/>
  <c r="AL112" i="16"/>
  <c r="AL113" i="16"/>
  <c r="AL114" i="16"/>
  <c r="AL115" i="16"/>
  <c r="AL116" i="16"/>
  <c r="AL117" i="16"/>
  <c r="AL118" i="16"/>
  <c r="AL119" i="16"/>
  <c r="AL120" i="16"/>
  <c r="AL121" i="16"/>
  <c r="AL122" i="16"/>
  <c r="AL123" i="16"/>
  <c r="AL124" i="16"/>
  <c r="AL125" i="16"/>
  <c r="AL126" i="16"/>
  <c r="AL127" i="16"/>
  <c r="AL128" i="16"/>
  <c r="AL129" i="16"/>
  <c r="AL130" i="16"/>
  <c r="AL131" i="16"/>
  <c r="AL132" i="16"/>
  <c r="AL133" i="16"/>
  <c r="AL134" i="16"/>
  <c r="AL135" i="16"/>
  <c r="AL136" i="16"/>
  <c r="AL137" i="16"/>
  <c r="AL138" i="16"/>
  <c r="AL139" i="16"/>
  <c r="AL140" i="16"/>
  <c r="AL141" i="16"/>
  <c r="AL142" i="16"/>
  <c r="AL143" i="16"/>
  <c r="AL144" i="16"/>
  <c r="AL145" i="16"/>
  <c r="AL146" i="16"/>
  <c r="AL147" i="16"/>
  <c r="AL148" i="16"/>
  <c r="AL149" i="16"/>
  <c r="AL150" i="16"/>
  <c r="AL151" i="16"/>
  <c r="N23" i="47"/>
  <c r="N23" i="47" a="1"/>
  <c r="M23" i="47" a="1"/>
  <c r="M23" i="47" s="1"/>
  <c r="N22" i="47" a="1"/>
  <c r="N22" i="47" s="1"/>
  <c r="M22" i="47" a="1"/>
  <c r="M22" i="47" s="1"/>
  <c r="M24" i="47" s="1"/>
  <c r="N20" i="47" a="1"/>
  <c r="N20" i="47" s="1"/>
  <c r="M20" i="47" a="1"/>
  <c r="M20" i="47" s="1"/>
  <c r="N19" i="47" a="1"/>
  <c r="N19" i="47" s="1"/>
  <c r="N21" i="47" s="1"/>
  <c r="M19" i="47"/>
  <c r="M19" i="47" a="1"/>
  <c r="N17" i="47" a="1"/>
  <c r="N17" i="47" s="1"/>
  <c r="M17" i="47" a="1"/>
  <c r="M17" i="47" s="1"/>
  <c r="N16" i="47"/>
  <c r="N15" i="47" s="1" a="1"/>
  <c r="N15" i="47" s="1"/>
  <c r="N16" i="47" a="1"/>
  <c r="M16" i="47" a="1"/>
  <c r="M16" i="47" s="1"/>
  <c r="M15" i="47" a="1"/>
  <c r="M15" i="47" s="1"/>
  <c r="M18" i="47" s="1"/>
  <c r="N13" i="47" a="1"/>
  <c r="N13" i="47" s="1"/>
  <c r="N33" i="47" s="1"/>
  <c r="M13" i="47"/>
  <c r="M33" i="47" s="1"/>
  <c r="M13" i="47" a="1"/>
  <c r="C13" i="47"/>
  <c r="C13" i="47" a="1"/>
  <c r="N12" i="47" a="1"/>
  <c r="N12" i="47" s="1"/>
  <c r="M12" i="47" a="1"/>
  <c r="M12" i="47" s="1"/>
  <c r="N10" i="47"/>
  <c r="N10" i="47" a="1"/>
  <c r="M10" i="47" a="1"/>
  <c r="M10" i="47" s="1"/>
  <c r="A3" i="47"/>
  <c r="A2" i="47"/>
  <c r="AE253" i="13"/>
  <c r="AE254" i="13"/>
  <c r="F247" i="23"/>
  <c r="C3" i="45"/>
  <c r="C2" i="45"/>
  <c r="C3" i="44"/>
  <c r="C2" i="44"/>
  <c r="C1" i="44"/>
  <c r="C3" i="43"/>
  <c r="C2" i="43"/>
  <c r="N24" i="47" l="1"/>
  <c r="N18" i="47"/>
  <c r="C33" i="47"/>
  <c r="H13" i="47"/>
  <c r="M21" i="47"/>
  <c r="AE232" i="13"/>
  <c r="AE52" i="13"/>
  <c r="AH264" i="13"/>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B235" i="13"/>
  <c r="BF4" i="16"/>
  <c r="BF5" i="16"/>
  <c r="BF6" i="16"/>
  <c r="BF7" i="16"/>
  <c r="BF8" i="16"/>
  <c r="BF9" i="16"/>
  <c r="BF10" i="16"/>
  <c r="BF11" i="16"/>
  <c r="BF12" i="16"/>
  <c r="BF13" i="16"/>
  <c r="BF14" i="16"/>
  <c r="BF15" i="16"/>
  <c r="BF16" i="16"/>
  <c r="BF17" i="16"/>
  <c r="BF18" i="16"/>
  <c r="BF19" i="16"/>
  <c r="BF20" i="16"/>
  <c r="BF21" i="16"/>
  <c r="BF22" i="16"/>
  <c r="BF23" i="16"/>
  <c r="BF24" i="16"/>
  <c r="BF25" i="16"/>
  <c r="BF26" i="16"/>
  <c r="BF27" i="16"/>
  <c r="BF28" i="16"/>
  <c r="BF29" i="16"/>
  <c r="BF30" i="16"/>
  <c r="BF31" i="16"/>
  <c r="BF32" i="16"/>
  <c r="BF33" i="16"/>
  <c r="BF34" i="16"/>
  <c r="BF35" i="16"/>
  <c r="BF36" i="16"/>
  <c r="BF37" i="16"/>
  <c r="BF38" i="16"/>
  <c r="BF39" i="16"/>
  <c r="BF40" i="16"/>
  <c r="BF41" i="16"/>
  <c r="BF42" i="16"/>
  <c r="BF43" i="16"/>
  <c r="BF44" i="16"/>
  <c r="BF45" i="16"/>
  <c r="BF46" i="16"/>
  <c r="BF47" i="16"/>
  <c r="BF48" i="16"/>
  <c r="BF49" i="16"/>
  <c r="BF50" i="16"/>
  <c r="BF51" i="16"/>
  <c r="BF52" i="16"/>
  <c r="BF53" i="16"/>
  <c r="BF54" i="16"/>
  <c r="BF55" i="16"/>
  <c r="BF56" i="16"/>
  <c r="BF57" i="16"/>
  <c r="BF58" i="16"/>
  <c r="BF59" i="16"/>
  <c r="BF60" i="16"/>
  <c r="BF61" i="16"/>
  <c r="BF62" i="16"/>
  <c r="BF63" i="16"/>
  <c r="BF64" i="16"/>
  <c r="BF65" i="16"/>
  <c r="BF66" i="16"/>
  <c r="BF67" i="16"/>
  <c r="BF68" i="16"/>
  <c r="BF69" i="16"/>
  <c r="BF70" i="16"/>
  <c r="BF71" i="16"/>
  <c r="BF72" i="16"/>
  <c r="BF73" i="16"/>
  <c r="BF74" i="16"/>
  <c r="BF75" i="16"/>
  <c r="BF76" i="16"/>
  <c r="BF77" i="16"/>
  <c r="BF78" i="16"/>
  <c r="BF79" i="16"/>
  <c r="BF80" i="16"/>
  <c r="BF81" i="16"/>
  <c r="BF82" i="16"/>
  <c r="BF83" i="16"/>
  <c r="BF84" i="16"/>
  <c r="BF85" i="16"/>
  <c r="BF86" i="16"/>
  <c r="BF87" i="16"/>
  <c r="BF88" i="16"/>
  <c r="BF89" i="16"/>
  <c r="BF90" i="16"/>
  <c r="BF91" i="16"/>
  <c r="BF92" i="16"/>
  <c r="BF93" i="16"/>
  <c r="BF94" i="16"/>
  <c r="BF95" i="16"/>
  <c r="BF96" i="16"/>
  <c r="BF97" i="16"/>
  <c r="BF98" i="16"/>
  <c r="BF99" i="16"/>
  <c r="BF100" i="16"/>
  <c r="BF101" i="16"/>
  <c r="BF102" i="16"/>
  <c r="BF103" i="16"/>
  <c r="BF104" i="16"/>
  <c r="BF105" i="16"/>
  <c r="BF106" i="16"/>
  <c r="BF107" i="16"/>
  <c r="BF108" i="16"/>
  <c r="BF109" i="16"/>
  <c r="BF110" i="16"/>
  <c r="BF111" i="16"/>
  <c r="BF112" i="16"/>
  <c r="BF113" i="16"/>
  <c r="BF114" i="16"/>
  <c r="BF115" i="16"/>
  <c r="BF116" i="16"/>
  <c r="BF117" i="16"/>
  <c r="BF118" i="16"/>
  <c r="BF119" i="16"/>
  <c r="BF120" i="16"/>
  <c r="BF121" i="16"/>
  <c r="BF122" i="16"/>
  <c r="BF123" i="16"/>
  <c r="BF124" i="16"/>
  <c r="BF125" i="16"/>
  <c r="BF126" i="16"/>
  <c r="BF127" i="16"/>
  <c r="BF128" i="16"/>
  <c r="BF129" i="16"/>
  <c r="BF130" i="16"/>
  <c r="BF131" i="16"/>
  <c r="BF132" i="16"/>
  <c r="BF133" i="16"/>
  <c r="BF134" i="16"/>
  <c r="BF135" i="16"/>
  <c r="BF136" i="16"/>
  <c r="BF137" i="16"/>
  <c r="BF138" i="16"/>
  <c r="BF139" i="16"/>
  <c r="BF140" i="16"/>
  <c r="BF141" i="16"/>
  <c r="BF142" i="16"/>
  <c r="BF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K23" i="20"/>
  <c r="H33" i="47" l="1"/>
  <c r="BM32" i="13"/>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F152" i="16"/>
  <c r="BL196" i="13"/>
  <c r="BL195" i="13" s="1"/>
  <c r="BL19" i="13"/>
  <c r="BL129" i="13"/>
  <c r="BL128" i="13" s="1"/>
  <c r="BL155" i="13"/>
  <c r="BL154" i="13" s="1"/>
  <c r="BL32" i="13"/>
  <c r="BL81" i="13"/>
  <c r="BL80" i="13" s="1"/>
  <c r="BL175" i="13"/>
  <c r="BL174" i="13" s="1"/>
  <c r="BM69" i="13" l="1"/>
  <c r="BM153" i="13"/>
  <c r="BL69" i="13"/>
  <c r="BL18" i="13"/>
  <c r="BL17" i="13" s="1"/>
  <c r="BL16" i="13" s="1"/>
  <c r="BL15" i="13" s="1"/>
  <c r="BL153" i="13"/>
  <c r="BM61" i="13" l="1"/>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N151" i="16" l="1"/>
  <c r="AN150" i="16"/>
  <c r="AN149" i="16"/>
  <c r="AN148" i="16"/>
  <c r="AN147" i="16"/>
  <c r="AN146" i="16"/>
  <c r="AN145" i="16"/>
  <c r="AN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U151" i="16"/>
  <c r="AT151" i="16"/>
  <c r="AS151" i="16"/>
  <c r="AR151" i="16"/>
  <c r="AU150" i="16"/>
  <c r="AT150" i="16"/>
  <c r="AS150" i="16"/>
  <c r="AR150" i="16"/>
  <c r="AU149" i="16"/>
  <c r="AT149" i="16"/>
  <c r="AS149" i="16"/>
  <c r="AR149" i="16"/>
  <c r="AU148" i="16"/>
  <c r="AT148" i="16"/>
  <c r="AS148" i="16"/>
  <c r="AR148" i="16"/>
  <c r="AU147" i="16"/>
  <c r="AT147" i="16"/>
  <c r="AS147" i="16"/>
  <c r="AR147" i="16"/>
  <c r="AU146" i="16"/>
  <c r="AT146" i="16"/>
  <c r="AS146" i="16"/>
  <c r="AR146" i="16"/>
  <c r="AU145" i="16"/>
  <c r="AT145" i="16"/>
  <c r="AS145" i="16"/>
  <c r="AR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P149" i="16" l="1"/>
  <c r="AQ149" i="16" s="1"/>
  <c r="U149" i="16"/>
  <c r="AP151" i="16"/>
  <c r="AQ151" i="16" s="1"/>
  <c r="U151" i="16"/>
  <c r="AP148" i="16"/>
  <c r="AQ148" i="16" s="1"/>
  <c r="U148" i="16"/>
  <c r="AP146" i="16"/>
  <c r="AQ146" i="16" s="1"/>
  <c r="U146" i="16"/>
  <c r="AO149" i="16"/>
  <c r="AP145" i="16"/>
  <c r="AQ145" i="16" s="1"/>
  <c r="U145" i="16"/>
  <c r="AP147" i="16"/>
  <c r="AQ147" i="16" s="1"/>
  <c r="U147" i="16"/>
  <c r="AP150" i="16"/>
  <c r="AQ150" i="16" s="1"/>
  <c r="U150" i="16"/>
  <c r="AO151" i="16"/>
  <c r="AO150" i="16"/>
  <c r="AO148" i="16"/>
  <c r="AO147" i="16"/>
  <c r="AO145" i="16"/>
  <c r="AO146" i="16"/>
  <c r="AU144" i="16"/>
  <c r="AT144" i="16"/>
  <c r="AS144" i="16"/>
  <c r="AR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P144" i="16"/>
  <c r="AQ144" i="16" s="1"/>
  <c r="U144" i="16"/>
  <c r="AO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W55" i="16"/>
  <c r="AX55" i="16"/>
  <c r="AY55" i="16"/>
  <c r="AZ55" i="16"/>
  <c r="BA55" i="16"/>
  <c r="BB55" i="16"/>
  <c r="BC55" i="16"/>
  <c r="BD55" i="16"/>
  <c r="BE55" i="16"/>
  <c r="AV55" i="16"/>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E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D143" i="16"/>
  <c r="BD142" i="16"/>
  <c r="BD141" i="16"/>
  <c r="BD140" i="16"/>
  <c r="BD139" i="16"/>
  <c r="BD138" i="16"/>
  <c r="BD137" i="16"/>
  <c r="BD136" i="16"/>
  <c r="BD135" i="16"/>
  <c r="BD134" i="16"/>
  <c r="BD133" i="16"/>
  <c r="BD132" i="16"/>
  <c r="BD131" i="16"/>
  <c r="BD130" i="16"/>
  <c r="BD129" i="16"/>
  <c r="BD128" i="16"/>
  <c r="BD127" i="16"/>
  <c r="BD126" i="16"/>
  <c r="BD125" i="16"/>
  <c r="BD124" i="16"/>
  <c r="BD123" i="16"/>
  <c r="BD122" i="16"/>
  <c r="BD121" i="16"/>
  <c r="BD120" i="16"/>
  <c r="BD119" i="16"/>
  <c r="BD118" i="16"/>
  <c r="BD117" i="16"/>
  <c r="BD116" i="16"/>
  <c r="BD115" i="16"/>
  <c r="BD114" i="16"/>
  <c r="BD113" i="16"/>
  <c r="BD112" i="16"/>
  <c r="BD111" i="16"/>
  <c r="BD110" i="16"/>
  <c r="BD109" i="16"/>
  <c r="BD108" i="16"/>
  <c r="BD107" i="16"/>
  <c r="BD106" i="16"/>
  <c r="BD105" i="16"/>
  <c r="BD104" i="16"/>
  <c r="BD103" i="16"/>
  <c r="BD102" i="16"/>
  <c r="BD101" i="16"/>
  <c r="BD100" i="16"/>
  <c r="BD99" i="16"/>
  <c r="BD98" i="16"/>
  <c r="BD97" i="16"/>
  <c r="BD96" i="16"/>
  <c r="BD95" i="16"/>
  <c r="BD94" i="16"/>
  <c r="BD93" i="16"/>
  <c r="BD92" i="16"/>
  <c r="BD91" i="16"/>
  <c r="BD90" i="16"/>
  <c r="BD89" i="16"/>
  <c r="BD88" i="16"/>
  <c r="BD87" i="16"/>
  <c r="BD86" i="16"/>
  <c r="BD85" i="16"/>
  <c r="BD84" i="16"/>
  <c r="BD83" i="16"/>
  <c r="BD82" i="16"/>
  <c r="BD81" i="16"/>
  <c r="BD80" i="16"/>
  <c r="BD79" i="16"/>
  <c r="BD78" i="16"/>
  <c r="BD77" i="16"/>
  <c r="BD76" i="16"/>
  <c r="BD75" i="16"/>
  <c r="BD74" i="16"/>
  <c r="BD73" i="16"/>
  <c r="BD72" i="16"/>
  <c r="BD71" i="16"/>
  <c r="BD70" i="16"/>
  <c r="BD69" i="16"/>
  <c r="BD68" i="16"/>
  <c r="BD67" i="16"/>
  <c r="BD66" i="16"/>
  <c r="BD65" i="16"/>
  <c r="BD64" i="16"/>
  <c r="BD63" i="16"/>
  <c r="BD62" i="16"/>
  <c r="BD61" i="16"/>
  <c r="BD60" i="16"/>
  <c r="BD59" i="16"/>
  <c r="BD58" i="16"/>
  <c r="BD57" i="16"/>
  <c r="BD56" i="16"/>
  <c r="BD54" i="16"/>
  <c r="BD53" i="16"/>
  <c r="BD52" i="16"/>
  <c r="BD51" i="16"/>
  <c r="BD50" i="16"/>
  <c r="BD49" i="16"/>
  <c r="BD48" i="16"/>
  <c r="BD47" i="16"/>
  <c r="BD46" i="16"/>
  <c r="BD45" i="16"/>
  <c r="BD44" i="16"/>
  <c r="BD43" i="16"/>
  <c r="BD42" i="16"/>
  <c r="BD41" i="16"/>
  <c r="BD40" i="16"/>
  <c r="BD39" i="16"/>
  <c r="BD38" i="16"/>
  <c r="BD37" i="16"/>
  <c r="BD36" i="16"/>
  <c r="BD35" i="16"/>
  <c r="BD34" i="16"/>
  <c r="BD33" i="16"/>
  <c r="BD32" i="16"/>
  <c r="BD31" i="16"/>
  <c r="BD30" i="16"/>
  <c r="BD29" i="16"/>
  <c r="BD28" i="16"/>
  <c r="BD27" i="16"/>
  <c r="BD26" i="16"/>
  <c r="BD25" i="16"/>
  <c r="BD24" i="16"/>
  <c r="BD23" i="16"/>
  <c r="BD22" i="16"/>
  <c r="BD21" i="16"/>
  <c r="BD20" i="16"/>
  <c r="BD19" i="16"/>
  <c r="BD18" i="16"/>
  <c r="BD17" i="16"/>
  <c r="BD16" i="16"/>
  <c r="BD15" i="16"/>
  <c r="BD14" i="16"/>
  <c r="BD13" i="16"/>
  <c r="BD12" i="16"/>
  <c r="BD11" i="16"/>
  <c r="BD10" i="16"/>
  <c r="BD9" i="16"/>
  <c r="BD8" i="16"/>
  <c r="BD7" i="16"/>
  <c r="BD6" i="16"/>
  <c r="BD5" i="16"/>
  <c r="BD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D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D13" i="41" l="1" a="1"/>
  <c r="D13" i="41" s="1"/>
  <c r="E13" i="41" s="1"/>
  <c r="D13" i="47" a="1"/>
  <c r="D13" i="47" s="1"/>
  <c r="AW253" i="13"/>
  <c r="AX253" i="13" s="1"/>
  <c r="AU268" i="13"/>
  <c r="AV263" i="13"/>
  <c r="AU270" i="13"/>
  <c r="AU271" i="13" s="1"/>
  <c r="AV253" i="13"/>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13" i="41" l="1"/>
  <c r="G13" i="41" s="1"/>
  <c r="D33" i="41"/>
  <c r="I13" i="41"/>
  <c r="J13" i="41" s="1"/>
  <c r="F13" i="47"/>
  <c r="G13" i="47" s="1"/>
  <c r="I13" i="47"/>
  <c r="E13" i="47"/>
  <c r="D33" i="47"/>
  <c r="F33" i="41"/>
  <c r="G33" i="41" s="1"/>
  <c r="E33" i="41"/>
  <c r="I33" i="41"/>
  <c r="K13" i="41"/>
  <c r="L13" i="41" s="1"/>
  <c r="G32" i="33"/>
  <c r="I12" i="33"/>
  <c r="J12" i="33" s="1"/>
  <c r="H12" i="33"/>
  <c r="I12" i="35"/>
  <c r="J12" i="35" s="1"/>
  <c r="G32" i="35"/>
  <c r="H12" i="35"/>
  <c r="AW251" i="13"/>
  <c r="AX251" i="13" s="1"/>
  <c r="AV252" i="13"/>
  <c r="AW252" i="13"/>
  <c r="AX252" i="13" s="1"/>
  <c r="J13" i="47" l="1"/>
  <c r="I33" i="47"/>
  <c r="K13" i="47"/>
  <c r="L13" i="47" s="1"/>
  <c r="E33" i="47"/>
  <c r="F33" i="47"/>
  <c r="G33" i="47" s="1"/>
  <c r="J33" i="41"/>
  <c r="K33" i="41"/>
  <c r="L33" i="41" s="1"/>
  <c r="I32" i="35"/>
  <c r="J32" i="35" s="1"/>
  <c r="H32" i="35"/>
  <c r="I32" i="33"/>
  <c r="J32" i="33" s="1"/>
  <c r="H32" i="33"/>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J33" i="47" l="1"/>
  <c r="K33" i="47"/>
  <c r="L33" i="47" s="1"/>
  <c r="N58" i="47" a="1"/>
  <c r="N58" i="47" s="1"/>
  <c r="D55" i="47" a="1"/>
  <c r="D55" i="47" s="1"/>
  <c r="N54" i="47" a="1"/>
  <c r="N54" i="47" s="1"/>
  <c r="D52" i="47" a="1"/>
  <c r="D52" i="47" s="1"/>
  <c r="N51" i="47" a="1"/>
  <c r="N51" i="47" s="1"/>
  <c r="N48" i="47" a="1"/>
  <c r="N48" i="47" s="1"/>
  <c r="M55" i="47" a="1"/>
  <c r="M55" i="47" s="1"/>
  <c r="D49" i="47" a="1"/>
  <c r="D49" i="47" s="1"/>
  <c r="M58" i="47" a="1"/>
  <c r="M58" i="47" s="1"/>
  <c r="H55" i="47" a="1"/>
  <c r="H55" i="47" s="1"/>
  <c r="C55" i="47" a="1"/>
  <c r="C55" i="47" s="1"/>
  <c r="M54" i="47" a="1"/>
  <c r="M54" i="47" s="1"/>
  <c r="M56" i="47" s="1"/>
  <c r="D54" i="47" a="1"/>
  <c r="D54" i="47" s="1"/>
  <c r="N52" i="47" a="1"/>
  <c r="N52" i="47" s="1"/>
  <c r="H52" i="47" a="1"/>
  <c r="H52" i="47" s="1"/>
  <c r="C52" i="47" a="1"/>
  <c r="C52" i="47" s="1"/>
  <c r="M51" i="47" a="1"/>
  <c r="M51" i="47" s="1"/>
  <c r="H49" i="47" a="1"/>
  <c r="H49" i="47" s="1"/>
  <c r="M48" i="47" a="1"/>
  <c r="M48" i="47" s="1"/>
  <c r="M57" i="47" a="1"/>
  <c r="M57" i="47" s="1"/>
  <c r="M59" i="47" s="1"/>
  <c r="N55" i="47" a="1"/>
  <c r="N55" i="47" s="1"/>
  <c r="H54" i="47" a="1"/>
  <c r="H54" i="47" s="1"/>
  <c r="C54" i="47" a="1"/>
  <c r="C54" i="47" s="1"/>
  <c r="M52" i="47" a="1"/>
  <c r="M52" i="47" s="1"/>
  <c r="N49" i="47" a="1"/>
  <c r="N49" i="47" s="1"/>
  <c r="C49" i="47" a="1"/>
  <c r="C49" i="47" s="1"/>
  <c r="F49" i="47" s="1"/>
  <c r="G49" i="47" s="1"/>
  <c r="N57" i="47" a="1"/>
  <c r="N57" i="47" s="1"/>
  <c r="N59" i="47" s="1"/>
  <c r="M49" i="47" a="1"/>
  <c r="M49" i="47" s="1"/>
  <c r="N58" i="4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5"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T4" i="16"/>
  <c r="F55" i="47" l="1"/>
  <c r="G55" i="47" s="1"/>
  <c r="F52" i="47"/>
  <c r="G52" i="47" s="1"/>
  <c r="N56" i="47"/>
  <c r="M50" i="47"/>
  <c r="N50" i="47"/>
  <c r="N60" i="47" s="1"/>
  <c r="I55" i="47"/>
  <c r="K55" i="47" s="1"/>
  <c r="L55" i="47" s="1"/>
  <c r="E55" i="47"/>
  <c r="J55" i="47" s="1"/>
  <c r="C56" i="47"/>
  <c r="F54" i="47"/>
  <c r="G54" i="47" s="1"/>
  <c r="I49" i="47"/>
  <c r="K49" i="47" s="1"/>
  <c r="L49" i="47" s="1"/>
  <c r="E49" i="47"/>
  <c r="J49" i="47" s="1"/>
  <c r="N53" i="47"/>
  <c r="M36" i="47" a="1"/>
  <c r="M36" i="47" s="1"/>
  <c r="N35" i="47" a="1"/>
  <c r="N35" i="47" s="1"/>
  <c r="M11" i="47" a="1"/>
  <c r="M11" i="47" s="1"/>
  <c r="N11" i="47" a="1"/>
  <c r="N11" i="47" s="1"/>
  <c r="N36" i="47" a="1"/>
  <c r="N36" i="47" s="1"/>
  <c r="M35" i="47" a="1"/>
  <c r="M35" i="47" s="1"/>
  <c r="M34" i="47" s="1"/>
  <c r="E51" i="14"/>
  <c r="H56" i="47"/>
  <c r="M53" i="47"/>
  <c r="M60" i="47" s="1"/>
  <c r="M61" i="47" s="1"/>
  <c r="I54" i="47"/>
  <c r="K54" i="47" s="1"/>
  <c r="L54" i="47" s="1"/>
  <c r="E54" i="47"/>
  <c r="J54" i="47" s="1"/>
  <c r="D56" i="47"/>
  <c r="I52" i="47"/>
  <c r="K52" i="47" s="1"/>
  <c r="L52" i="47" s="1"/>
  <c r="E52" i="47"/>
  <c r="J52" i="47" s="1"/>
  <c r="H56" i="4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M37" i="47" l="1"/>
  <c r="M9" i="47" a="1"/>
  <c r="M9" i="47" s="1"/>
  <c r="M14" i="47" s="1"/>
  <c r="M25" i="47" s="1"/>
  <c r="M26" i="47" s="1"/>
  <c r="E56" i="47"/>
  <c r="J56" i="47" s="1"/>
  <c r="I56" i="47"/>
  <c r="K56" i="47" s="1"/>
  <c r="L56" i="47" s="1"/>
  <c r="N34" i="47"/>
  <c r="N37" i="47"/>
  <c r="N9" i="47" a="1"/>
  <c r="N9" i="47" s="1"/>
  <c r="N14" i="47" s="1"/>
  <c r="N25" i="47" s="1"/>
  <c r="M39" i="47"/>
  <c r="F56" i="47"/>
  <c r="G56" i="47" s="1"/>
  <c r="G175" i="13"/>
  <c r="F56" i="41"/>
  <c r="G56" i="41" s="1"/>
  <c r="K54" i="40"/>
  <c r="L54" i="40" s="1"/>
  <c r="M34" i="41"/>
  <c r="M39" i="41" s="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C51" i="47" s="1" a="1"/>
  <c r="C51" i="47"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C11" i="47" s="1" a="1"/>
  <c r="C11" i="47"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C20" i="47" s="1" a="1"/>
  <c r="C20" i="47"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C16" i="47" l="1" a="1"/>
  <c r="C16" i="47" s="1"/>
  <c r="C53" i="47"/>
  <c r="C57" i="47" a="1"/>
  <c r="C57" i="47" s="1"/>
  <c r="C58" i="47" a="1"/>
  <c r="C58" i="47" s="1"/>
  <c r="C19" i="47" a="1"/>
  <c r="C19" i="47" s="1"/>
  <c r="C36" i="47" a="1"/>
  <c r="C36" i="47" s="1"/>
  <c r="C10" i="47" a="1"/>
  <c r="C10" i="47" s="1"/>
  <c r="C35" i="47" a="1"/>
  <c r="C35" i="47" s="1"/>
  <c r="C37" i="47"/>
  <c r="C15" i="47" a="1"/>
  <c r="C15" i="47" s="1"/>
  <c r="C22" i="47" a="1"/>
  <c r="C22" i="47" s="1"/>
  <c r="C48" i="47" a="1"/>
  <c r="C48" i="47" s="1"/>
  <c r="C23" i="47" a="1"/>
  <c r="C23" i="47" s="1"/>
  <c r="C17" i="47" a="1"/>
  <c r="C17" i="47" s="1"/>
  <c r="C12" i="47" a="1"/>
  <c r="C12" i="47" s="1"/>
  <c r="N39" i="47"/>
  <c r="M41" i="47" s="1"/>
  <c r="M26" i="41"/>
  <c r="N39" i="41"/>
  <c r="M59" i="40"/>
  <c r="C32" i="34" a="1"/>
  <c r="C32" i="34" s="1"/>
  <c r="M41" i="41"/>
  <c r="N37" i="40"/>
  <c r="M37" i="40"/>
  <c r="C35" i="35" a="1"/>
  <c r="C35" i="35" s="1"/>
  <c r="C18" i="35" a="1"/>
  <c r="C18" i="35" s="1"/>
  <c r="C11" i="41" a="1"/>
  <c r="C11" i="41" s="1"/>
  <c r="U34" i="16"/>
  <c r="U35" i="16"/>
  <c r="U12" i="16"/>
  <c r="C22" i="41" a="1"/>
  <c r="C22" i="41" s="1"/>
  <c r="U44" i="16"/>
  <c r="H48" i="47" s="1" a="1"/>
  <c r="H48" i="47" s="1"/>
  <c r="C46" i="40" a="1"/>
  <c r="C46" i="40" s="1"/>
  <c r="C48" i="41" a="1"/>
  <c r="C48" i="41" s="1"/>
  <c r="C20" i="41" a="1"/>
  <c r="C20" i="41" s="1"/>
  <c r="U10" i="16"/>
  <c r="H20" i="47" s="1" a="1"/>
  <c r="H20" i="47" s="1"/>
  <c r="C17" i="34" a="1"/>
  <c r="C17" i="34" s="1"/>
  <c r="U29" i="16"/>
  <c r="C23" i="41" a="1"/>
  <c r="C23" i="41" s="1"/>
  <c r="U101" i="16"/>
  <c r="H17" i="47" s="1" a="1"/>
  <c r="H17" i="47" s="1"/>
  <c r="C17" i="41" a="1"/>
  <c r="C17" i="41" s="1"/>
  <c r="C12" i="41" a="1"/>
  <c r="C12" i="41" s="1"/>
  <c r="U112" i="16"/>
  <c r="H12" i="47" s="1" a="1"/>
  <c r="H12" i="47" s="1"/>
  <c r="F57" i="35" a="1"/>
  <c r="F57" i="35" s="1"/>
  <c r="U62" i="16"/>
  <c r="C16" i="41" a="1"/>
  <c r="C16" i="41" s="1"/>
  <c r="C15" i="41" s="1" a="1"/>
  <c r="C15" i="41" s="1"/>
  <c r="U126" i="16"/>
  <c r="C51" i="41" a="1"/>
  <c r="C51" i="41" s="1"/>
  <c r="U140" i="16"/>
  <c r="H51" i="47" s="1" a="1"/>
  <c r="H51" i="47" s="1"/>
  <c r="C49" i="40" a="1"/>
  <c r="C49" i="40" s="1"/>
  <c r="U16" i="16"/>
  <c r="H57" i="47" s="1" a="1"/>
  <c r="H57" i="47" s="1"/>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F45"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1" i="34" a="1"/>
  <c r="C31" i="34" s="1"/>
  <c r="F9" i="35" a="1"/>
  <c r="F9" i="35" s="1"/>
  <c r="F8" i="35" s="1" a="1"/>
  <c r="F8" i="35" s="1"/>
  <c r="C19" i="35" a="1"/>
  <c r="C19" i="35" s="1"/>
  <c r="C20" i="35" s="1"/>
  <c r="C18" i="34" a="1"/>
  <c r="C18"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D38" i="33"/>
  <c r="E20" i="34" a="1"/>
  <c r="E20" i="34" s="1"/>
  <c r="E21" i="35" a="1"/>
  <c r="E21" i="35" s="1"/>
  <c r="E21" i="33" a="1"/>
  <c r="E21" i="33" s="1"/>
  <c r="E20" i="14" a="1"/>
  <c r="E20" i="14" s="1"/>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H22" i="47" l="1" a="1"/>
  <c r="H22" i="47" s="1"/>
  <c r="H10" i="47" a="1"/>
  <c r="H10" i="47" s="1"/>
  <c r="H35" i="47" a="1"/>
  <c r="H35" i="47" s="1"/>
  <c r="H53" i="47"/>
  <c r="C9" i="47" a="1"/>
  <c r="C9" i="47" s="1"/>
  <c r="C59" i="47"/>
  <c r="C30" i="34"/>
  <c r="H50" i="47"/>
  <c r="H11" i="47" a="1"/>
  <c r="H11" i="47" s="1"/>
  <c r="H9" i="47" s="1" a="1"/>
  <c r="H9" i="47" s="1"/>
  <c r="C50" i="47"/>
  <c r="C19" i="34"/>
  <c r="C33" i="35"/>
  <c r="H58" i="47" a="1"/>
  <c r="H58" i="47" s="1"/>
  <c r="H16" i="47" a="1"/>
  <c r="H16" i="47" s="1"/>
  <c r="C24" i="47"/>
  <c r="C21" i="47"/>
  <c r="H19" i="47" a="1"/>
  <c r="H19" i="47" s="1"/>
  <c r="H36" i="47" a="1"/>
  <c r="H36" i="47" s="1"/>
  <c r="H23" i="47" a="1"/>
  <c r="H23" i="47" s="1"/>
  <c r="C18" i="47"/>
  <c r="C34" i="47"/>
  <c r="C39" i="47" s="1"/>
  <c r="C41" i="47" s="1"/>
  <c r="C38" i="35"/>
  <c r="C40" i="35" s="1"/>
  <c r="C35" i="34"/>
  <c r="C37" i="34" s="1"/>
  <c r="C8" i="33" a="1"/>
  <c r="C8" i="33" s="1"/>
  <c r="C13"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F19" i="33"/>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C4" i="16"/>
  <c r="BC5" i="16"/>
  <c r="BC6" i="16"/>
  <c r="BC7" i="16"/>
  <c r="BC8" i="16"/>
  <c r="BC9" i="16"/>
  <c r="BC10" i="16"/>
  <c r="BC11" i="16"/>
  <c r="BC12" i="16"/>
  <c r="BC13" i="16"/>
  <c r="BC14" i="16"/>
  <c r="BC15" i="16"/>
  <c r="BC16" i="16"/>
  <c r="BC17" i="16"/>
  <c r="BC18" i="16"/>
  <c r="BC19" i="16"/>
  <c r="BC20" i="16"/>
  <c r="BC21" i="16"/>
  <c r="BC22" i="16"/>
  <c r="BC23" i="16"/>
  <c r="BC24" i="16"/>
  <c r="BC25" i="16"/>
  <c r="BC26" i="16"/>
  <c r="BC27" i="16"/>
  <c r="BC28" i="16"/>
  <c r="BC29" i="16"/>
  <c r="BC30" i="16"/>
  <c r="BC31" i="16"/>
  <c r="BC32" i="16"/>
  <c r="BC33" i="16"/>
  <c r="BC34" i="16"/>
  <c r="BC35" i="16"/>
  <c r="BC36" i="16"/>
  <c r="BC37" i="16"/>
  <c r="BC38" i="16"/>
  <c r="BC39" i="16"/>
  <c r="BC40" i="16"/>
  <c r="BC41" i="16"/>
  <c r="BC42" i="16"/>
  <c r="BC43" i="16"/>
  <c r="BC44" i="16"/>
  <c r="BC45" i="16"/>
  <c r="BC46" i="16"/>
  <c r="BC47" i="16"/>
  <c r="BC48" i="16"/>
  <c r="BC49" i="16"/>
  <c r="BC50" i="16"/>
  <c r="BC51" i="16"/>
  <c r="BC52" i="16"/>
  <c r="BC53" i="16"/>
  <c r="BC54" i="16"/>
  <c r="BC56" i="16"/>
  <c r="BC57" i="16"/>
  <c r="BC58" i="16"/>
  <c r="BC59" i="16"/>
  <c r="BC60" i="16"/>
  <c r="BC61" i="16"/>
  <c r="BC62" i="16"/>
  <c r="BC63" i="16"/>
  <c r="BC64" i="16"/>
  <c r="BC65" i="16"/>
  <c r="BC66" i="16"/>
  <c r="BC67" i="16"/>
  <c r="BC68" i="16"/>
  <c r="BC69" i="16"/>
  <c r="BC70" i="16"/>
  <c r="BC71" i="16"/>
  <c r="BC72" i="16"/>
  <c r="BC73" i="16"/>
  <c r="BC74" i="16"/>
  <c r="BC75" i="16"/>
  <c r="BC76" i="16"/>
  <c r="BC77" i="16"/>
  <c r="BC78" i="16"/>
  <c r="BC79" i="16"/>
  <c r="BC80" i="16"/>
  <c r="BC81" i="16"/>
  <c r="BC82" i="16"/>
  <c r="BC83" i="16"/>
  <c r="BC84" i="16"/>
  <c r="BC85" i="16"/>
  <c r="BC86" i="16"/>
  <c r="BC87" i="16"/>
  <c r="BC88" i="16"/>
  <c r="BC89" i="16"/>
  <c r="BC90" i="16"/>
  <c r="BC91" i="16"/>
  <c r="BC92" i="16"/>
  <c r="BC93" i="16"/>
  <c r="BC94" i="16"/>
  <c r="BC95" i="16"/>
  <c r="BC96" i="16"/>
  <c r="BC97" i="16"/>
  <c r="BC98" i="16"/>
  <c r="BC99" i="16"/>
  <c r="BC100" i="16"/>
  <c r="BC101" i="16"/>
  <c r="BC102" i="16"/>
  <c r="BC103" i="16"/>
  <c r="BC104" i="16"/>
  <c r="BC105" i="16"/>
  <c r="BC106" i="16"/>
  <c r="BC107" i="16"/>
  <c r="BC108" i="16"/>
  <c r="BC109" i="16"/>
  <c r="BC110" i="16"/>
  <c r="BC111" i="16"/>
  <c r="BC112" i="16"/>
  <c r="BC113" i="16"/>
  <c r="BC114" i="16"/>
  <c r="BC115" i="16"/>
  <c r="BC116" i="16"/>
  <c r="BC117" i="16"/>
  <c r="BC118" i="16"/>
  <c r="BC119" i="16"/>
  <c r="BC120" i="16"/>
  <c r="BC121" i="16"/>
  <c r="BC122" i="16"/>
  <c r="BC123" i="16"/>
  <c r="BC124" i="16"/>
  <c r="BC125" i="16"/>
  <c r="BC126" i="16"/>
  <c r="BC127" i="16"/>
  <c r="BC128" i="16"/>
  <c r="BC129" i="16"/>
  <c r="BC130" i="16"/>
  <c r="BC131" i="16"/>
  <c r="BC132" i="16"/>
  <c r="BC133" i="16"/>
  <c r="BC134" i="16"/>
  <c r="BC135" i="16"/>
  <c r="BC136" i="16"/>
  <c r="BC137" i="16"/>
  <c r="BC138" i="16"/>
  <c r="BC139" i="16"/>
  <c r="BC140" i="16"/>
  <c r="BC141" i="16"/>
  <c r="BC142" i="16"/>
  <c r="BC143" i="16"/>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H14" i="47" l="1"/>
  <c r="F20" i="33"/>
  <c r="C14" i="47"/>
  <c r="C25" i="47" s="1"/>
  <c r="H21" i="47"/>
  <c r="C60" i="47"/>
  <c r="H34" i="47"/>
  <c r="H24" i="47"/>
  <c r="H59" i="47"/>
  <c r="H60" i="47" s="1"/>
  <c r="H37" i="47"/>
  <c r="H15" i="47" a="1"/>
  <c r="H15" i="47" s="1"/>
  <c r="H23" i="40"/>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C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61" i="47" l="1"/>
  <c r="H39" i="47"/>
  <c r="H41" i="47" s="1"/>
  <c r="C61" i="47"/>
  <c r="C26" i="47"/>
  <c r="H18" i="47"/>
  <c r="H25" i="47"/>
  <c r="H24" i="40"/>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H26" i="47" l="1"/>
  <c r="BI18" i="13"/>
  <c r="BI17" i="13" s="1"/>
  <c r="BI16" i="13" s="1"/>
  <c r="BI15" i="13" s="1"/>
  <c r="H41" i="41"/>
  <c r="H61" i="41"/>
  <c r="C26" i="41"/>
  <c r="H25" i="41"/>
  <c r="H59" i="40"/>
  <c r="C25" i="40"/>
  <c r="BI153" i="13"/>
  <c r="BI69" i="13"/>
  <c r="Y59" i="13"/>
  <c r="F72" i="13"/>
  <c r="F71" i="13" s="1"/>
  <c r="W198" i="13"/>
  <c r="W140" i="1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B94" i="16"/>
  <c r="BA95" i="16"/>
  <c r="BB95" i="16"/>
  <c r="BA96" i="16"/>
  <c r="BB96" i="16"/>
  <c r="BA97" i="16"/>
  <c r="BB97" i="16"/>
  <c r="BA98" i="16"/>
  <c r="BB98" i="16"/>
  <c r="BA99" i="16"/>
  <c r="BB99" i="16"/>
  <c r="BA100" i="16"/>
  <c r="BB100" i="16"/>
  <c r="BA101" i="16"/>
  <c r="BB101" i="16"/>
  <c r="BA102" i="16"/>
  <c r="BB102" i="16"/>
  <c r="BA103" i="16"/>
  <c r="BB103" i="16"/>
  <c r="BA104" i="16"/>
  <c r="BB104" i="16"/>
  <c r="BA105" i="16"/>
  <c r="BB105" i="16"/>
  <c r="BA106" i="16"/>
  <c r="BB106" i="16"/>
  <c r="BA107" i="16"/>
  <c r="BB107" i="16"/>
  <c r="BA108" i="16"/>
  <c r="BB108" i="16"/>
  <c r="BA109" i="16"/>
  <c r="BB109" i="16"/>
  <c r="BA110" i="16"/>
  <c r="BB110" i="16"/>
  <c r="BA111" i="16"/>
  <c r="BB111" i="16"/>
  <c r="BA112" i="16"/>
  <c r="BB112" i="16"/>
  <c r="BA113" i="16"/>
  <c r="BB113" i="16"/>
  <c r="BA114" i="16"/>
  <c r="BB114" i="16"/>
  <c r="BA115" i="16"/>
  <c r="BB115" i="16"/>
  <c r="BA116" i="16"/>
  <c r="BB116" i="16"/>
  <c r="BA117" i="16"/>
  <c r="BB117" i="16"/>
  <c r="BA118" i="16"/>
  <c r="BB118" i="16"/>
  <c r="BA119" i="16"/>
  <c r="BB119" i="16"/>
  <c r="BA120" i="16"/>
  <c r="BB120" i="16"/>
  <c r="BA121" i="16"/>
  <c r="BB121" i="16"/>
  <c r="BA122" i="16"/>
  <c r="BB122" i="16"/>
  <c r="BA123" i="16"/>
  <c r="BB123" i="16"/>
  <c r="BA124" i="16"/>
  <c r="BB124" i="16"/>
  <c r="BA125" i="16"/>
  <c r="BB125" i="16"/>
  <c r="BA126" i="16"/>
  <c r="BB126" i="16"/>
  <c r="BA127" i="16"/>
  <c r="BB127" i="16"/>
  <c r="BA128" i="16"/>
  <c r="BB128" i="16"/>
  <c r="BA129" i="16"/>
  <c r="BB129" i="16"/>
  <c r="BA130" i="16"/>
  <c r="BB130" i="16"/>
  <c r="BA131" i="16"/>
  <c r="BB131" i="16"/>
  <c r="BA132" i="16"/>
  <c r="BB132" i="16"/>
  <c r="BA133" i="16"/>
  <c r="BB133" i="16"/>
  <c r="BA134" i="16"/>
  <c r="BB134" i="16"/>
  <c r="BA135" i="16"/>
  <c r="BB135" i="16"/>
  <c r="BA136" i="16"/>
  <c r="BB136" i="16"/>
  <c r="BA137" i="16"/>
  <c r="BB137" i="16"/>
  <c r="BA138" i="16"/>
  <c r="BB138" i="16"/>
  <c r="BA139" i="16"/>
  <c r="BB139" i="16"/>
  <c r="BA140" i="16"/>
  <c r="BB140" i="16"/>
  <c r="BA141" i="16"/>
  <c r="BB141" i="16"/>
  <c r="BA142" i="16"/>
  <c r="BB142" i="16"/>
  <c r="BA143" i="16"/>
  <c r="BB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BA152" i="16"/>
  <c r="BB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Z143" i="16" l="1"/>
  <c r="AZ142" i="16"/>
  <c r="AZ141" i="16"/>
  <c r="AZ140" i="16"/>
  <c r="AZ139" i="16"/>
  <c r="AZ138" i="16"/>
  <c r="AZ137" i="16"/>
  <c r="AZ136" i="16"/>
  <c r="AZ135" i="16"/>
  <c r="AZ134" i="16"/>
  <c r="AZ133" i="16"/>
  <c r="AZ132" i="16"/>
  <c r="AZ131" i="16"/>
  <c r="AZ130" i="16"/>
  <c r="AZ129" i="16"/>
  <c r="AZ128" i="16"/>
  <c r="AZ127" i="16"/>
  <c r="AZ126" i="16"/>
  <c r="AZ125" i="16"/>
  <c r="AZ124" i="16"/>
  <c r="AZ123" i="16"/>
  <c r="AZ122" i="16"/>
  <c r="AZ121" i="16"/>
  <c r="AZ120" i="16"/>
  <c r="AZ119" i="16"/>
  <c r="AZ118" i="16"/>
  <c r="AZ117" i="16"/>
  <c r="AZ116" i="16"/>
  <c r="AZ115" i="16"/>
  <c r="AZ114" i="16"/>
  <c r="AZ113" i="16"/>
  <c r="AZ112" i="16"/>
  <c r="AZ111" i="16"/>
  <c r="AZ110" i="16"/>
  <c r="AZ109" i="16"/>
  <c r="AZ108" i="16"/>
  <c r="AZ107" i="16"/>
  <c r="AZ106" i="16"/>
  <c r="AZ105" i="16"/>
  <c r="AZ104" i="16"/>
  <c r="AZ103" i="16"/>
  <c r="AZ102" i="16"/>
  <c r="AZ101" i="16"/>
  <c r="AZ100" i="16"/>
  <c r="AZ99" i="16"/>
  <c r="AZ98" i="16"/>
  <c r="AZ97" i="16"/>
  <c r="AZ96" i="16"/>
  <c r="AZ95" i="16"/>
  <c r="AZ94" i="16"/>
  <c r="AZ93" i="16"/>
  <c r="AZ92" i="16"/>
  <c r="AZ91" i="16"/>
  <c r="AZ90" i="16"/>
  <c r="AZ89" i="16"/>
  <c r="AZ88" i="16"/>
  <c r="AZ87" i="16"/>
  <c r="AZ86" i="16"/>
  <c r="AZ85" i="16"/>
  <c r="AZ84" i="16"/>
  <c r="AZ83" i="16"/>
  <c r="AZ82" i="16"/>
  <c r="AZ81" i="16"/>
  <c r="AZ80" i="16"/>
  <c r="AZ79" i="16"/>
  <c r="AZ78" i="16"/>
  <c r="AZ77" i="16"/>
  <c r="AZ76" i="16"/>
  <c r="AZ75" i="16"/>
  <c r="AZ74" i="16"/>
  <c r="AZ73" i="16"/>
  <c r="AZ72" i="16"/>
  <c r="AZ71" i="16"/>
  <c r="AZ70" i="16"/>
  <c r="AZ69" i="16"/>
  <c r="AZ68" i="16"/>
  <c r="AZ67" i="16"/>
  <c r="AZ66" i="16"/>
  <c r="AZ65" i="16"/>
  <c r="AZ64" i="16"/>
  <c r="AZ63" i="16"/>
  <c r="AZ62" i="16"/>
  <c r="AZ61" i="16"/>
  <c r="AZ60" i="16"/>
  <c r="AZ59" i="16"/>
  <c r="AZ58" i="16"/>
  <c r="AZ57" i="16"/>
  <c r="AZ56" i="16"/>
  <c r="AZ54" i="16"/>
  <c r="AZ53" i="16"/>
  <c r="AZ52" i="16"/>
  <c r="AZ51" i="16"/>
  <c r="AZ50" i="16"/>
  <c r="AZ49" i="16"/>
  <c r="AZ48" i="16"/>
  <c r="AZ47" i="16"/>
  <c r="AZ46" i="16"/>
  <c r="AZ45" i="16"/>
  <c r="AZ44" i="16"/>
  <c r="AZ43" i="16"/>
  <c r="AZ42" i="16"/>
  <c r="AZ41" i="16"/>
  <c r="AZ40" i="16"/>
  <c r="AZ39" i="16"/>
  <c r="AZ38" i="16"/>
  <c r="AZ37" i="16"/>
  <c r="AZ36" i="16"/>
  <c r="AZ35" i="16"/>
  <c r="AZ34" i="16"/>
  <c r="AZ33" i="16"/>
  <c r="AZ32" i="16"/>
  <c r="AZ31" i="16"/>
  <c r="AZ30" i="16"/>
  <c r="AZ29" i="16"/>
  <c r="AZ28" i="16"/>
  <c r="AZ27" i="16"/>
  <c r="AZ26" i="16"/>
  <c r="AZ25" i="16"/>
  <c r="AZ24" i="16"/>
  <c r="AZ23" i="16"/>
  <c r="AZ22" i="16"/>
  <c r="AZ21" i="16"/>
  <c r="AZ20" i="16"/>
  <c r="AZ19" i="16"/>
  <c r="AZ18" i="16"/>
  <c r="AZ17" i="16"/>
  <c r="AZ16" i="16"/>
  <c r="AZ15" i="16"/>
  <c r="AZ14" i="16"/>
  <c r="AZ13" i="16"/>
  <c r="AZ12" i="16"/>
  <c r="AZ11" i="16"/>
  <c r="AZ10" i="16"/>
  <c r="AZ9" i="16"/>
  <c r="AZ8" i="16"/>
  <c r="AZ7" i="16"/>
  <c r="AZ6" i="16"/>
  <c r="AZ5" i="16"/>
  <c r="AZ4" i="16"/>
  <c r="AZ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O3" i="23" l="1"/>
  <c r="L8" i="23" s="1"/>
  <c r="Q4" i="23"/>
  <c r="BE196" i="13"/>
  <c r="BE195" i="13" s="1"/>
  <c r="BE148" i="13"/>
  <c r="BE147" i="13" s="1"/>
  <c r="BE146" i="13" s="1"/>
  <c r="BE155" i="13"/>
  <c r="BE154" i="13" s="1"/>
  <c r="O11" i="23"/>
  <c r="AY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X143" i="16"/>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4" i="16"/>
  <c r="AW53" i="16"/>
  <c r="AW52" i="16"/>
  <c r="AW51" i="16"/>
  <c r="AW50" i="16"/>
  <c r="AW49" i="16"/>
  <c r="AW48" i="16"/>
  <c r="AW47" i="16"/>
  <c r="AW46" i="16"/>
  <c r="AW45" i="16"/>
  <c r="AW44" i="16"/>
  <c r="AW43" i="16"/>
  <c r="AW42" i="16"/>
  <c r="AW41" i="16"/>
  <c r="AW40" i="16"/>
  <c r="AW39" i="16"/>
  <c r="AW38" i="16"/>
  <c r="AW37" i="16"/>
  <c r="AW36" i="16"/>
  <c r="AW35" i="16"/>
  <c r="AW34" i="16"/>
  <c r="AW33" i="16"/>
  <c r="AW32" i="16"/>
  <c r="AW31" i="16"/>
  <c r="AW30" i="16"/>
  <c r="AW29" i="16"/>
  <c r="AW28" i="16"/>
  <c r="AW27" i="16"/>
  <c r="AW26" i="16"/>
  <c r="AW25" i="16"/>
  <c r="AW24" i="16"/>
  <c r="AW23" i="16"/>
  <c r="AW22" i="16"/>
  <c r="AW21" i="16"/>
  <c r="AW20" i="16"/>
  <c r="AW19" i="16"/>
  <c r="AW18" i="16"/>
  <c r="AW17" i="16"/>
  <c r="AW16" i="16"/>
  <c r="AW15" i="16"/>
  <c r="AW14" i="16"/>
  <c r="AW13" i="16"/>
  <c r="AW12" i="16"/>
  <c r="AW11" i="16"/>
  <c r="AW10" i="16"/>
  <c r="AW9" i="16"/>
  <c r="AW8" i="16"/>
  <c r="AW7" i="16"/>
  <c r="AW6" i="16"/>
  <c r="AW5" i="16"/>
  <c r="AW4"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18" i="16"/>
  <c r="AV17" i="16"/>
  <c r="AV16" i="16"/>
  <c r="AV15" i="16"/>
  <c r="AV14" i="16"/>
  <c r="AV13" i="16"/>
  <c r="AV12" i="16"/>
  <c r="AV11" i="16"/>
  <c r="AV10" i="16"/>
  <c r="AV9" i="16"/>
  <c r="AV8" i="16"/>
  <c r="AV7" i="16"/>
  <c r="AV6" i="16"/>
  <c r="AV5" i="16"/>
  <c r="AV4" i="16"/>
  <c r="AV20" i="16"/>
  <c r="AV21" i="16"/>
  <c r="AV22" i="16"/>
  <c r="AV23" i="16"/>
  <c r="AV24" i="16"/>
  <c r="AV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N55" i="16"/>
  <c r="AP55" i="16" s="1"/>
  <c r="AV152" i="16"/>
  <c r="AW152" i="16"/>
  <c r="AX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O55" i="16"/>
  <c r="BE14" i="13"/>
  <c r="AQ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N54" i="16"/>
  <c r="AP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N57" i="16" s="1"/>
  <c r="AP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N58" i="16"/>
  <c r="AP58" i="16" s="1"/>
  <c r="AA152" i="16"/>
  <c r="AN71" i="16"/>
  <c r="AP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N142" i="16" s="1"/>
  <c r="AP142" i="16" s="1"/>
  <c r="W141" i="16"/>
  <c r="AN141" i="16" s="1"/>
  <c r="AP141" i="16" s="1"/>
  <c r="W140" i="16"/>
  <c r="AN140" i="16" s="1"/>
  <c r="D51" i="47" s="1" a="1"/>
  <c r="D51" i="47" s="1"/>
  <c r="W139" i="16"/>
  <c r="W138" i="16"/>
  <c r="AN138" i="16" s="1"/>
  <c r="AP138" i="16" s="1"/>
  <c r="W137" i="16"/>
  <c r="AN137" i="16" s="1"/>
  <c r="AP137" i="16" s="1"/>
  <c r="W136" i="16"/>
  <c r="W135" i="16"/>
  <c r="AN135" i="16" s="1"/>
  <c r="AP135" i="16" s="1"/>
  <c r="W134" i="16"/>
  <c r="AN134" i="16" s="1"/>
  <c r="AP134" i="16" s="1"/>
  <c r="W133" i="16"/>
  <c r="AN133" i="16" s="1"/>
  <c r="W132" i="16"/>
  <c r="AN132" i="16" s="1"/>
  <c r="AP132" i="16" s="1"/>
  <c r="W131" i="16"/>
  <c r="W130" i="16"/>
  <c r="AN130" i="16" s="1"/>
  <c r="AP130" i="16" s="1"/>
  <c r="W129" i="16"/>
  <c r="AN129" i="16" s="1"/>
  <c r="AP129" i="16" s="1"/>
  <c r="W128" i="16"/>
  <c r="AN128" i="16" s="1"/>
  <c r="AP128" i="16" s="1"/>
  <c r="W127" i="16"/>
  <c r="AN127" i="16" s="1"/>
  <c r="AP127" i="16" s="1"/>
  <c r="W126" i="16"/>
  <c r="AN126" i="16" s="1"/>
  <c r="W125" i="16"/>
  <c r="AN125" i="16" s="1"/>
  <c r="AP125" i="16" s="1"/>
  <c r="W124" i="16"/>
  <c r="AN124" i="16" s="1"/>
  <c r="AP124" i="16" s="1"/>
  <c r="W123" i="16"/>
  <c r="AN123" i="16" s="1"/>
  <c r="AP123" i="16" s="1"/>
  <c r="W122" i="16"/>
  <c r="W121" i="16"/>
  <c r="AN121" i="16" s="1"/>
  <c r="AP121" i="16" s="1"/>
  <c r="W120" i="16"/>
  <c r="W119" i="16"/>
  <c r="AN119" i="16" s="1"/>
  <c r="AP119" i="16" s="1"/>
  <c r="W118" i="16"/>
  <c r="AN118" i="16" s="1"/>
  <c r="AP118" i="16" s="1"/>
  <c r="W117" i="16"/>
  <c r="W116" i="16"/>
  <c r="AN116" i="16" s="1"/>
  <c r="AP116" i="16" s="1"/>
  <c r="W115" i="16"/>
  <c r="W114" i="16"/>
  <c r="AN114" i="16" s="1"/>
  <c r="AP114" i="16" s="1"/>
  <c r="W113" i="16"/>
  <c r="W112" i="16"/>
  <c r="AN112" i="16" s="1"/>
  <c r="W111" i="16"/>
  <c r="AN111" i="16" s="1"/>
  <c r="AP111" i="16" s="1"/>
  <c r="W110" i="16"/>
  <c r="AN110" i="16" s="1"/>
  <c r="AP110" i="16" s="1"/>
  <c r="W109" i="16"/>
  <c r="AN109" i="16" s="1"/>
  <c r="AP109" i="16" s="1"/>
  <c r="W108" i="16"/>
  <c r="AN108" i="16" s="1"/>
  <c r="AP108" i="16" s="1"/>
  <c r="W107" i="16"/>
  <c r="AN107" i="16" s="1"/>
  <c r="W106" i="16"/>
  <c r="AN106" i="16" s="1"/>
  <c r="AP106" i="16" s="1"/>
  <c r="W105" i="16"/>
  <c r="AN105" i="16" s="1"/>
  <c r="AP105" i="16" s="1"/>
  <c r="W104" i="16"/>
  <c r="AN104" i="16" s="1"/>
  <c r="AP104" i="16" s="1"/>
  <c r="W103" i="16"/>
  <c r="AN103" i="16" s="1"/>
  <c r="AP103" i="16" s="1"/>
  <c r="W102" i="16"/>
  <c r="AN102" i="16" s="1"/>
  <c r="AP102" i="16" s="1"/>
  <c r="W101" i="16"/>
  <c r="AN101" i="16" s="1"/>
  <c r="W100" i="16"/>
  <c r="AN100" i="16" s="1"/>
  <c r="AP100" i="16" s="1"/>
  <c r="W99" i="16"/>
  <c r="AN99" i="16" s="1"/>
  <c r="AP99" i="16" s="1"/>
  <c r="W98" i="16"/>
  <c r="AN98" i="16" s="1"/>
  <c r="AP98" i="16" s="1"/>
  <c r="W97" i="16"/>
  <c r="AN97" i="16" s="1"/>
  <c r="AP97" i="16" s="1"/>
  <c r="W96" i="16"/>
  <c r="AN96" i="16" s="1"/>
  <c r="AP96" i="16" s="1"/>
  <c r="W95" i="16"/>
  <c r="AN95" i="16" s="1"/>
  <c r="AP95" i="16" s="1"/>
  <c r="W94" i="16"/>
  <c r="AN94" i="16" s="1"/>
  <c r="AP94" i="16" s="1"/>
  <c r="W93" i="16"/>
  <c r="AN93" i="16" s="1"/>
  <c r="AP93" i="16" s="1"/>
  <c r="W92" i="16"/>
  <c r="AN92" i="16" s="1"/>
  <c r="AP92" i="16" s="1"/>
  <c r="W91" i="16"/>
  <c r="AN91" i="16" s="1"/>
  <c r="AP91" i="16" s="1"/>
  <c r="W90" i="16"/>
  <c r="AN90" i="16" s="1"/>
  <c r="AP90" i="16" s="1"/>
  <c r="W89" i="16"/>
  <c r="AN89" i="16" s="1"/>
  <c r="AP89" i="16" s="1"/>
  <c r="W88" i="16"/>
  <c r="W87" i="16"/>
  <c r="AN87" i="16" s="1"/>
  <c r="AP87" i="16" s="1"/>
  <c r="W86" i="16"/>
  <c r="AN86" i="16" s="1"/>
  <c r="AP86" i="16" s="1"/>
  <c r="W85" i="16"/>
  <c r="AN85" i="16" s="1"/>
  <c r="AP85" i="16" s="1"/>
  <c r="W84" i="16"/>
  <c r="W83" i="16"/>
  <c r="W82" i="16"/>
  <c r="AN82" i="16" s="1"/>
  <c r="AP82" i="16" s="1"/>
  <c r="W81" i="16"/>
  <c r="AN81" i="16" s="1"/>
  <c r="AP81" i="16" s="1"/>
  <c r="W80" i="16"/>
  <c r="AN80" i="16" s="1"/>
  <c r="AP80" i="16" s="1"/>
  <c r="W79" i="16"/>
  <c r="AN79" i="16" s="1"/>
  <c r="AP79" i="16" s="1"/>
  <c r="W78" i="16"/>
  <c r="AN78" i="16" s="1"/>
  <c r="AP78" i="16" s="1"/>
  <c r="W77" i="16"/>
  <c r="AN77" i="16" s="1"/>
  <c r="AP77" i="16" s="1"/>
  <c r="W75" i="16"/>
  <c r="AN75" i="16" s="1"/>
  <c r="AP75" i="16" s="1"/>
  <c r="W74" i="16"/>
  <c r="AN74" i="16" s="1"/>
  <c r="AP74" i="16" s="1"/>
  <c r="W73" i="16"/>
  <c r="AN73" i="16" s="1"/>
  <c r="AP73" i="16" s="1"/>
  <c r="W72" i="16"/>
  <c r="AN72" i="16" s="1"/>
  <c r="AP72" i="16" s="1"/>
  <c r="W70" i="16"/>
  <c r="AN70" i="16" s="1"/>
  <c r="AP70" i="16" s="1"/>
  <c r="W69" i="16"/>
  <c r="AN69" i="16" s="1"/>
  <c r="AP69" i="16" s="1"/>
  <c r="W68" i="16"/>
  <c r="AN68" i="16" s="1"/>
  <c r="AP68" i="16" s="1"/>
  <c r="W67" i="16"/>
  <c r="AN67" i="16" s="1"/>
  <c r="AP67" i="16" s="1"/>
  <c r="W66" i="16"/>
  <c r="AN66" i="16" s="1"/>
  <c r="AP66" i="16" s="1"/>
  <c r="W65" i="16"/>
  <c r="AN65" i="16" s="1"/>
  <c r="AP65" i="16" s="1"/>
  <c r="W64" i="16"/>
  <c r="AN64" i="16" s="1"/>
  <c r="AP64" i="16" s="1"/>
  <c r="W63" i="16"/>
  <c r="AN63" i="16" s="1"/>
  <c r="AP63" i="16" s="1"/>
  <c r="W62" i="16"/>
  <c r="AN62" i="16" s="1"/>
  <c r="AP62" i="16" s="1"/>
  <c r="W61" i="16"/>
  <c r="AN61" i="16" s="1"/>
  <c r="AP61" i="16" s="1"/>
  <c r="W60" i="16"/>
  <c r="AN60" i="16" s="1"/>
  <c r="AP60" i="16" s="1"/>
  <c r="W59" i="16"/>
  <c r="AN59" i="16" s="1"/>
  <c r="AP59" i="16" s="1"/>
  <c r="W56" i="16"/>
  <c r="AN56" i="16" s="1"/>
  <c r="AP56" i="16" s="1"/>
  <c r="W53" i="16"/>
  <c r="AN53" i="16" s="1"/>
  <c r="AP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N76" i="16" s="1"/>
  <c r="AO57" i="16"/>
  <c r="V143" i="16"/>
  <c r="AN143" i="16" s="1"/>
  <c r="AP143" i="16" s="1"/>
  <c r="V51" i="16"/>
  <c r="V52" i="16"/>
  <c r="AN52" i="16" s="1"/>
  <c r="AP52" i="16" s="1"/>
  <c r="V50" i="16"/>
  <c r="AN50" i="16" s="1"/>
  <c r="AP50" i="16" s="1"/>
  <c r="V47" i="16"/>
  <c r="V48" i="16"/>
  <c r="AN48" i="16" s="1"/>
  <c r="AP48" i="16" s="1"/>
  <c r="V49" i="16"/>
  <c r="AN49" i="16" s="1"/>
  <c r="AP49" i="16" s="1"/>
  <c r="V46" i="16"/>
  <c r="AN46" i="16" s="1"/>
  <c r="AP46" i="16" s="1"/>
  <c r="V45" i="16"/>
  <c r="AN45" i="16" s="1"/>
  <c r="AP45" i="16" s="1"/>
  <c r="V44" i="16"/>
  <c r="AN44" i="16" s="1"/>
  <c r="D48" i="47" s="1" a="1"/>
  <c r="D48" i="47" s="1"/>
  <c r="V43" i="16"/>
  <c r="AN43" i="16" s="1"/>
  <c r="AP43" i="16" s="1"/>
  <c r="V41" i="16"/>
  <c r="AN41" i="16" s="1"/>
  <c r="AP41" i="16" s="1"/>
  <c r="V42" i="16"/>
  <c r="V40" i="16"/>
  <c r="AN40" i="16" s="1"/>
  <c r="AP40" i="16" s="1"/>
  <c r="V36" i="16"/>
  <c r="AN36" i="16" s="1"/>
  <c r="AP36" i="16" s="1"/>
  <c r="V37" i="16"/>
  <c r="AN37" i="16" s="1"/>
  <c r="AP37" i="16" s="1"/>
  <c r="V38" i="16"/>
  <c r="V39" i="16"/>
  <c r="V34" i="16"/>
  <c r="V35" i="16"/>
  <c r="V33" i="16"/>
  <c r="AN33" i="16" s="1"/>
  <c r="AP33" i="16" s="1"/>
  <c r="V30" i="16"/>
  <c r="V31" i="16"/>
  <c r="AN31" i="16" s="1"/>
  <c r="AP31" i="16" s="1"/>
  <c r="V32" i="16"/>
  <c r="AN32" i="16" s="1"/>
  <c r="D58" i="47" s="1" a="1"/>
  <c r="D58" i="47" s="1"/>
  <c r="V29" i="16"/>
  <c r="AN29" i="16" s="1"/>
  <c r="V26" i="16"/>
  <c r="V27" i="16"/>
  <c r="AN27" i="16" s="1"/>
  <c r="AP27" i="16" s="1"/>
  <c r="V28" i="16"/>
  <c r="AN28" i="16" s="1"/>
  <c r="AP28" i="16" s="1"/>
  <c r="V25" i="16"/>
  <c r="AN25" i="16" s="1"/>
  <c r="AP25" i="16" s="1"/>
  <c r="V24" i="16"/>
  <c r="AN24" i="16" s="1"/>
  <c r="AP24" i="16" s="1"/>
  <c r="V20" i="16"/>
  <c r="AN20" i="16" s="1"/>
  <c r="AP20" i="16" s="1"/>
  <c r="V21" i="16"/>
  <c r="AN21" i="16" s="1"/>
  <c r="AP21" i="16" s="1"/>
  <c r="V22" i="16"/>
  <c r="V23" i="16"/>
  <c r="V19" i="16"/>
  <c r="AN19" i="16" s="1"/>
  <c r="AP19" i="16" s="1"/>
  <c r="V18" i="16"/>
  <c r="AN18" i="16" s="1"/>
  <c r="AP18" i="16" s="1"/>
  <c r="V13" i="16"/>
  <c r="AN13" i="16" s="1"/>
  <c r="AP13" i="16" s="1"/>
  <c r="V14" i="16"/>
  <c r="V15" i="16"/>
  <c r="AN15" i="16" s="1"/>
  <c r="AP15" i="16" s="1"/>
  <c r="V16" i="16"/>
  <c r="AN16" i="16" s="1"/>
  <c r="V17" i="16"/>
  <c r="AN17" i="16" s="1"/>
  <c r="V12" i="16"/>
  <c r="AN12" i="16" s="1"/>
  <c r="V11" i="16"/>
  <c r="AN11" i="16" s="1"/>
  <c r="AP11" i="16" s="1"/>
  <c r="V10" i="16"/>
  <c r="AN10" i="16" s="1"/>
  <c r="D20" i="47" s="1" a="1"/>
  <c r="D20" i="47" s="1"/>
  <c r="V8" i="16"/>
  <c r="AN8" i="16" s="1"/>
  <c r="AP8" i="16" s="1"/>
  <c r="V9" i="16"/>
  <c r="AN9" i="16" s="1"/>
  <c r="AP9" i="16" s="1"/>
  <c r="V7" i="16"/>
  <c r="AN7" i="16" s="1"/>
  <c r="AP7" i="16" s="1"/>
  <c r="V5" i="16"/>
  <c r="AN5" i="16" s="1"/>
  <c r="AP5" i="16" s="1"/>
  <c r="V6" i="16"/>
  <c r="V4" i="16"/>
  <c r="I58" i="47" l="1"/>
  <c r="K58" i="47" s="1"/>
  <c r="L58" i="47" s="1"/>
  <c r="E58" i="47"/>
  <c r="J58" i="47" s="1"/>
  <c r="F58" i="47"/>
  <c r="G58" i="47" s="1"/>
  <c r="AN34" i="16"/>
  <c r="D17" i="47" a="1"/>
  <c r="D17" i="47" s="1"/>
  <c r="I48" i="47"/>
  <c r="K48" i="47" s="1"/>
  <c r="L48" i="47" s="1"/>
  <c r="E48" i="47"/>
  <c r="J48" i="47" s="1"/>
  <c r="D50" i="47"/>
  <c r="F48" i="47"/>
  <c r="G48" i="47" s="1"/>
  <c r="D57" i="47" a="1"/>
  <c r="D57" i="47" s="1"/>
  <c r="AN6" i="16"/>
  <c r="AP6" i="16" s="1"/>
  <c r="E20" i="47"/>
  <c r="I20" i="47"/>
  <c r="F20" i="47"/>
  <c r="G20" i="47" s="1"/>
  <c r="I51" i="47"/>
  <c r="K51" i="47" s="1"/>
  <c r="L51" i="47" s="1"/>
  <c r="E51" i="47"/>
  <c r="J51" i="47" s="1"/>
  <c r="D53" i="47"/>
  <c r="F51" i="47"/>
  <c r="G51" i="47" s="1"/>
  <c r="D20" i="41" a="1"/>
  <c r="D20" i="41" s="1"/>
  <c r="E20" i="41" s="1"/>
  <c r="AN22" i="16"/>
  <c r="AP22" i="16" s="1"/>
  <c r="AN14" i="16"/>
  <c r="AP14" i="16" s="1"/>
  <c r="AN23" i="16"/>
  <c r="AP23" i="16" s="1"/>
  <c r="AN26" i="16"/>
  <c r="AP26" i="16" s="1"/>
  <c r="AN30" i="16"/>
  <c r="AP30" i="16" s="1"/>
  <c r="AN39" i="16"/>
  <c r="AP39" i="16" s="1"/>
  <c r="D48" i="41" a="1"/>
  <c r="D48" i="41" s="1"/>
  <c r="D46" i="40" a="1"/>
  <c r="D46" i="40" s="1"/>
  <c r="AN51" i="16"/>
  <c r="AP51" i="16" s="1"/>
  <c r="W152" i="16"/>
  <c r="D23" i="41" a="1"/>
  <c r="D23" i="41" s="1"/>
  <c r="AN38" i="16"/>
  <c r="AP38" i="16" s="1"/>
  <c r="AN42" i="16"/>
  <c r="AP42" i="16" s="1"/>
  <c r="AN47" i="16"/>
  <c r="AP47" i="16" s="1"/>
  <c r="D57" i="41" a="1"/>
  <c r="D57" i="41" s="1"/>
  <c r="D58" i="41" a="1"/>
  <c r="D58" i="41" s="1"/>
  <c r="D56" i="40" a="1"/>
  <c r="D56" i="40" s="1"/>
  <c r="AN35" i="16"/>
  <c r="D49" i="40" a="1"/>
  <c r="D49" i="40" s="1"/>
  <c r="D51" i="41" a="1"/>
  <c r="D51" i="41" s="1"/>
  <c r="AP107" i="16"/>
  <c r="D17" i="41" a="1"/>
  <c r="D17" i="41" s="1"/>
  <c r="AP133" i="16"/>
  <c r="AP17" i="16"/>
  <c r="AP12" i="16"/>
  <c r="D19" i="40" a="1"/>
  <c r="D19" i="40" s="1"/>
  <c r="I19" i="40" s="1"/>
  <c r="J19" i="40" s="1"/>
  <c r="AP10" i="16"/>
  <c r="D11" i="40" a="1"/>
  <c r="D11" i="40" s="1"/>
  <c r="AP34" i="16"/>
  <c r="AP76" i="16"/>
  <c r="D16" i="40" a="1"/>
  <c r="D16" i="40" s="1"/>
  <c r="I16" i="40" s="1"/>
  <c r="AP101" i="16"/>
  <c r="AQ101" i="16" s="1"/>
  <c r="AP44" i="16"/>
  <c r="AP126" i="16"/>
  <c r="D22" i="40" a="1"/>
  <c r="D22" i="40" s="1"/>
  <c r="I22" i="40" s="1"/>
  <c r="AP29" i="16"/>
  <c r="AP16" i="16"/>
  <c r="AP32" i="16"/>
  <c r="AN84" i="16"/>
  <c r="AP84" i="16" s="1"/>
  <c r="AQ84" i="16" s="1"/>
  <c r="AN88" i="16"/>
  <c r="AP88" i="16" s="1"/>
  <c r="AQ88" i="16" s="1"/>
  <c r="AP112" i="16"/>
  <c r="AP140" i="16"/>
  <c r="AQ127" i="16"/>
  <c r="AO127" i="16"/>
  <c r="AQ77" i="16"/>
  <c r="AO77" i="16"/>
  <c r="AQ97" i="16"/>
  <c r="AO97" i="16"/>
  <c r="AO101" i="16"/>
  <c r="AQ121" i="16"/>
  <c r="AO121" i="16"/>
  <c r="AO8" i="16"/>
  <c r="J15" i="13"/>
  <c r="AU15" i="13" s="1"/>
  <c r="AU16" i="13"/>
  <c r="AO47" i="16"/>
  <c r="AO20" i="16"/>
  <c r="AO36" i="16"/>
  <c r="AO56" i="16"/>
  <c r="AO6" i="16"/>
  <c r="AO22" i="16"/>
  <c r="AO42" i="16"/>
  <c r="AO128" i="16"/>
  <c r="AO89" i="16"/>
  <c r="AO105" i="16"/>
  <c r="AO61" i="16"/>
  <c r="AO72" i="16"/>
  <c r="AO64" i="16"/>
  <c r="AO86" i="16"/>
  <c r="AO132" i="16"/>
  <c r="AO45" i="16"/>
  <c r="AO53" i="16"/>
  <c r="AO74" i="16"/>
  <c r="AO24" i="16"/>
  <c r="AO134" i="16"/>
  <c r="AO40" i="16"/>
  <c r="AO5" i="16"/>
  <c r="AO25" i="16"/>
  <c r="AO90" i="16"/>
  <c r="AO102" i="16"/>
  <c r="AO106" i="16"/>
  <c r="AO116" i="16"/>
  <c r="AO125" i="16"/>
  <c r="AO104" i="16"/>
  <c r="AO9" i="16"/>
  <c r="AO80" i="16"/>
  <c r="AO108" i="16"/>
  <c r="AO92" i="16"/>
  <c r="AO19" i="16"/>
  <c r="AO31" i="16"/>
  <c r="AO7" i="16"/>
  <c r="AQ57" i="16"/>
  <c r="AO70" i="16"/>
  <c r="AO96" i="16"/>
  <c r="AO118" i="16"/>
  <c r="AO28" i="16"/>
  <c r="AO82" i="16"/>
  <c r="AO130" i="16"/>
  <c r="AO60" i="16"/>
  <c r="AO119" i="16"/>
  <c r="AN4" i="16"/>
  <c r="I20" i="41" l="1"/>
  <c r="D23" i="47" a="1"/>
  <c r="D23" i="47" s="1"/>
  <c r="D11" i="41" a="1"/>
  <c r="D11" i="41" s="1"/>
  <c r="D11" i="47" a="1"/>
  <c r="D11" i="47" s="1"/>
  <c r="D19" i="41" a="1"/>
  <c r="D19" i="41" s="1"/>
  <c r="D19" i="47" a="1"/>
  <c r="D19" i="47" s="1"/>
  <c r="F20" i="41"/>
  <c r="G20" i="41" s="1"/>
  <c r="AO26" i="16"/>
  <c r="I53" i="47"/>
  <c r="K53" i="47" s="1"/>
  <c r="L53" i="47" s="1"/>
  <c r="E53" i="47"/>
  <c r="J53" i="47" s="1"/>
  <c r="F53" i="47"/>
  <c r="G53" i="47" s="1"/>
  <c r="I17" i="47"/>
  <c r="E17" i="47"/>
  <c r="F17" i="47"/>
  <c r="G17" i="47" s="1"/>
  <c r="AP35" i="16"/>
  <c r="J20" i="47"/>
  <c r="K20" i="47"/>
  <c r="L20" i="47" s="1"/>
  <c r="D22" i="47" a="1"/>
  <c r="D22" i="47" s="1"/>
  <c r="I50" i="47"/>
  <c r="K50" i="47" s="1"/>
  <c r="L50" i="47" s="1"/>
  <c r="E50" i="47"/>
  <c r="J50" i="47" s="1"/>
  <c r="F50" i="47"/>
  <c r="G50" i="47" s="1"/>
  <c r="E57" i="47"/>
  <c r="J57" i="47" s="1"/>
  <c r="D59" i="47"/>
  <c r="I57" i="47"/>
  <c r="K57" i="47" s="1"/>
  <c r="L57" i="47" s="1"/>
  <c r="F57" i="47"/>
  <c r="G57" i="47" s="1"/>
  <c r="D55" i="40"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AO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O84" i="16"/>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O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O142" i="16"/>
  <c r="G18" i="14" a="1"/>
  <c r="G18" i="14" s="1"/>
  <c r="AO4" i="16"/>
  <c r="G17" i="14" a="1"/>
  <c r="G17" i="14" s="1"/>
  <c r="AO112" i="16"/>
  <c r="G10" i="14" a="1"/>
  <c r="G10" i="14" s="1"/>
  <c r="AO126" i="16"/>
  <c r="G21" i="14" a="1"/>
  <c r="G21" i="14" s="1"/>
  <c r="AO12" i="16"/>
  <c r="G20" i="14" a="1"/>
  <c r="G20" i="14" s="1"/>
  <c r="G15" i="14" a="1"/>
  <c r="G15" i="14" s="1"/>
  <c r="G43" i="14" a="1"/>
  <c r="G43" i="14" s="1"/>
  <c r="AO16" i="16"/>
  <c r="G33" i="14" a="1"/>
  <c r="G33" i="14" s="1"/>
  <c r="AO76" i="16"/>
  <c r="AQ43" i="16"/>
  <c r="AO43" i="16"/>
  <c r="AQ81" i="16"/>
  <c r="AO81" i="16"/>
  <c r="AQ52" i="16"/>
  <c r="AO52" i="16"/>
  <c r="AQ49" i="16"/>
  <c r="AO49" i="16"/>
  <c r="AQ50" i="16"/>
  <c r="AO50" i="16"/>
  <c r="AQ140" i="16"/>
  <c r="AO140" i="16"/>
  <c r="AQ133" i="16"/>
  <c r="AO133" i="16"/>
  <c r="AQ39" i="16"/>
  <c r="AO39" i="16"/>
  <c r="AQ54" i="16"/>
  <c r="AO54" i="16"/>
  <c r="AQ98" i="16"/>
  <c r="AO98" i="16"/>
  <c r="AQ44" i="16"/>
  <c r="AO44" i="16"/>
  <c r="AQ13" i="16"/>
  <c r="AO13" i="16"/>
  <c r="AQ30" i="16"/>
  <c r="AO30" i="16"/>
  <c r="AQ34" i="16"/>
  <c r="AO34" i="16"/>
  <c r="AQ10" i="16"/>
  <c r="AO10" i="16"/>
  <c r="AQ59" i="16"/>
  <c r="AO59" i="16"/>
  <c r="AQ124" i="16"/>
  <c r="AO124" i="16"/>
  <c r="AQ38" i="16"/>
  <c r="AO38" i="16"/>
  <c r="AQ62" i="16"/>
  <c r="AO62" i="16"/>
  <c r="AQ51" i="16"/>
  <c r="AO51" i="16"/>
  <c r="AQ91" i="16"/>
  <c r="AO91" i="16"/>
  <c r="AQ78" i="16"/>
  <c r="AO78" i="16"/>
  <c r="AQ87" i="16"/>
  <c r="AO87" i="16"/>
  <c r="AQ110" i="16"/>
  <c r="AO110" i="16"/>
  <c r="AQ46" i="16"/>
  <c r="AO46" i="16"/>
  <c r="AQ79" i="16"/>
  <c r="AO79" i="16"/>
  <c r="AQ100" i="16"/>
  <c r="AO100" i="16"/>
  <c r="AQ75" i="16"/>
  <c r="AO75" i="16"/>
  <c r="AQ33" i="16"/>
  <c r="AO33" i="16"/>
  <c r="AQ11" i="16"/>
  <c r="AO11" i="16"/>
  <c r="AQ73" i="16"/>
  <c r="AO73" i="16"/>
  <c r="AQ71" i="16"/>
  <c r="AO71" i="16"/>
  <c r="AQ27" i="16"/>
  <c r="AO27" i="16"/>
  <c r="AQ99" i="16"/>
  <c r="AO99" i="16"/>
  <c r="AQ141" i="16"/>
  <c r="AO141" i="16"/>
  <c r="AQ94" i="16"/>
  <c r="AO94" i="16"/>
  <c r="AQ41" i="16"/>
  <c r="AO41" i="16"/>
  <c r="AQ14" i="16"/>
  <c r="AO14" i="16"/>
  <c r="AQ143" i="16"/>
  <c r="AO143" i="16"/>
  <c r="AQ48" i="16"/>
  <c r="AO48" i="16"/>
  <c r="AQ23" i="16"/>
  <c r="AO23" i="16"/>
  <c r="AQ85" i="16"/>
  <c r="AO85" i="16"/>
  <c r="AQ135" i="16"/>
  <c r="AO135" i="16"/>
  <c r="AQ32" i="16"/>
  <c r="AO32" i="16"/>
  <c r="AQ138" i="16"/>
  <c r="AO138" i="16"/>
  <c r="AQ107" i="16"/>
  <c r="AO107" i="16"/>
  <c r="AQ21" i="16"/>
  <c r="AO21" i="16"/>
  <c r="AQ18" i="16"/>
  <c r="AO18" i="16"/>
  <c r="AQ15" i="16"/>
  <c r="AO15" i="16"/>
  <c r="AQ109" i="16"/>
  <c r="AO109" i="16"/>
  <c r="AQ69" i="16"/>
  <c r="AO69" i="16"/>
  <c r="AQ65" i="16"/>
  <c r="AO65" i="16"/>
  <c r="AQ111" i="16"/>
  <c r="AO111" i="16"/>
  <c r="AQ67" i="16"/>
  <c r="AO67" i="16"/>
  <c r="AQ63" i="16"/>
  <c r="AO63" i="16"/>
  <c r="AQ95" i="16"/>
  <c r="AO95" i="16"/>
  <c r="AQ137" i="16"/>
  <c r="AO137" i="16"/>
  <c r="AQ17" i="16"/>
  <c r="AO17" i="16"/>
  <c r="AQ123" i="16"/>
  <c r="AO123" i="16"/>
  <c r="AQ129" i="16"/>
  <c r="AO129" i="16"/>
  <c r="AQ29" i="16"/>
  <c r="AO29" i="16"/>
  <c r="AQ68" i="16"/>
  <c r="AO68" i="16"/>
  <c r="AQ103" i="16"/>
  <c r="AO103" i="16"/>
  <c r="AQ93" i="16"/>
  <c r="AO93" i="16"/>
  <c r="AQ114" i="16"/>
  <c r="AO114" i="16"/>
  <c r="AQ66" i="16"/>
  <c r="AO66" i="16"/>
  <c r="AQ37" i="16"/>
  <c r="AO37" i="16"/>
  <c r="AQ142" i="16"/>
  <c r="AQ47" i="16"/>
  <c r="AQ56" i="16"/>
  <c r="AQ22" i="16"/>
  <c r="AQ20" i="16"/>
  <c r="AQ76" i="16"/>
  <c r="AQ36" i="16"/>
  <c r="AQ12" i="16"/>
  <c r="AQ72" i="16"/>
  <c r="AQ45" i="16"/>
  <c r="AQ128" i="16"/>
  <c r="AQ61" i="16"/>
  <c r="AQ26" i="16"/>
  <c r="AQ53" i="16"/>
  <c r="AQ89" i="16"/>
  <c r="AQ134" i="16"/>
  <c r="AQ105" i="16"/>
  <c r="AQ74" i="16"/>
  <c r="AQ42" i="16"/>
  <c r="AQ64" i="16"/>
  <c r="AQ24" i="16"/>
  <c r="AQ132" i="16"/>
  <c r="AQ86" i="16"/>
  <c r="AQ40" i="16"/>
  <c r="AQ25" i="16"/>
  <c r="AQ125" i="16"/>
  <c r="AQ108" i="16"/>
  <c r="AP4" i="16"/>
  <c r="AQ90" i="16"/>
  <c r="AQ106" i="16"/>
  <c r="AQ102" i="16"/>
  <c r="AQ35" i="16"/>
  <c r="AQ16" i="16"/>
  <c r="AQ92" i="16"/>
  <c r="AQ126" i="16"/>
  <c r="AQ112" i="16"/>
  <c r="AQ116" i="16"/>
  <c r="AQ104" i="16"/>
  <c r="AQ19" i="16"/>
  <c r="AQ80" i="16"/>
  <c r="AQ31" i="16"/>
  <c r="AQ130" i="16"/>
  <c r="AQ28" i="16"/>
  <c r="AQ118" i="16"/>
  <c r="AQ82" i="16"/>
  <c r="AQ119" i="16"/>
  <c r="AQ70" i="16"/>
  <c r="AQ96" i="16"/>
  <c r="AQ60" i="16"/>
  <c r="AU23" i="13"/>
  <c r="AV23" i="13" s="1"/>
  <c r="AU22" i="13"/>
  <c r="AV22" i="13" s="1"/>
  <c r="AV21" i="13"/>
  <c r="I59" i="47" l="1"/>
  <c r="K59" i="47" s="1"/>
  <c r="L59" i="47" s="1"/>
  <c r="E59" i="47"/>
  <c r="J59" i="47" s="1"/>
  <c r="F59" i="47"/>
  <c r="G59" i="47" s="1"/>
  <c r="J17" i="47"/>
  <c r="K17" i="47"/>
  <c r="L17" i="47" s="1"/>
  <c r="D21" i="47"/>
  <c r="I19" i="47"/>
  <c r="E19" i="47"/>
  <c r="F19" i="47"/>
  <c r="G19" i="47" s="1"/>
  <c r="F11" i="41"/>
  <c r="I11" i="41"/>
  <c r="E11" i="41"/>
  <c r="D37" i="41"/>
  <c r="E37" i="41" s="1"/>
  <c r="D60" i="47"/>
  <c r="I23" i="47"/>
  <c r="E23" i="47"/>
  <c r="F23" i="47"/>
  <c r="G23" i="47" s="1"/>
  <c r="E22" i="47"/>
  <c r="D24" i="47"/>
  <c r="I22" i="47"/>
  <c r="F22" i="47"/>
  <c r="G22" i="47" s="1"/>
  <c r="I11" i="47"/>
  <c r="E11" i="47"/>
  <c r="D37" i="47"/>
  <c r="E37" i="47" s="1"/>
  <c r="F11" i="47"/>
  <c r="D23" i="40"/>
  <c r="E55" i="40"/>
  <c r="J55" i="40" s="1"/>
  <c r="D57" i="40"/>
  <c r="I57" i="40" s="1"/>
  <c r="K57" i="40" s="1"/>
  <c r="L57" i="40" s="1"/>
  <c r="I55" i="40"/>
  <c r="K55" i="40" s="1"/>
  <c r="L55" i="40" s="1"/>
  <c r="F22" i="41"/>
  <c r="G22" i="41" s="1"/>
  <c r="D24" i="41"/>
  <c r="K21" i="40"/>
  <c r="L21" i="40" s="1"/>
  <c r="E21" i="40"/>
  <c r="I22" i="41"/>
  <c r="I24" i="41" s="1"/>
  <c r="F21" i="40"/>
  <c r="G21" i="40"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Q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J22" i="47" l="1"/>
  <c r="I24" i="47"/>
  <c r="K22" i="47"/>
  <c r="L22" i="47" s="1"/>
  <c r="E24" i="47"/>
  <c r="F24" i="47"/>
  <c r="G24" i="47" s="1"/>
  <c r="J23" i="47"/>
  <c r="K23" i="47"/>
  <c r="L23" i="47" s="1"/>
  <c r="J11" i="41"/>
  <c r="K11" i="41"/>
  <c r="I37" i="41"/>
  <c r="J37" i="41" s="1"/>
  <c r="J19" i="47"/>
  <c r="I21" i="47"/>
  <c r="K19" i="47"/>
  <c r="L19" i="47" s="1"/>
  <c r="J11" i="47"/>
  <c r="I37" i="47"/>
  <c r="J37" i="47" s="1"/>
  <c r="K11" i="47"/>
  <c r="E60" i="47"/>
  <c r="J60" i="47" s="1"/>
  <c r="D61" i="47"/>
  <c r="I60" i="47"/>
  <c r="K60" i="47" s="1"/>
  <c r="L60" i="47" s="1"/>
  <c r="F60" i="47"/>
  <c r="G60" i="47" s="1"/>
  <c r="G11" i="41"/>
  <c r="F37" i="41"/>
  <c r="G37" i="41" s="1"/>
  <c r="E21" i="47"/>
  <c r="F21" i="47"/>
  <c r="G21" i="47" s="1"/>
  <c r="G11" i="47"/>
  <c r="F37" i="47"/>
  <c r="G37" i="47" s="1"/>
  <c r="F57" i="40"/>
  <c r="G57" i="40" s="1"/>
  <c r="E57" i="40"/>
  <c r="J57" i="40" s="1"/>
  <c r="K22" i="4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Q8" i="16"/>
  <c r="AQ7" i="16"/>
  <c r="AW180" i="13"/>
  <c r="AX180" i="13" s="1"/>
  <c r="AQ9" i="16"/>
  <c r="AQ6" i="16"/>
  <c r="AW48" i="13"/>
  <c r="AX48" i="13" s="1"/>
  <c r="F81" i="13"/>
  <c r="F80" i="13" s="1"/>
  <c r="AW189" i="13"/>
  <c r="AX189" i="13" s="1"/>
  <c r="F222" i="13"/>
  <c r="F32" i="13"/>
  <c r="F195" i="13"/>
  <c r="K37" i="47" l="1"/>
  <c r="L37" i="47" s="1"/>
  <c r="L11" i="47"/>
  <c r="J21" i="47"/>
  <c r="K21" i="47"/>
  <c r="L21" i="47" s="1"/>
  <c r="I61" i="47"/>
  <c r="K61" i="47" s="1"/>
  <c r="L61" i="47" s="1"/>
  <c r="E61" i="47"/>
  <c r="J61" i="47" s="1"/>
  <c r="F61" i="47"/>
  <c r="G61" i="47" s="1"/>
  <c r="J24" i="47"/>
  <c r="K24" i="47"/>
  <c r="L24" i="47" s="1"/>
  <c r="K37" i="41"/>
  <c r="L37" i="41" s="1"/>
  <c r="L11" i="41"/>
  <c r="I59" i="40"/>
  <c r="K59" i="40" s="1"/>
  <c r="L59" i="40" s="1"/>
  <c r="F59" i="40"/>
  <c r="G59" i="40" s="1"/>
  <c r="E59" i="40"/>
  <c r="J59" i="40" s="1"/>
  <c r="I61" i="41"/>
  <c r="K61" i="41" s="1"/>
  <c r="L61" i="41" s="1"/>
  <c r="E61" i="41"/>
  <c r="J61" i="41" s="1"/>
  <c r="F61" i="41"/>
  <c r="G61" i="41" s="1"/>
  <c r="AQ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N115" i="16" s="1"/>
  <c r="AP115" i="16" s="1"/>
  <c r="V131" i="16"/>
  <c r="AN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N117" i="16" s="1"/>
  <c r="AP117" i="16" s="1"/>
  <c r="V136" i="16"/>
  <c r="AN136" i="16" s="1"/>
  <c r="AP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N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D36" i="47" l="1" a="1"/>
  <c r="D36" i="47" s="1"/>
  <c r="AN122" i="16"/>
  <c r="AP122" i="16" s="1"/>
  <c r="AP113" i="16"/>
  <c r="AN139" i="16"/>
  <c r="AP139" i="16" s="1"/>
  <c r="AQ139" i="16" s="1"/>
  <c r="AP131" i="16"/>
  <c r="AQ131" i="16" s="1"/>
  <c r="AN120" i="16"/>
  <c r="AP120" i="16" s="1"/>
  <c r="AQ120" i="16" s="1"/>
  <c r="AN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O113" i="16"/>
  <c r="G11" i="14" a="1"/>
  <c r="G11" i="14" s="1"/>
  <c r="AO58" i="16"/>
  <c r="G14" i="14" a="1"/>
  <c r="G14" i="14" s="1"/>
  <c r="AQ117" i="16"/>
  <c r="AO117" i="16"/>
  <c r="AO131" i="16"/>
  <c r="AQ136" i="16"/>
  <c r="AO136" i="16"/>
  <c r="AQ115" i="16"/>
  <c r="AO115" i="16"/>
  <c r="P60" i="13"/>
  <c r="P14" i="13" s="1"/>
  <c r="X60" i="13"/>
  <c r="X14" i="13" s="1"/>
  <c r="AW106" i="13"/>
  <c r="AX106" i="13" s="1"/>
  <c r="AW112" i="13"/>
  <c r="AX112" i="13" s="1"/>
  <c r="S153" i="13"/>
  <c r="AU129" i="13"/>
  <c r="AW95" i="13"/>
  <c r="AX95" i="13" s="1"/>
  <c r="AW86" i="13"/>
  <c r="AX86" i="13" s="1"/>
  <c r="AQ122" i="16"/>
  <c r="AW142" i="13"/>
  <c r="AX142" i="13" s="1"/>
  <c r="J61" i="13"/>
  <c r="J60" i="13" s="1"/>
  <c r="J14" i="13" s="1"/>
  <c r="AQ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I36" i="47" l="1"/>
  <c r="E36" i="47"/>
  <c r="F36" i="47"/>
  <c r="G36" i="47" s="1"/>
  <c r="D12" i="47" a="1"/>
  <c r="D12" i="47" s="1"/>
  <c r="D10" i="47" a="1"/>
  <c r="D10" i="47" s="1"/>
  <c r="D35" i="47" a="1"/>
  <c r="D35" i="47" s="1"/>
  <c r="D9" i="47" a="1"/>
  <c r="D9" i="47" s="1"/>
  <c r="D15" i="47" a="1"/>
  <c r="D15" i="47" s="1"/>
  <c r="D16" i="47" a="1"/>
  <c r="D16" i="47" s="1"/>
  <c r="G15" i="33" a="1"/>
  <c r="G15" i="33" s="1"/>
  <c r="AW155" i="13"/>
  <c r="AX155" i="13" s="1"/>
  <c r="AN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O120" i="16"/>
  <c r="D12" i="41" a="1"/>
  <c r="D12" i="41" s="1"/>
  <c r="AP83" i="16"/>
  <c r="D10" i="40" a="1"/>
  <c r="D10" i="40" s="1"/>
  <c r="I10" i="40" s="1"/>
  <c r="K10" i="40" s="1"/>
  <c r="L10" i="40" s="1"/>
  <c r="D12" i="40" a="1"/>
  <c r="D12" i="40" s="1"/>
  <c r="I12" i="40" s="1"/>
  <c r="J12" i="40" s="1"/>
  <c r="D15" i="40" a="1"/>
  <c r="D15" i="40" s="1"/>
  <c r="I15" i="40" s="1"/>
  <c r="J15" i="40" s="1"/>
  <c r="AO139" i="16"/>
  <c r="AO122" i="16"/>
  <c r="AO152" i="16"/>
  <c r="AQ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O83" i="16"/>
  <c r="G31" i="14" a="1"/>
  <c r="G31" i="14" s="1"/>
  <c r="S61" i="13"/>
  <c r="S60" i="13" s="1"/>
  <c r="S14" i="13" s="1"/>
  <c r="AQ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5" i="47" l="1"/>
  <c r="D18" i="47"/>
  <c r="E15" i="47"/>
  <c r="F15" i="47"/>
  <c r="G15" i="47" s="1"/>
  <c r="I12" i="47"/>
  <c r="E12" i="47"/>
  <c r="F12" i="47"/>
  <c r="G12" i="47" s="1"/>
  <c r="E9" i="47"/>
  <c r="D14" i="47"/>
  <c r="I9" i="47"/>
  <c r="F9" i="47"/>
  <c r="I35" i="47"/>
  <c r="D34" i="47"/>
  <c r="E35" i="47"/>
  <c r="F35" i="47"/>
  <c r="I16" i="47"/>
  <c r="E16" i="47"/>
  <c r="F16" i="47"/>
  <c r="G16" i="47" s="1"/>
  <c r="I10" i="47"/>
  <c r="E10" i="47"/>
  <c r="F10" i="47"/>
  <c r="G10" i="47" s="1"/>
  <c r="J36" i="47"/>
  <c r="K36" i="47"/>
  <c r="L36" i="47" s="1"/>
  <c r="H14" i="34"/>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P152" i="16"/>
  <c r="AQ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J16" i="47" l="1"/>
  <c r="K16" i="47"/>
  <c r="L16" i="47" s="1"/>
  <c r="J35" i="47"/>
  <c r="I34" i="47"/>
  <c r="K35" i="47"/>
  <c r="J10" i="47"/>
  <c r="K10" i="47"/>
  <c r="L10" i="47" s="1"/>
  <c r="F34" i="47"/>
  <c r="G35" i="47"/>
  <c r="G9" i="47"/>
  <c r="F14" i="47"/>
  <c r="G14" i="47" s="1"/>
  <c r="I14" i="47"/>
  <c r="J9" i="47"/>
  <c r="K9" i="47"/>
  <c r="E18" i="47"/>
  <c r="F18" i="47"/>
  <c r="G18" i="47" s="1"/>
  <c r="E34" i="47"/>
  <c r="D39" i="47"/>
  <c r="D25" i="47"/>
  <c r="E14" i="47"/>
  <c r="J12" i="47"/>
  <c r="K12" i="47"/>
  <c r="L12" i="47" s="1"/>
  <c r="J15" i="47"/>
  <c r="I18" i="47"/>
  <c r="K15" i="47"/>
  <c r="L15" i="47" s="1"/>
  <c r="E15" i="4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J18" i="47" l="1"/>
  <c r="K18" i="47"/>
  <c r="L18" i="47" s="1"/>
  <c r="I25" i="47"/>
  <c r="J14" i="47"/>
  <c r="G34" i="47"/>
  <c r="F39" i="47"/>
  <c r="J34" i="47"/>
  <c r="I39" i="47"/>
  <c r="D26" i="47"/>
  <c r="E25" i="47"/>
  <c r="F25" i="47"/>
  <c r="G25" i="47" s="1"/>
  <c r="D41" i="47"/>
  <c r="E41" i="47" s="1"/>
  <c r="E39" i="47"/>
  <c r="K14" i="47"/>
  <c r="L14" i="47" s="1"/>
  <c r="L9" i="47"/>
  <c r="L35" i="47"/>
  <c r="K34" i="47"/>
  <c r="E18" i="4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41" i="47" l="1"/>
  <c r="J41" i="47" s="1"/>
  <c r="J39" i="47"/>
  <c r="I26" i="47"/>
  <c r="J25" i="47"/>
  <c r="K25" i="47"/>
  <c r="L25" i="47" s="1"/>
  <c r="G39" i="47"/>
  <c r="F41" i="47"/>
  <c r="G41" i="47" s="1"/>
  <c r="L34" i="47"/>
  <c r="K39" i="47"/>
  <c r="E26" i="47"/>
  <c r="F26" i="47"/>
  <c r="G26" i="47" s="1"/>
  <c r="D26" i="4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J26" i="47" l="1"/>
  <c r="K26" i="47"/>
  <c r="L26" i="47" s="1"/>
  <c r="L39" i="47"/>
  <c r="K41" i="47"/>
  <c r="L41" i="47" s="1"/>
  <c r="K39" i="40"/>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<sst xmlns="http://schemas.openxmlformats.org/spreadsheetml/2006/main" count="120890" uniqueCount="7849">
  <si>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</si>
  <si>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</si>
  <si>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</si>
  <si>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</si>
  <si>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</si>
  <si>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</si>
  <si>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</si>
  <si>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</si>
  <si>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</si>
  <si>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</si>
  <si>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</si>
  <si>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</si>
  <si>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</si>
  <si>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</si>
  <si>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</si>
  <si>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</si>
  <si>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</si>
  <si>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</si>
  <si>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</si>
  <si>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</si>
  <si>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</si>
  <si>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</si>
  <si>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</si>
  <si>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</si>
  <si>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</si>
  <si>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</si>
  <si>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</si>
  <si>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</si>
  <si>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</si>
  <si>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</si>
  <si>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</si>
  <si>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</si>
  <si>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</si>
  <si>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</si>
  <si>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</si>
  <si>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</si>
  <si>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</si>
  <si>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</si>
  <si>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</si>
  <si>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</si>
  <si>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</si>
  <si>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</si>
  <si>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</si>
  <si>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</si>
  <si>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</si>
  <si>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</si>
  <si>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</si>
  <si>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</si>
  <si>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</si>
  <si>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</si>
  <si>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</si>
  <si>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</si>
  <si>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</si>
  <si>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</si>
  <si>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</si>
  <si>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</si>
  <si>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</si>
  <si>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</si>
  <si>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</si>
  <si>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</si>
  <si>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</si>
  <si>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</si>
  <si>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</si>
  <si>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</si>
  <si>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</si>
  <si>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</si>
  <si>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</si>
  <si>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</si>
  <si>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</si>
  <si>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</si>
  <si>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</si>
  <si>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</si>
  <si>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</si>
  <si>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</si>
  <si>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</si>
  <si>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</si>
  <si>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</si>
  <si>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</si>
  <si>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</si>
  <si>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</si>
  <si>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</si>
  <si>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</si>
  <si>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</si>
  <si>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</si>
  <si>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</si>
  <si>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</si>
  <si>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</si>
  <si>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</si>
  <si>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</si>
  <si>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</si>
  <si>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</si>
  <si>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</si>
  <si>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</si>
  <si>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</si>
  <si>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</si>
  <si>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</si>
  <si>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</si>
  <si>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</si>
  <si>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</si>
  <si>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</si>
  <si>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</si>
  <si>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</si>
  <si>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</si>
  <si>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</si>
  <si>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</si>
  <si>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</si>
  <si>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</si>
  <si>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</si>
  <si>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</si>
  <si>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</si>
  <si>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</si>
  <si>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</si>
  <si>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</si>
  <si>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</si>
  <si>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</si>
  <si>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</si>
  <si>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</si>
  <si>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</si>
  <si>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</si>
  <si>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</si>
  <si>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</si>
  <si>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</si>
  <si>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</si>
  <si>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</si>
  <si>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</si>
  <si>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</si>
  <si>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</si>
  <si>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</si>
  <si>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</si>
  <si>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</si>
  <si>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</si>
  <si>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</si>
  <si>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</si>
  <si>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</si>
  <si>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</si>
  <si>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</si>
  <si>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</si>
  <si>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</si>
  <si>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</si>
  <si>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</si>
  <si>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</si>
  <si>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</si>
  <si>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</si>
  <si>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</si>
  <si>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</si>
  <si>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</si>
  <si>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</si>
  <si>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</si>
  <si>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</si>
  <si>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</si>
  <si>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</si>
  <si>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</si>
  <si>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</si>
  <si>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</si>
  <si>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</si>
  <si>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</si>
  <si>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</si>
  <si>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</si>
  <si>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</si>
  <si>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</si>
  <si>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</si>
  <si>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</si>
  <si>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</si>
  <si>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</si>
  <si>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</si>
  <si>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</si>
  <si>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</si>
  <si>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</si>
  <si>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</si>
  <si>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</si>
  <si>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</si>
  <si>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</si>
  <si>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</si>
  <si>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</si>
  <si>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</si>
  <si>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</si>
  <si>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</si>
  <si>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</si>
  <si>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</si>
  <si>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</si>
  <si>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</si>
  <si>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</si>
  <si>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</si>
  <si>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</si>
  <si>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</si>
  <si>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</si>
  <si>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</si>
  <si>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</si>
  <si>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</si>
  <si>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</si>
  <si>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</si>
  <si>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</si>
  <si>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</si>
  <si>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</si>
  <si>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</si>
  <si>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</si>
  <si>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</si>
  <si>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</si>
  <si>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</si>
  <si>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</si>
  <si>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</si>
  <si>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</si>
  <si>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</si>
  <si>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</si>
  <si>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</si>
  <si>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</si>
  <si>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</si>
  <si>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</si>
  <si>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</si>
  <si>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</si>
  <si>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</si>
  <si>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</si>
  <si>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</si>
  <si>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</si>
  <si>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</si>
  <si>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</si>
  <si>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</si>
  <si>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</si>
  <si>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</si>
  <si>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</si>
  <si>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</si>
  <si>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</si>
  <si>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</si>
  <si>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</si>
  <si>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</si>
  <si>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</si>
  <si>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</si>
  <si>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</si>
  <si>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</si>
  <si>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</si>
  <si>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</si>
  <si>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</si>
  <si>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</si>
  <si>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</si>
  <si>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</si>
  <si>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</si>
  <si>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</si>
  <si>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</si>
  <si>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</si>
  <si>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</si>
  <si>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</si>
  <si>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</si>
  <si>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</si>
  <si>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</si>
  <si>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</si>
  <si>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</si>
  <si>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</si>
  <si>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</si>
  <si>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</si>
  <si>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</si>
  <si>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</si>
  <si>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</si>
  <si>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</si>
  <si>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</si>
  <si>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</si>
  <si>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</si>
  <si>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</si>
  <si>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</si>
  <si>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</si>
  <si>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</si>
  <si>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</si>
  <si>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</si>
  <si>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</si>
  <si>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</si>
  <si>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</si>
  <si>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</si>
  <si>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</si>
  <si>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</si>
  <si>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</si>
  <si>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</si>
  <si>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</si>
  <si>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</si>
  <si>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</si>
  <si>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</si>
  <si>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</si>
  <si>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</si>
  <si>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</si>
  <si>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</si>
  <si>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</si>
  <si>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</si>
  <si>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</si>
  <si>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</si>
  <si>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</si>
  <si>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</si>
  <si>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</si>
  <si>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</si>
  <si>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</si>
  <si>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</si>
  <si>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</si>
  <si>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</si>
  <si>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</si>
  <si>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</si>
  <si>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</si>
  <si>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</si>
  <si>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</si>
  <si>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</si>
  <si>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</si>
  <si>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</si>
  <si>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</si>
  <si>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</si>
  <si>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</si>
  <si>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</si>
  <si>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</si>
  <si>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</si>
  <si>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</si>
  <si>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</si>
  <si>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</si>
  <si>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</si>
  <si>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</si>
  <si>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</si>
  <si>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</si>
  <si>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</si>
  <si>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</si>
  <si>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</si>
  <si>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</si>
  <si>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</si>
  <si>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</si>
  <si>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</si>
  <si>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</si>
  <si>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</si>
  <si>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</si>
  <si>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</si>
  <si>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</si>
  <si>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</si>
  <si>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</si>
  <si>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</si>
  <si>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</si>
  <si>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</si>
  <si>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</si>
  <si>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</si>
  <si>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</si>
  <si>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</si>
  <si>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</si>
  <si>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</si>
  <si>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</si>
  <si>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</si>
  <si>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</si>
  <si>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</si>
  <si>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</si>
  <si>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</si>
  <si>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</si>
  <si>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</si>
  <si>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</si>
  <si>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</si>
  <si>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</si>
  <si>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</si>
  <si>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</si>
  <si>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</si>
  <si>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</si>
  <si>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</si>
  <si>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</si>
  <si>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</si>
  <si>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</si>
  <si>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</si>
  <si>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</si>
  <si>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</si>
  <si>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</si>
  <si>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</si>
  <si>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</si>
  <si>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</si>
  <si>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</si>
  <si>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</si>
  <si>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</si>
  <si>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</si>
  <si>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</si>
  <si>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</si>
  <si>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</si>
  <si>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</si>
  <si>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</si>
  <si>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</si>
  <si>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</si>
  <si>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</si>
  <si>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</si>
  <si>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</si>
  <si>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</si>
  <si>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</si>
  <si>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</si>
  <si>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</si>
  <si>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</si>
  <si>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</si>
  <si>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</si>
  <si>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</si>
  <si>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</si>
  <si>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</si>
  <si>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</si>
  <si>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</si>
  <si>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</si>
  <si>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</si>
  <si>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</si>
  <si>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</si>
  <si>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</si>
  <si>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</si>
  <si>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</si>
  <si>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</si>
  <si>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</si>
  <si>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</si>
  <si>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</si>
  <si>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</si>
  <si>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</si>
  <si>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</si>
  <si>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</si>
  <si>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</si>
  <si>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</si>
  <si>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</si>
  <si>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</si>
  <si>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</si>
  <si>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</si>
  <si>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</si>
  <si>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</si>
  <si>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</si>
  <si>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</si>
  <si>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</si>
  <si>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</si>
  <si>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</si>
  <si>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</si>
  <si>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</si>
  <si>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</si>
  <si>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</si>
  <si>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</si>
  <si>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</si>
  <si>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</si>
  <si>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</si>
  <si>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</si>
  <si>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</si>
  <si>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</si>
  <si>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</si>
  <si>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</si>
  <si>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</si>
  <si>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</si>
  <si>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</si>
  <si>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</si>
  <si>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</si>
  <si>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</si>
  <si>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</si>
  <si>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</si>
  <si>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</si>
  <si>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</si>
  <si>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</si>
  <si>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</si>
  <si>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</si>
  <si>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</si>
  <si>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</si>
  <si>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</si>
  <si>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</si>
  <si>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</si>
  <si>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</si>
  <si>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</si>
  <si>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</si>
  <si>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</si>
  <si>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</si>
  <si>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</si>
  <si>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</si>
  <si>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</si>
  <si>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</si>
  <si>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</si>
  <si>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</si>
  <si>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</si>
  <si>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</si>
  <si>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</si>
  <si>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</si>
  <si>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</si>
  <si>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</si>
  <si>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</si>
  <si>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</si>
  <si>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</si>
  <si>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</si>
  <si>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</si>
  <si>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</si>
  <si>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</si>
  <si>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</si>
  <si>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</si>
  <si>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</si>
  <si>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</si>
  <si>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</si>
  <si>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</si>
  <si>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</si>
  <si>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</si>
  <si>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</si>
  <si>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</si>
  <si>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</si>
  <si>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</si>
  <si>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</si>
  <si>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</si>
  <si>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</si>
  <si>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</si>
  <si>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</si>
  <si>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</si>
  <si>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</si>
  <si>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</si>
  <si>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</si>
  <si>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</si>
  <si>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</si>
  <si>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</si>
  <si>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</si>
  <si>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</si>
  <si>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</si>
  <si>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</si>
  <si>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</si>
  <si>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</si>
  <si>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</si>
  <si>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</si>
  <si>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</si>
  <si>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</si>
  <si>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</si>
  <si>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</si>
  <si>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</si>
  <si>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</si>
  <si>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</si>
  <si>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</si>
  <si>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</si>
  <si>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</si>
  <si>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</si>
  <si>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</si>
  <si>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</si>
  <si>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</si>
  <si>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</si>
  <si>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</si>
  <si>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</si>
  <si>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</si>
  <si>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</si>
  <si>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</si>
  <si>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</si>
  <si>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</si>
  <si>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</si>
  <si>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</si>
  <si>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</si>
  <si>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</si>
  <si>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</si>
  <si>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</si>
  <si>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</si>
  <si>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</si>
  <si>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</si>
  <si>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</si>
  <si>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</si>
  <si>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</si>
  <si>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</si>
  <si>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</si>
  <si>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</si>
  <si>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</si>
  <si>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</si>
  <si>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</si>
  <si>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</si>
  <si>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</si>
  <si>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</si>
  <si>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</si>
  <si>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</si>
  <si>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</si>
  <si>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</si>
  <si>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</si>
  <si>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</si>
  <si>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</si>
  <si>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</si>
  <si>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</si>
  <si>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</si>
  <si>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</si>
  <si>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</si>
  <si>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</si>
  <si>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</si>
  <si>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</si>
  <si>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</si>
  <si>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</si>
  <si>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</si>
  <si>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</si>
  <si>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</si>
  <si>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</si>
  <si>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</si>
  <si>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</si>
  <si>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</si>
  <si>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</si>
  <si>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</si>
  <si>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</si>
  <si>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</si>
  <si>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</si>
  <si>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</si>
  <si>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</si>
  <si>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</si>
  <si>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</si>
  <si>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</si>
  <si>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</si>
  <si>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</si>
  <si>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</si>
  <si>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</si>
  <si>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</si>
  <si>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</si>
  <si>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</si>
  <si>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</si>
  <si>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</si>
  <si>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</si>
  <si>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</si>
  <si>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</si>
  <si>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</si>
  <si>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</si>
  <si>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</si>
  <si>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</si>
  <si>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</si>
  <si>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</si>
  <si>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</si>
  <si>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</si>
  <si>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</si>
  <si>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</si>
  <si>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</si>
  <si>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</si>
  <si>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</si>
  <si>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</si>
  <si>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</si>
  <si>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</si>
  <si>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</si>
  <si>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</si>
  <si>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</si>
  <si>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</si>
  <si>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</si>
  <si>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</si>
  <si>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</si>
  <si>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</si>
  <si>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</si>
  <si>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</si>
  <si>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</si>
  <si>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</si>
  <si>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</si>
  <si>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</si>
  <si>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</si>
  <si>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</si>
  <si>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</si>
  <si>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</si>
  <si>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</si>
  <si>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</si>
  <si>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</si>
  <si>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</si>
  <si>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</si>
  <si>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</si>
  <si>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</si>
  <si>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</si>
  <si>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</si>
  <si>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</si>
  <si>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</si>
  <si>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</si>
  <si>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</si>
  <si>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</si>
  <si>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</si>
  <si>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</si>
  <si>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</si>
  <si>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</si>
  <si>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</si>
  <si>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</si>
  <si>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</si>
  <si>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</si>
  <si>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</si>
  <si>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</si>
  <si>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</si>
  <si>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</si>
  <si>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</si>
  <si>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</si>
  <si>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</si>
  <si>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</si>
  <si>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</si>
  <si>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</si>
  <si>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</si>
  <si>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</si>
  <si>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</si>
  <si>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</si>
  <si>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</si>
  <si>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</si>
  <si>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</si>
  <si>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</si>
  <si>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</si>
  <si>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</si>
  <si>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</si>
  <si>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</si>
  <si>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</si>
  <si>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</si>
  <si>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</si>
  <si>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</si>
  <si>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</si>
  <si>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</si>
  <si>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</si>
  <si>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</si>
  <si>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</si>
  <si>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</si>
  <si>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</si>
  <si>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</si>
  <si>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</si>
  <si>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</si>
  <si>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</si>
  <si>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</si>
  <si>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</si>
  <si>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</si>
  <si>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</si>
  <si>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</si>
  <si>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</si>
  <si>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</si>
  <si>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</si>
  <si>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</si>
  <si>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</si>
  <si>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</si>
  <si>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</si>
  <si>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</si>
  <si>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</si>
  <si>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</si>
  <si>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</si>
  <si>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</si>
  <si>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</si>
  <si>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</si>
  <si>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</si>
  <si>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</si>
  <si>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</si>
  <si>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</si>
  <si>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</si>
  <si>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</si>
  <si>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</si>
  <si>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</si>
  <si>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</si>
  <si>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</si>
  <si>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</si>
  <si>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</si>
  <si>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</si>
  <si>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</si>
  <si>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</si>
  <si>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</si>
  <si>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</si>
  <si>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</si>
  <si>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</si>
  <si>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</si>
  <si>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</si>
  <si>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</si>
  <si>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</si>
  <si>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</si>
  <si>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</si>
  <si>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</si>
  <si>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</si>
  <si>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</si>
  <si>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</si>
  <si>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</si>
  <si>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</si>
  <si>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</si>
  <si>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</si>
  <si>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</si>
  <si>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</si>
  <si>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</si>
  <si>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</si>
  <si>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</si>
  <si>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</si>
  <si>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</si>
  <si>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</si>
  <si>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</si>
  <si>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</si>
  <si>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</si>
  <si>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</si>
  <si>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</si>
  <si>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</si>
  <si>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</si>
  <si>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</si>
  <si>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</si>
  <si>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</si>
  <si>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</si>
  <si>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</si>
  <si>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</si>
  <si>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</si>
  <si>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</si>
  <si>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</si>
  <si>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</si>
  <si>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</si>
  <si>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</si>
  <si>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</si>
  <si>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</si>
  <si>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</si>
  <si>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</si>
  <si>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</si>
  <si>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</si>
  <si>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</si>
  <si>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</si>
  <si>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</si>
  <si>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</si>
  <si>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</si>
  <si>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</si>
  <si>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</si>
  <si>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</si>
  <si>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</si>
  <si>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</si>
  <si>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</si>
  <si>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</si>
  <si>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</si>
  <si>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</si>
  <si>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</si>
  <si>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</si>
  <si>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</si>
  <si>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</si>
  <si>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</si>
  <si>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</si>
  <si>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</si>
  <si>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</si>
  <si>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</si>
  <si>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</si>
  <si>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</si>
  <si>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</si>
  <si>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</si>
  <si>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</si>
  <si>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</si>
  <si>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</si>
  <si>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</si>
  <si>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</si>
  <si>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</si>
  <si>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</si>
  <si>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</si>
  <si>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</si>
  <si>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</si>
  <si>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</si>
  <si>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</si>
  <si>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</si>
  <si>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</si>
  <si>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</si>
  <si>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</si>
  <si>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</si>
  <si>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</si>
  <si>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</si>
  <si>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</si>
  <si>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</si>
  <si>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</si>
  <si>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</si>
  <si>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</si>
  <si>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</si>
  <si>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</si>
  <si>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</si>
  <si>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</si>
  <si>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</si>
  <si>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</si>
  <si>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</si>
  <si>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</si>
  <si>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</si>
  <si>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</si>
  <si>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</si>
  <si>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</si>
  <si>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</si>
  <si>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</si>
  <si>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</si>
  <si>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</si>
  <si>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</si>
  <si>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</si>
  <si>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</si>
  <si>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</si>
  <si>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</si>
  <si>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</si>
  <si>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</si>
  <si>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</si>
  <si>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</si>
  <si>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</si>
  <si>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</si>
  <si>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</si>
  <si>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</si>
  <si>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</si>
  <si>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</si>
  <si>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</si>
  <si>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</si>
  <si>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</si>
  <si>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</si>
  <si>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</si>
  <si>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</si>
  <si>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</si>
  <si>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</si>
  <si>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</si>
  <si>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</si>
  <si>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</si>
  <si>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</si>
  <si>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</si>
  <si>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</si>
  <si>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</si>
  <si>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</si>
  <si>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</si>
  <si>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</si>
  <si>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</si>
  <si>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</si>
  <si>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</si>
  <si>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</si>
  <si>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</si>
  <si>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</si>
  <si>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</si>
  <si>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</si>
  <si>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</si>
  <si>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</si>
  <si>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</si>
  <si>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</si>
  <si>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</si>
  <si>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</si>
  <si>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</si>
  <si>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</si>
  <si>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</si>
  <si>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</si>
  <si>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</si>
  <si>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</si>
  <si>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</si>
  <si>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</si>
  <si>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</si>
  <si>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</si>
  <si>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</si>
  <si>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</si>
  <si>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</si>
  <si>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</si>
  <si>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</si>
  <si>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</si>
  <si>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</si>
  <si>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</si>
  <si>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</si>
  <si>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</si>
  <si>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</si>
  <si>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</si>
  <si>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</si>
  <si>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</si>
  <si>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</si>
  <si>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</si>
  <si>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</si>
  <si>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</si>
  <si>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</si>
  <si>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</si>
  <si>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</si>
  <si>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</si>
  <si>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</si>
  <si>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</si>
  <si>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</si>
  <si>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</si>
  <si>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</si>
  <si>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</si>
  <si>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</si>
  <si>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</si>
  <si>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</si>
  <si>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</si>
  <si>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</si>
  <si>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</si>
  <si>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</si>
  <si>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</si>
  <si>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</si>
  <si>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</si>
  <si>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</si>
  <si>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</si>
  <si>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</si>
  <si>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</si>
  <si>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</si>
  <si>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</si>
  <si>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</si>
  <si>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</si>
  <si>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</si>
  <si>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</si>
  <si>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</si>
  <si>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</si>
  <si>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</si>
  <si>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</si>
  <si>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</si>
  <si>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</si>
  <si>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</si>
  <si>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</si>
  <si>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</si>
  <si>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</si>
  <si>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</si>
  <si>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</si>
  <si>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</si>
  <si>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</si>
  <si>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</si>
  <si>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</si>
  <si>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</si>
  <si>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</si>
  <si>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</si>
  <si>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</si>
  <si>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</si>
  <si>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</si>
  <si>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</si>
  <si>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</si>
  <si>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</si>
  <si>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</si>
  <si>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</si>
  <si>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</si>
  <si>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</si>
  <si>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</si>
  <si>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</si>
  <si>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</si>
  <si>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</si>
  <si>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</si>
  <si>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</si>
  <si>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</si>
  <si>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</si>
  <si>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</si>
  <si>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</si>
  <si>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</si>
  <si>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</si>
  <si>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</si>
  <si>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</si>
  <si>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</si>
  <si>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</si>
  <si>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</si>
  <si>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</si>
  <si>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</si>
  <si>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</si>
  <si>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</si>
  <si>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</si>
  <si>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</si>
  <si>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</si>
  <si>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</si>
  <si>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</si>
  <si>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</si>
  <si>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</si>
  <si>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</si>
  <si>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</si>
  <si>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</si>
  <si>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</si>
  <si>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</si>
  <si>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</si>
  <si>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</si>
  <si>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</si>
  <si>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</si>
  <si>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</si>
  <si>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</si>
  <si>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</si>
  <si>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</si>
  <si>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</si>
  <si>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</si>
  <si>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</si>
  <si>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</si>
  <si>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</si>
  <si>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</si>
  <si>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</si>
  <si>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</si>
  <si>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</si>
  <si>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</si>
  <si>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</si>
  <si>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</si>
  <si>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</si>
  <si>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</si>
  <si>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</si>
  <si>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</si>
  <si>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</si>
  <si>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</si>
  <si>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</si>
  <si>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</si>
  <si>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</si>
  <si>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</si>
  <si>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</si>
  <si>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</si>
  <si>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</si>
  <si>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</si>
  <si>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</si>
  <si>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</si>
  <si>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</si>
  <si>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</si>
  <si>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</si>
  <si>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</si>
  <si>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</si>
  <si>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</si>
  <si>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</si>
  <si>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</si>
  <si>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</si>
  <si>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</si>
  <si>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</si>
  <si>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</si>
  <si>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</si>
  <si>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</si>
  <si>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</si>
  <si>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</si>
  <si>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</si>
  <si>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</si>
  <si>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</si>
  <si>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</si>
  <si>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</si>
  <si>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</si>
  <si>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</si>
  <si>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</si>
  <si>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</si>
  <si>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</si>
  <si>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</si>
  <si>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</si>
  <si>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</si>
  <si>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</si>
  <si>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</si>
  <si>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</si>
  <si>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</si>
  <si>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</si>
  <si>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</si>
  <si>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</si>
  <si>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</si>
  <si>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</si>
  <si>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</si>
  <si>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</si>
  <si>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</si>
  <si>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</si>
  <si>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</si>
  <si>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</si>
  <si>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</si>
  <si>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</si>
  <si>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</si>
  <si>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</si>
  <si>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</si>
  <si>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</si>
  <si>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</si>
  <si>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</si>
  <si>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</si>
  <si>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</si>
  <si>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</si>
  <si>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</si>
  <si>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</si>
  <si>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</si>
  <si>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</si>
  <si>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</si>
  <si>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</si>
  <si>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</si>
  <si>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</si>
  <si>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</si>
  <si>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</si>
  <si>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</si>
  <si>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</si>
  <si>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</si>
  <si>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</si>
  <si>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</si>
  <si>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</si>
  <si>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</si>
  <si>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</si>
  <si>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</si>
  <si>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</si>
  <si>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</si>
  <si>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</si>
  <si>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</si>
  <si>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</si>
  <si>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</si>
  <si>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</si>
  <si>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</si>
  <si>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</si>
  <si>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</si>
  <si>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</si>
  <si>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</si>
  <si>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</si>
  <si>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</si>
  <si>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</si>
  <si>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</si>
  <si>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</si>
  <si>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</si>
  <si>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</si>
  <si>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</si>
  <si>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</si>
  <si>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</si>
  <si>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</si>
  <si>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</si>
  <si>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</si>
  <si>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</si>
  <si>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</si>
  <si>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</si>
  <si>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</si>
  <si>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</si>
  <si>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</si>
  <si>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</si>
  <si>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</si>
  <si>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</si>
  <si>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</si>
  <si>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</si>
  <si>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</si>
  <si>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</si>
  <si>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</si>
  <si>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</si>
  <si>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</si>
  <si>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</si>
  <si>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</si>
  <si>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</si>
  <si>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</si>
  <si>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</si>
  <si>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</si>
  <si>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</si>
  <si>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</si>
  <si>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</si>
  <si>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</si>
  <si>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</si>
  <si>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</si>
  <si>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</si>
  <si>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</si>
  <si>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</si>
  <si>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</si>
  <si>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</si>
  <si>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</si>
  <si>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</si>
  <si>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</si>
  <si>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</si>
  <si>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</si>
  <si>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</si>
  <si>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</si>
  <si>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</si>
  <si>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</si>
  <si>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</si>
  <si>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</si>
  <si>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</si>
  <si>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</si>
  <si>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</si>
  <si>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</si>
  <si>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</si>
  <si>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</si>
  <si>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</si>
  <si>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</si>
  <si>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</si>
  <si>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</si>
  <si>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</si>
  <si>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</si>
  <si>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</si>
  <si>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</si>
  <si>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</si>
  <si>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</si>
  <si>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</si>
  <si>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</si>
  <si>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</si>
  <si>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</si>
  <si>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</si>
  <si>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</si>
  <si>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</si>
  <si>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</si>
  <si>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</si>
  <si>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</si>
  <si>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</si>
  <si>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</si>
  <si>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</si>
  <si>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</si>
  <si>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</si>
  <si>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</si>
  <si>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</si>
  <si>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</si>
  <si>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</si>
  <si>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</si>
  <si>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</si>
  <si>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</si>
  <si>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</si>
  <si>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</si>
  <si>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</si>
  <si>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</si>
  <si>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</si>
  <si>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</si>
  <si>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</si>
  <si>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</si>
  <si>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</si>
  <si>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</si>
  <si>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</si>
  <si>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</si>
  <si>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</si>
  <si>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</si>
  <si>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</si>
  <si>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</si>
  <si>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</si>
  <si>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</si>
  <si>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</si>
  <si>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</si>
  <si>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</si>
  <si>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</si>
  <si>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</si>
  <si>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</si>
  <si>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</si>
  <si>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</si>
  <si>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</si>
  <si>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</si>
  <si>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</si>
  <si>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</si>
  <si>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</si>
  <si>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</si>
  <si>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</si>
  <si>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</si>
  <si>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</si>
  <si>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</si>
  <si>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</si>
  <si>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</si>
  <si>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</si>
  <si>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</si>
  <si>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</si>
  <si>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</si>
  <si>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</si>
  <si>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</si>
  <si>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</si>
  <si>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</si>
  <si>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</si>
  <si>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</si>
  <si>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</si>
  <si>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</si>
  <si>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</si>
  <si>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</si>
  <si>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</si>
  <si>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</si>
  <si>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</si>
  <si>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</si>
  <si>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</si>
  <si>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</si>
  <si>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</si>
  <si>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</si>
  <si>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</si>
  <si>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</si>
  <si>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</si>
  <si>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</si>
  <si>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</si>
  <si>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</si>
  <si>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</si>
  <si>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</si>
  <si>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</si>
  <si>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</si>
  <si>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</si>
  <si>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</si>
  <si>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</si>
  <si>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</si>
  <si>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</si>
  <si>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</si>
  <si>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</si>
  <si>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</si>
  <si>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</si>
  <si>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</si>
  <si>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</si>
  <si>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</si>
  <si>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</si>
  <si>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</si>
  <si>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</si>
  <si>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</si>
  <si>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</si>
  <si>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</si>
  <si>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</si>
  <si>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</si>
  <si>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</si>
  <si>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</si>
  <si>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</si>
  <si>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</si>
  <si>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</si>
  <si>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</si>
  <si>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</si>
  <si>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</si>
  <si>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</si>
  <si>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</si>
  <si>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</si>
  <si>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</si>
  <si>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</si>
  <si>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</si>
  <si>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</si>
  <si>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</si>
  <si>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</si>
  <si>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</si>
  <si>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</si>
  <si>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</si>
  <si>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</si>
  <si>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</si>
  <si>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</si>
  <si>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</si>
  <si>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</si>
  <si>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</si>
  <si>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</si>
  <si>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</si>
  <si>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</si>
  <si>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</si>
  <si>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</si>
  <si>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</si>
  <si>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</si>
  <si>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</si>
  <si>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</si>
  <si>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</si>
  <si>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</si>
  <si>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</si>
  <si>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</si>
  <si>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</si>
  <si>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</si>
  <si>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</si>
  <si>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</si>
  <si>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</si>
  <si>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</si>
  <si>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</si>
  <si>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</si>
  <si>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</si>
  <si>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</si>
  <si>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</si>
  <si>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</si>
  <si>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</si>
  <si>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</si>
  <si>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</si>
  <si>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</si>
  <si>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</si>
  <si>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</si>
  <si>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</si>
  <si>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</si>
  <si>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</si>
  <si>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</si>
  <si>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</si>
  <si>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</si>
  <si>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</si>
  <si>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</si>
  <si>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</si>
  <si>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</si>
  <si>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</si>
  <si>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</si>
  <si>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</si>
  <si>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</si>
  <si>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</si>
  <si>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</si>
  <si>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</si>
  <si>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</si>
  <si>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</si>
  <si>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</si>
  <si>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</si>
  <si>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</si>
  <si>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</si>
  <si>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</si>
  <si>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</si>
  <si>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</si>
  <si>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</si>
  <si>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</si>
  <si>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</si>
  <si>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</si>
  <si>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</si>
  <si>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</si>
  <si>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</si>
  <si>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</si>
  <si>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</si>
  <si>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</si>
  <si>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</si>
  <si>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</si>
  <si>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</si>
  <si>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</si>
  <si>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</si>
  <si>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</si>
  <si>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</si>
  <si>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</si>
  <si>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</si>
  <si>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</si>
  <si>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</si>
  <si>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</si>
  <si>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</si>
  <si>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</si>
  <si>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</si>
  <si>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</si>
  <si>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</si>
  <si>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</si>
  <si>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</si>
  <si>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</si>
  <si>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</si>
  <si>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</si>
  <si>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</si>
  <si>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</si>
  <si>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</si>
  <si>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</si>
  <si>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</si>
  <si>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</si>
  <si>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</si>
  <si>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</si>
  <si>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</si>
  <si>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</si>
  <si>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</si>
  <si>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</si>
  <si>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</si>
  <si>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</si>
  <si>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</si>
  <si>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</si>
  <si>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</si>
  <si>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</si>
  <si>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</si>
  <si>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</si>
  <si>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</si>
  <si>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</si>
  <si>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</si>
  <si>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</si>
  <si>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</si>
  <si>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</si>
  <si>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</si>
  <si>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</si>
  <si>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</si>
  <si>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</si>
  <si>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</si>
  <si>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</si>
  <si>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</si>
  <si>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</si>
  <si>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</si>
  <si>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</si>
  <si>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</si>
  <si>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</si>
  <si>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</si>
  <si>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</si>
  <si>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</si>
  <si>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</si>
  <si>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</si>
  <si>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</si>
  <si>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</si>
  <si>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</si>
  <si>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</si>
  <si>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</si>
  <si>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</si>
  <si>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</si>
  <si>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</si>
  <si>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</si>
  <si>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</si>
  <si>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</si>
  <si>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</si>
  <si>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</si>
  <si>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</si>
  <si>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</si>
  <si>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</si>
  <si>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</si>
  <si>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</si>
  <si>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</si>
  <si>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</si>
  <si>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</si>
  <si>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</si>
  <si>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</si>
  <si>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</si>
  <si>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</si>
  <si>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</si>
  <si>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</si>
  <si>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</si>
  <si>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</si>
  <si>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</si>
  <si>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</si>
  <si>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</si>
  <si>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</si>
  <si>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</si>
  <si>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</si>
  <si>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</si>
  <si>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</si>
  <si>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</si>
  <si>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</si>
  <si>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</si>
  <si>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</si>
  <si>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</si>
  <si>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</si>
  <si>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</si>
  <si>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</si>
  <si>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</si>
  <si>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</si>
  <si>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</si>
  <si>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</si>
  <si>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</si>
  <si>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</si>
  <si>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</si>
  <si>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</si>
  <si>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</si>
  <si>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</si>
  <si>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</si>
  <si>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</si>
  <si>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</si>
  <si>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</si>
  <si>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</si>
  <si>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</si>
  <si>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</si>
  <si>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</si>
  <si>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</si>
  <si>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</si>
  <si>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</si>
  <si>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</si>
  <si>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</si>
  <si>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</si>
  <si>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</si>
  <si>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</si>
  <si>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</si>
  <si>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</si>
  <si>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</si>
  <si>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</si>
  <si>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</si>
  <si>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</si>
  <si>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</si>
  <si>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</si>
  <si>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</si>
  <si>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</si>
  <si>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</si>
  <si>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</si>
  <si>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</si>
  <si>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</si>
  <si>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</si>
  <si>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</si>
  <si>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</si>
  <si>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</si>
  <si>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</si>
  <si>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</si>
  <si>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</si>
  <si>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</si>
  <si>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</si>
  <si>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</si>
  <si>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</si>
  <si>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</si>
  <si>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</si>
  <si>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</si>
  <si>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</si>
  <si>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</si>
  <si>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</si>
  <si>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</si>
  <si>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</si>
  <si>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</si>
  <si>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</si>
  <si>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</si>
  <si>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</si>
  <si>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</si>
  <si>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</si>
  <si>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</si>
  <si>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</si>
  <si>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</si>
  <si>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</si>
  <si>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</si>
  <si>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</si>
  <si>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</si>
  <si>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</si>
  <si>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</si>
  <si>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</si>
  <si>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</si>
  <si>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</si>
  <si>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</si>
  <si>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</si>
  <si>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</si>
  <si>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</si>
  <si>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</si>
  <si>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</si>
  <si>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</si>
  <si>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</si>
  <si>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</si>
  <si>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</si>
  <si>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</si>
  <si>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</si>
  <si>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</si>
  <si>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</si>
  <si>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</si>
  <si>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</si>
  <si>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</si>
  <si>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</si>
  <si>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</si>
  <si>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</si>
  <si>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</si>
  <si>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</si>
  <si>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</si>
  <si>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</si>
  <si>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</si>
  <si>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</si>
  <si>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</si>
  <si>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</si>
  <si>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</si>
  <si>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</si>
  <si>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</si>
  <si>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</si>
  <si>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</si>
  <si>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</si>
  <si>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</si>
  <si>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</si>
  <si>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</si>
  <si>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</si>
  <si>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</si>
  <si>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</si>
  <si>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</si>
  <si>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</si>
  <si>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</si>
  <si>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</si>
  <si>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</si>
  <si>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</si>
  <si>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</si>
  <si>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</si>
  <si>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</si>
  <si>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</si>
  <si>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</si>
  <si>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</si>
  <si>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</si>
  <si>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</si>
  <si>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</si>
  <si>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</si>
  <si>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</si>
  <si>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</si>
  <si>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</si>
  <si>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</si>
  <si>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</si>
  <si>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</si>
  <si>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</si>
  <si>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</si>
  <si>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</si>
  <si>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</si>
  <si>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</si>
  <si>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</si>
  <si>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</si>
  <si>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</si>
  <si>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</si>
  <si>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</si>
  <si>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</si>
  <si>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</si>
  <si>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</si>
  <si>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</si>
  <si>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</si>
  <si>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</si>
  <si>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</si>
  <si>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</si>
  <si>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</si>
  <si>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</si>
  <si>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</si>
  <si>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</si>
  <si>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</si>
  <si>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</si>
  <si>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</si>
  <si>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</si>
  <si>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</si>
  <si>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</si>
  <si>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</si>
  <si>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</si>
  <si>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</si>
  <si>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</si>
  <si>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</si>
  <si>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</si>
  <si>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</si>
  <si>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</si>
  <si>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</si>
  <si>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</si>
  <si>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</si>
  <si>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</si>
  <si>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</si>
  <si>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</si>
  <si>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</si>
  <si>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</si>
  <si>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</si>
  <si>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</si>
  <si>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</si>
  <si>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</si>
  <si>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</si>
  <si>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</si>
  <si>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</si>
  <si>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</si>
  <si>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</si>
  <si>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</si>
  <si>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</si>
  <si>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</si>
  <si>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</si>
  <si>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</si>
  <si>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</si>
  <si>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</si>
  <si>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</si>
  <si>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</si>
  <si>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</si>
  <si>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</si>
  <si>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</si>
  <si>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</si>
  <si>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</si>
  <si>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</si>
  <si>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</si>
  <si>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</si>
  <si>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</si>
  <si>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</si>
  <si>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</si>
  <si>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</si>
  <si>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</si>
  <si>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</si>
  <si>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</si>
  <si>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</si>
  <si>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</si>
  <si>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</si>
  <si>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</si>
  <si>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</si>
  <si>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</si>
  <si>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</si>
  <si>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</si>
  <si>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</si>
  <si>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</si>
  <si>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</si>
  <si>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</si>
  <si>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</si>
  <si>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</si>
  <si>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</si>
  <si>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</si>
  <si>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</si>
  <si>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</si>
  <si>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</si>
  <si>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</si>
  <si>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</si>
  <si>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</si>
  <si>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</si>
  <si>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</si>
  <si>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</si>
  <si>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</si>
  <si>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</si>
  <si>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</si>
  <si>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</si>
  <si>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</si>
  <si>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</si>
  <si>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</si>
  <si>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</si>
  <si>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</si>
  <si>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</si>
  <si>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</si>
  <si>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</si>
  <si>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</si>
  <si>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</si>
  <si>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</si>
  <si>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</si>
  <si>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</si>
  <si>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</si>
  <si>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</si>
  <si>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</si>
  <si>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</si>
  <si>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</si>
  <si>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</si>
  <si>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</si>
  <si>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</si>
  <si>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</si>
  <si>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</si>
  <si>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</si>
  <si>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</si>
  <si>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</si>
  <si>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</si>
  <si>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</si>
  <si>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</si>
  <si>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</si>
  <si>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</si>
  <si>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</si>
  <si>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</si>
  <si>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</si>
  <si>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</si>
  <si>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</si>
  <si>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</si>
  <si>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</si>
  <si>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</si>
  <si>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</si>
  <si>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</si>
  <si>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</si>
  <si>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</si>
  <si>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</si>
  <si>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</si>
  <si>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</si>
  <si>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</si>
  <si>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</si>
  <si>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</si>
  <si>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</si>
  <si>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</si>
  <si>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</si>
  <si>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</si>
  <si>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</si>
  <si>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</si>
  <si>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</si>
  <si>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</si>
  <si>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</si>
  <si>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</si>
  <si>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</si>
  <si>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</si>
  <si>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</si>
  <si>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</si>
  <si>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</si>
  <si>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</si>
  <si>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</si>
  <si>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</si>
  <si>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</si>
  <si>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</si>
  <si>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</si>
  <si>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</si>
  <si>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</si>
  <si>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</si>
  <si>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</si>
  <si>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</si>
  <si>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</si>
  <si>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</si>
  <si>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</si>
  <si>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</si>
  <si>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</si>
  <si>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</si>
  <si>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</si>
  <si>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</si>
  <si>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</si>
  <si>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</si>
  <si>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</si>
  <si>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</si>
  <si>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</si>
  <si>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</si>
  <si>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</si>
  <si>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</si>
  <si>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</si>
  <si>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</si>
  <si>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</si>
  <si>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</si>
  <si>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</si>
  <si>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</si>
  <si>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</si>
  <si>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</si>
  <si>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</si>
  <si>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</si>
  <si>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</si>
  <si>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</si>
  <si>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</si>
  <si>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</si>
  <si>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</si>
  <si>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</si>
  <si>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</si>
  <si>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</si>
  <si>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</si>
  <si>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</si>
  <si>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</si>
  <si>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</si>
  <si>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</si>
  <si>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</si>
  <si>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</si>
  <si>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</si>
  <si>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</si>
  <si>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</si>
  <si>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</si>
  <si>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</si>
  <si>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</si>
  <si>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</si>
  <si>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</si>
  <si>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</si>
  <si>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</si>
  <si>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</si>
  <si>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</si>
  <si>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</si>
  <si>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</si>
  <si>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</si>
  <si>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</si>
  <si>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</si>
  <si>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</si>
  <si>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</si>
  <si>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</si>
  <si>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</si>
  <si>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</si>
  <si>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</si>
  <si>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</si>
  <si>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</si>
  <si>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</si>
  <si>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</si>
  <si>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</si>
  <si>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</si>
  <si>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</si>
  <si>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</si>
  <si>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</si>
  <si>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</si>
  <si>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</si>
  <si>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</si>
  <si>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</si>
  <si>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</si>
  <si>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</si>
  <si>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</si>
  <si>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</si>
  <si>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</si>
  <si>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</si>
  <si>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</si>
  <si>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</si>
  <si>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</si>
  <si>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</si>
  <si>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</si>
  <si>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</si>
  <si>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</si>
  <si>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</si>
  <si>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</si>
  <si>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</si>
  <si>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</si>
  <si>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</si>
  <si>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</si>
  <si>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</si>
  <si>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</si>
  <si>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</si>
  <si>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</si>
  <si>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</si>
  <si>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</si>
  <si>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</si>
  <si>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</si>
  <si>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</si>
  <si>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</si>
  <si>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</si>
  <si>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</si>
  <si>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</si>
  <si>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</si>
  <si>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</si>
  <si>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</si>
  <si>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</si>
  <si>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</si>
  <si>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</si>
  <si>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</si>
  <si>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</si>
  <si>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</si>
  <si>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</si>
  <si>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</si>
  <si>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</si>
  <si>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</si>
  <si>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</si>
  <si>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</si>
  <si>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</si>
  <si>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</si>
  <si>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</si>
  <si>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</si>
  <si>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</si>
  <si>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</si>
  <si>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</si>
  <si>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</si>
  <si>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</si>
  <si>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</si>
  <si>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</si>
  <si>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</si>
  <si>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</si>
  <si>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</si>
  <si>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</si>
  <si>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</si>
  <si>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</si>
  <si>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</si>
  <si>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</si>
  <si>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</si>
  <si>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</si>
  <si>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</si>
  <si>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</si>
  <si>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</si>
  <si>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</si>
  <si>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</si>
  <si>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</si>
  <si>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</si>
  <si>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</si>
  <si>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</si>
  <si>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</si>
  <si>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</si>
  <si>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</si>
  <si>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</si>
  <si>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</si>
  <si>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</si>
  <si>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</si>
  <si>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</si>
  <si>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</si>
  <si>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</si>
  <si>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</si>
  <si>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</si>
  <si>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</si>
  <si>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</si>
  <si>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</si>
  <si>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</si>
  <si>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</si>
  <si>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</si>
  <si>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</si>
  <si>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</si>
  <si>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</si>
  <si>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</si>
  <si>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</si>
  <si>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</si>
  <si>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</si>
  <si>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</si>
  <si>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</si>
  <si>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</si>
  <si>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</si>
  <si>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</si>
  <si>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</si>
  <si>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</si>
  <si>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</si>
  <si>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</si>
  <si>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</si>
  <si>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</si>
  <si>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</si>
  <si>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</si>
  <si>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</si>
  <si>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</si>
  <si>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</si>
  <si>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</si>
  <si>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</si>
  <si>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</si>
  <si>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</si>
  <si>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</si>
  <si>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</si>
  <si>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</si>
  <si>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</si>
  <si>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</si>
  <si>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</si>
  <si>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</si>
  <si>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</si>
  <si>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</si>
  <si>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</si>
  <si>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</si>
  <si>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</si>
  <si>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</si>
  <si>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</si>
  <si>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</si>
  <si>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</si>
  <si>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</si>
  <si>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</si>
  <si>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</si>
  <si>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</si>
  <si>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</si>
  <si>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</si>
  <si>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</si>
  <si>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</si>
  <si>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</si>
  <si>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</si>
  <si>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</si>
  <si>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</si>
  <si>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</si>
  <si>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</si>
  <si>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</si>
  <si>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</si>
  <si>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</si>
  <si>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</si>
  <si>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</si>
  <si>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</si>
  <si>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</si>
  <si>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</si>
  <si>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</si>
  <si>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</si>
  <si>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</si>
  <si>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</si>
  <si>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</si>
  <si>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</si>
  <si>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</si>
  <si>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</si>
  <si>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</si>
  <si>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</si>
  <si>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</si>
  <si>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</si>
  <si>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</si>
  <si>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</si>
  <si>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</si>
  <si>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</si>
  <si>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</si>
  <si>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</si>
  <si>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</si>
  <si>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</si>
  <si>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</si>
  <si>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</si>
  <si>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</si>
  <si>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</si>
  <si>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</si>
  <si>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</si>
  <si>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</si>
  <si>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</si>
  <si>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</si>
  <si>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</si>
  <si>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</si>
  <si>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</si>
  <si>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</si>
  <si>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</si>
  <si>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</si>
  <si>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</si>
  <si>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</si>
  <si>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</si>
  <si>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</si>
  <si>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</si>
  <si>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</si>
  <si>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</si>
  <si>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</si>
  <si>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</si>
  <si>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</si>
  <si>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</si>
  <si>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</si>
  <si>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</si>
  <si>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</si>
  <si>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</si>
  <si>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</si>
  <si>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</si>
  <si>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</si>
  <si>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</si>
  <si>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</si>
  <si>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</si>
  <si>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</si>
  <si>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</si>
  <si>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</si>
  <si>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</si>
  <si>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</si>
  <si>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</si>
  <si>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</si>
  <si>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</si>
  <si>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</si>
  <si>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</si>
  <si>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</si>
  <si>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</si>
  <si>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</si>
  <si>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</si>
  <si>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</si>
  <si>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</si>
  <si>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</si>
  <si>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</si>
  <si>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</si>
  <si>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</si>
  <si>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</si>
  <si>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</si>
  <si>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</si>
  <si>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</si>
  <si>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</si>
  <si>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</si>
  <si>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</si>
  <si>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</si>
  <si>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</si>
  <si>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</si>
  <si>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</si>
  <si>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</si>
  <si>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</si>
  <si>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</si>
  <si>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</si>
  <si>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</si>
  <si>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</si>
  <si>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</si>
  <si>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</si>
  <si>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</si>
  <si>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</si>
  <si>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</si>
  <si>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</si>
  <si>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</si>
  <si>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</si>
  <si>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</si>
  <si>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</si>
  <si>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</si>
  <si>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</si>
  <si>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</si>
  <si>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</si>
  <si>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</si>
  <si>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</si>
  <si>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</si>
  <si>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</si>
  <si>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</si>
  <si>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</si>
  <si>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</si>
  <si>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</si>
  <si>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</si>
  <si>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</si>
  <si>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</si>
  <si>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</si>
  <si>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</si>
  <si>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</si>
  <si>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</si>
  <si>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</si>
  <si>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</si>
  <si>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</si>
  <si>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</si>
  <si>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</si>
  <si>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</si>
  <si>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</si>
  <si>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</si>
  <si>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</si>
  <si>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</si>
  <si>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</si>
  <si>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</si>
  <si>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</si>
  <si>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</si>
  <si>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</si>
  <si>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</si>
  <si>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</si>
  <si>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</si>
  <si>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</si>
  <si>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</si>
  <si>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</si>
  <si>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</si>
  <si>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</si>
  <si>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</si>
  <si>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</si>
  <si>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</si>
  <si>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</si>
  <si>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</si>
  <si>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</si>
  <si>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</si>
  <si>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</si>
  <si>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</si>
  <si>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</si>
  <si>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</si>
  <si>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</si>
  <si>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</si>
  <si>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</si>
  <si>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</si>
  <si>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</si>
  <si>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</si>
  <si>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</si>
  <si>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</si>
  <si>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</si>
  <si>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</si>
  <si>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</si>
  <si>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</si>
  <si>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</si>
  <si>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</si>
  <si>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</si>
  <si>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</si>
  <si>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</si>
  <si>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</si>
  <si>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</si>
  <si>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</si>
  <si>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</si>
  <si>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</si>
  <si>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</si>
  <si>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</si>
  <si>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</si>
  <si>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</si>
  <si>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</si>
  <si>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</si>
  <si>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</si>
  <si>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</si>
  <si>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</si>
  <si>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</si>
  <si>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</si>
  <si>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</si>
  <si>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</si>
  <si>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</si>
  <si>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</si>
  <si>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</si>
  <si>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</si>
  <si>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</si>
  <si>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</si>
  <si>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</si>
  <si>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</si>
  <si>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</si>
  <si>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</si>
  <si>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</si>
  <si>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</si>
  <si>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</si>
  <si>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</si>
  <si>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</si>
  <si>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</si>
  <si>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</si>
  <si>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</si>
  <si>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</si>
  <si>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</si>
  <si>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</si>
  <si>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</si>
  <si>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</si>
  <si>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</si>
  <si>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</si>
  <si>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</si>
  <si>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</si>
  <si>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</si>
  <si>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</si>
  <si>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</si>
  <si>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</si>
  <si>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</si>
  <si>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</si>
  <si>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</si>
  <si>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</si>
  <si>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</si>
  <si>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</si>
  <si>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</si>
  <si>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</si>
  <si>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</si>
  <si>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</si>
  <si>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</si>
  <si>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</si>
  <si>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</si>
  <si>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</si>
  <si>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</si>
  <si>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</si>
  <si>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</si>
  <si>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</si>
  <si>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</si>
  <si>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</si>
  <si>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</si>
  <si>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</si>
  <si>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</si>
  <si>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</si>
  <si>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</si>
  <si>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</si>
  <si>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</si>
  <si>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</si>
  <si>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</si>
  <si>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</si>
  <si>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</si>
  <si>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</si>
  <si>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</si>
  <si>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</si>
  <si>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</si>
  <si>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</si>
  <si>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</si>
  <si>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</si>
  <si>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</si>
  <si>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</si>
  <si>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</si>
  <si>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</si>
  <si>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</si>
  <si>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</si>
  <si>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</si>
  <si>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</si>
  <si>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</si>
  <si>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</si>
  <si>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</si>
  <si>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</si>
  <si>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</si>
  <si>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</si>
  <si>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</si>
  <si>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</si>
  <si>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</si>
  <si>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</si>
  <si>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</si>
  <si>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</si>
  <si>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</si>
  <si>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</si>
  <si>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</si>
  <si>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</si>
  <si>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</si>
  <si>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</si>
  <si>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</si>
  <si>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</si>
  <si>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</si>
  <si>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</si>
  <si>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</si>
  <si>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</si>
  <si>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</si>
  <si>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</si>
  <si>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</si>
  <si>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</si>
  <si>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</si>
  <si>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</si>
  <si>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</si>
  <si>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</si>
  <si>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</si>
  <si>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</si>
  <si>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</si>
  <si>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</si>
  <si>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</si>
  <si>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</si>
  <si>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</si>
  <si>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</si>
  <si>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</si>
  <si>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</si>
  <si>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</si>
  <si>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</si>
  <si>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</si>
  <si>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</si>
  <si>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</si>
  <si>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</si>
  <si>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</si>
  <si>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</si>
  <si>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</si>
  <si>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</si>
  <si>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</si>
  <si>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</si>
  <si>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</si>
  <si>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</si>
  <si>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</si>
  <si>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</si>
  <si>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</si>
  <si>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</si>
  <si>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</si>
  <si>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</si>
  <si>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</si>
  <si>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</si>
  <si>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</si>
  <si>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</si>
  <si>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</si>
  <si>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</si>
  <si>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</si>
  <si>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</si>
  <si>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</si>
  <si>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</si>
  <si>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</si>
  <si>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</si>
  <si>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</si>
  <si>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</si>
  <si>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</si>
  <si>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</si>
  <si>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</si>
  <si>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</si>
  <si>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</si>
  <si>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</si>
  <si>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</si>
  <si>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</si>
  <si>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</si>
  <si>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</si>
  <si>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</si>
  <si>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</si>
  <si>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</si>
  <si>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</si>
  <si>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</si>
  <si>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</si>
  <si>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</si>
  <si>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</si>
  <si>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</si>
  <si>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</si>
  <si>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</si>
  <si>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</si>
  <si>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</si>
  <si>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</si>
  <si>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</si>
  <si>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</si>
  <si>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</si>
  <si>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</si>
  <si>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</si>
  <si>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</si>
  <si>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</si>
  <si>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</si>
  <si>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</si>
  <si>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</si>
  <si>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</si>
  <si>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</si>
  <si>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</si>
  <si>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</si>
  <si>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</si>
  <si>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</si>
  <si>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</si>
  <si>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</si>
  <si>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</si>
  <si>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</si>
  <si>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</si>
  <si>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</si>
  <si>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</si>
  <si>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</si>
  <si>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</si>
  <si>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</si>
  <si>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</si>
  <si>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</si>
  <si>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</si>
  <si>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</si>
  <si>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</si>
  <si>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</si>
  <si>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</si>
  <si>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</si>
  <si>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</si>
  <si>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</si>
  <si>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</si>
  <si>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</si>
  <si>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</si>
  <si>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</si>
  <si>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</si>
  <si>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</si>
  <si>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</si>
  <si>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</si>
  <si>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</si>
  <si>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</si>
  <si>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</si>
  <si>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</si>
  <si>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</si>
  <si>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</si>
  <si>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</si>
  <si>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</si>
  <si>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</si>
  <si>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</si>
  <si>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</si>
  <si>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</si>
  <si>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</si>
  <si>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</si>
  <si>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</si>
  <si>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</si>
  <si>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</si>
  <si>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</si>
  <si>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</si>
  <si>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</si>
  <si>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</si>
  <si>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</si>
  <si>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</si>
  <si>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</si>
  <si>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</si>
  <si>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</si>
  <si>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</si>
  <si>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</si>
  <si>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</si>
  <si>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</si>
  <si>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</si>
  <si>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</si>
  <si>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</si>
  <si>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</si>
  <si>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</si>
  <si>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</si>
  <si>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</si>
  <si>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</si>
  <si>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</si>
  <si>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</si>
  <si>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</si>
  <si>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</si>
  <si>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</si>
  <si>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</si>
  <si>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</si>
  <si>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</si>
  <si>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</si>
  <si>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</si>
  <si>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</si>
  <si>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</si>
  <si>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</si>
  <si>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</si>
  <si>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</si>
  <si>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</si>
  <si>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</si>
  <si>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</si>
  <si>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</si>
  <si>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</si>
  <si>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</si>
  <si>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</si>
  <si>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</si>
  <si>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</si>
  <si>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</si>
  <si>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</si>
  <si>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</si>
  <si>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</si>
  <si>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</si>
  <si>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</si>
  <si>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</si>
  <si>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</si>
  <si>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</si>
  <si>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</si>
  <si>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</si>
  <si>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</si>
  <si>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</si>
  <si>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</si>
  <si>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</si>
  <si>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</si>
  <si>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</si>
  <si>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</si>
  <si>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</si>
  <si>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</si>
  <si>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</si>
  <si>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</si>
  <si>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</si>
  <si>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</si>
  <si>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</si>
  <si>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</si>
  <si>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</si>
  <si>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</si>
  <si>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</si>
  <si>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</si>
  <si>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</si>
  <si>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</si>
  <si>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</si>
  <si>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</si>
  <si>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</si>
  <si>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</si>
  <si>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</si>
  <si>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</si>
  <si>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</si>
  <si>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</si>
  <si>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</si>
  <si>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</si>
  <si>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</si>
  <si>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</si>
  <si>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</si>
  <si>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</si>
  <si>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</si>
  <si>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</si>
  <si>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</si>
  <si>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</si>
  <si>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</si>
  <si>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</si>
  <si>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</si>
  <si>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</si>
  <si>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</si>
  <si>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</si>
  <si>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</si>
  <si>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</si>
  <si>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</si>
  <si>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</si>
  <si>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</si>
  <si>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</si>
  <si>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</si>
  <si>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</si>
  <si>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</si>
  <si>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</si>
  <si>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</si>
  <si>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</si>
  <si>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</si>
  <si>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</si>
  <si>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</si>
  <si>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</si>
  <si>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</si>
  <si>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</si>
  <si>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</si>
  <si>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</si>
  <si>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</si>
  <si>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</si>
  <si>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</si>
  <si>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</si>
  <si>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</si>
  <si>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</si>
  <si>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</si>
  <si>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</si>
  <si>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</si>
  <si>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</si>
  <si>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</si>
  <si>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</si>
  <si>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</si>
  <si>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</si>
  <si>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</si>
  <si>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</si>
  <si>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</si>
  <si>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</si>
  <si>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</si>
  <si>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</si>
  <si>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</si>
  <si>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</si>
  <si>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</si>
  <si>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</si>
  <si>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</si>
  <si>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</si>
  <si>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</si>
  <si>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</si>
  <si>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</si>
  <si>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</si>
  <si>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</si>
  <si>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</si>
  <si>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</si>
  <si>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</si>
  <si>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</si>
  <si>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</si>
  <si>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</si>
  <si>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</si>
  <si>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</si>
  <si>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</si>
  <si>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</si>
  <si>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</si>
  <si>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</si>
  <si>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</si>
  <si>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</si>
  <si>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</si>
  <si>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</si>
  <si>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</si>
  <si>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</si>
  <si>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</si>
  <si>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</si>
  <si>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</si>
  <si>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</si>
  <si>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</si>
  <si>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</si>
  <si>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</si>
  <si>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</si>
  <si>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</si>
  <si>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</si>
  <si>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</si>
  <si>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</si>
  <si>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</si>
  <si>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</si>
  <si>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</si>
  <si>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</si>
  <si>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</si>
  <si>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</si>
  <si>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</si>
  <si>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</si>
  <si>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</si>
  <si>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</si>
  <si>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</si>
  <si>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</si>
  <si>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</si>
  <si>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</si>
  <si>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</si>
  <si>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</si>
  <si>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</si>
  <si>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</si>
  <si>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</si>
  <si>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</si>
  <si>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</si>
  <si>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</si>
  <si>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</si>
  <si>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</si>
  <si>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</si>
  <si>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</si>
  <si>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</si>
  <si>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</si>
  <si>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</si>
  <si>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</si>
  <si>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</si>
  <si>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</si>
  <si>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</si>
  <si>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</si>
  <si>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</si>
  <si>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</si>
  <si>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</si>
  <si>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</si>
  <si>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</si>
  <si>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</si>
  <si>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</si>
  <si>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</si>
  <si>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</si>
  <si>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</si>
  <si>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</si>
  <si>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</si>
  <si>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</si>
  <si>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</si>
  <si>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</si>
  <si>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</si>
  <si>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</si>
  <si>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</si>
  <si>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</si>
  <si>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</si>
  <si>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</si>
  <si>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</si>
  <si>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</si>
  <si>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</si>
  <si>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</si>
  <si>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</si>
  <si>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</si>
  <si>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</si>
  <si>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</si>
  <si>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</si>
  <si>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</si>
  <si>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</si>
  <si>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</si>
  <si>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</si>
  <si>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</si>
  <si>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</si>
  <si>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</si>
  <si>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</si>
  <si>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</si>
  <si>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</si>
  <si>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</si>
  <si>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</si>
  <si>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</si>
  <si>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</si>
  <si>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</si>
  <si>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</si>
  <si>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</si>
  <si>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</si>
  <si>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</si>
  <si>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</si>
  <si>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</si>
  <si>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</si>
  <si>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</si>
  <si>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</si>
  <si>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</si>
  <si>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</si>
  <si>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</si>
  <si>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</si>
  <si>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</si>
  <si>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</si>
  <si>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</si>
  <si>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</si>
  <si>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</si>
  <si>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</si>
  <si>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</si>
  <si>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</si>
  <si>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</si>
  <si>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</si>
  <si>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</si>
  <si>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</si>
  <si>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</si>
  <si>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</si>
  <si>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</si>
  <si>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</si>
  <si>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</si>
  <si>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</si>
  <si>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</si>
  <si>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</si>
  <si>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</si>
  <si>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</si>
  <si>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</si>
  <si>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</si>
  <si>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</si>
  <si>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</si>
  <si>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</si>
  <si>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</si>
  <si>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</si>
  <si>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</si>
  <si>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</si>
  <si>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</si>
  <si>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</si>
  <si>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</si>
  <si>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</si>
  <si>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</si>
  <si>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</si>
  <si>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</si>
  <si>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</si>
  <si>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</si>
  <si>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</si>
  <si>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</si>
  <si>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</si>
  <si>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</si>
  <si>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</si>
  <si>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</si>
  <si>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</si>
  <si>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</si>
  <si>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</si>
  <si>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</si>
  <si>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</si>
  <si>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</si>
  <si>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</si>
  <si>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</si>
  <si>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</si>
  <si>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</si>
  <si>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</si>
  <si>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</si>
  <si>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</si>
  <si>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</si>
  <si>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</si>
  <si>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</si>
  <si>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</si>
  <si>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</si>
  <si>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</si>
  <si>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</si>
  <si>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</si>
  <si>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</si>
  <si>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</si>
  <si>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</si>
  <si>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</si>
  <si>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</si>
  <si>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</si>
  <si>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</si>
  <si>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</si>
  <si>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</si>
  <si>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</si>
  <si>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</si>
  <si>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</si>
  <si>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</si>
  <si>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</si>
  <si>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</si>
  <si>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</si>
  <si>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</si>
  <si>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</si>
  <si>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</si>
  <si>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</si>
  <si>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</si>
  <si>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</si>
  <si>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</si>
  <si>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</si>
  <si>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</si>
  <si>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</si>
  <si>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</si>
  <si>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</si>
  <si>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</si>
  <si>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</si>
  <si>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</si>
  <si>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</si>
  <si>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</si>
  <si>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</si>
  <si>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</si>
  <si>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</si>
  <si>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</si>
  <si>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</si>
  <si>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</si>
  <si>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</si>
  <si>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</si>
  <si>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</si>
  <si>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</si>
  <si>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</si>
  <si>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</si>
  <si>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</si>
  <si>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</si>
  <si>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</si>
  <si>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</si>
  <si>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</si>
  <si>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</si>
  <si>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</si>
  <si>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</si>
  <si>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</si>
  <si>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</si>
  <si>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</si>
  <si>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</si>
  <si>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</si>
  <si>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</si>
  <si>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</si>
  <si>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</si>
  <si>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</si>
  <si>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</si>
  <si>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</si>
  <si>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</si>
  <si>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</si>
  <si>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</si>
  <si>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</si>
  <si>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</si>
  <si>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</si>
  <si>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</si>
  <si>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</si>
  <si>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</si>
  <si>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</si>
  <si>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</si>
  <si>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</si>
  <si>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</si>
  <si>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</si>
  <si>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</si>
  <si>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</si>
  <si>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</si>
  <si>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</si>
  <si>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</si>
  <si>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</si>
  <si>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</si>
  <si>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</si>
  <si>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</si>
  <si>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</si>
  <si>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</si>
  <si>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</si>
  <si>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</si>
  <si>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</si>
  <si>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</si>
  <si>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</si>
  <si>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</si>
  <si>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</si>
  <si>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</si>
  <si>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</si>
  <si>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</si>
  <si>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</si>
  <si>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</si>
  <si>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</si>
  <si>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</si>
  <si>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</si>
  <si>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</si>
  <si>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</si>
  <si>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</si>
  <si>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</si>
  <si>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</si>
  <si>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</si>
  <si>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</si>
  <si>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</si>
  <si>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</si>
  <si>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</si>
  <si>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</si>
  <si>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</si>
  <si>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</si>
  <si>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</si>
  <si>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</si>
  <si>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</si>
  <si>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</si>
  <si>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</si>
  <si>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</si>
  <si>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</si>
  <si>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</si>
  <si>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</si>
  <si>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</si>
  <si>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</si>
  <si>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</si>
  <si>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</si>
  <si>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</si>
  <si>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</si>
  <si>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</si>
  <si>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</si>
  <si>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</si>
  <si>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</si>
  <si>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</si>
  <si>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</si>
  <si>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</si>
  <si>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</si>
  <si>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</si>
  <si>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</si>
  <si>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</si>
  <si>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</si>
  <si>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</si>
  <si>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</si>
  <si>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</si>
  <si>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</si>
  <si>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</si>
  <si>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</si>
  <si>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</si>
  <si>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</si>
  <si>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</si>
  <si>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</si>
  <si>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</si>
  <si>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</si>
  <si>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</si>
  <si>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</si>
  <si>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</si>
  <si>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</si>
  <si>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</si>
  <si>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</si>
  <si>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</si>
  <si>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</si>
  <si>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</si>
  <si>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</si>
  <si>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</si>
  <si>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</si>
  <si>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</si>
  <si>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</si>
  <si>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</si>
  <si>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</si>
  <si>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</si>
  <si>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</si>
  <si>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</si>
  <si>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</si>
  <si>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</si>
  <si>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</si>
  <si>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</si>
  <si>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</si>
  <si>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</si>
  <si>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</si>
  <si>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</si>
  <si>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</si>
  <si>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</si>
  <si>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</si>
  <si>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</si>
  <si>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</si>
  <si>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</si>
  <si>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</si>
  <si>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</si>
  <si>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</si>
  <si>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</si>
  <si>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</si>
  <si>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</si>
  <si>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</si>
  <si>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</si>
  <si>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</si>
  <si>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</si>
  <si>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</si>
  <si>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</si>
  <si>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</si>
  <si>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</si>
  <si>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</si>
  <si>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</si>
  <si>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</si>
  <si>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</si>
  <si>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</si>
  <si>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</si>
  <si>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</si>
  <si>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</si>
  <si>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</si>
  <si>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</si>
  <si>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</si>
  <si>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</si>
  <si>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</si>
  <si>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</si>
  <si>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</si>
  <si>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</si>
  <si>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</si>
  <si>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</si>
  <si>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</si>
  <si>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</si>
  <si>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</si>
  <si>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</si>
  <si>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</si>
  <si>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</si>
  <si>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</si>
  <si>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</si>
  <si>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</si>
  <si>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</si>
  <si>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</si>
  <si>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</si>
  <si>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</si>
  <si>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</si>
  <si>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</si>
  <si>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</si>
  <si>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</si>
  <si>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</si>
  <si>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</si>
  <si>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</si>
  <si>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</si>
  <si>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</si>
  <si>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</si>
  <si>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</si>
  <si>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</si>
  <si>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</si>
  <si>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</si>
  <si>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</si>
  <si>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</si>
  <si>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</si>
  <si>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</si>
  <si>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</si>
  <si>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</si>
  <si>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</si>
  <si>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</si>
  <si>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</si>
  <si>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</si>
  <si>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</si>
  <si>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</si>
  <si>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</si>
  <si>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</si>
  <si>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</si>
  <si>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</si>
  <si>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</si>
  <si>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</si>
  <si>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</si>
  <si>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</si>
  <si>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</si>
  <si>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</si>
  <si>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</si>
  <si>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</si>
  <si>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</si>
  <si>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</si>
  <si>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</si>
  <si>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</si>
  <si>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</si>
  <si>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</si>
  <si>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</si>
  <si>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</si>
  <si>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</si>
  <si>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</si>
  <si>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</si>
  <si>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</si>
  <si>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</si>
  <si>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</si>
  <si>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</si>
  <si>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</si>
  <si>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</si>
  <si>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</si>
  <si>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</si>
  <si>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</si>
  <si>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</si>
  <si>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</si>
  <si>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</si>
  <si>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</si>
  <si>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</si>
  <si>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</si>
  <si>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</si>
  <si>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</si>
  <si>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</si>
  <si>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</si>
  <si>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</si>
  <si>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</si>
  <si>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</si>
  <si>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</si>
  <si>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</si>
  <si>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</si>
  <si>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</si>
  <si>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</si>
  <si>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</si>
  <si>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</si>
  <si>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</si>
  <si>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</si>
  <si>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</si>
  <si>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</si>
  <si>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</si>
  <si>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</si>
  <si>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</si>
  <si>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</si>
  <si>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</si>
  <si>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</si>
  <si>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</si>
  <si>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</si>
  <si>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</si>
  <si>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</si>
  <si>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</si>
  <si>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</si>
  <si>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</si>
  <si>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</si>
  <si>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</si>
  <si>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</si>
  <si>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</si>
  <si>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</si>
  <si>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</si>
  <si>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</si>
  <si>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</si>
  <si>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</si>
  <si>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</si>
  <si>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</si>
  <si>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</si>
  <si>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</si>
  <si>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</si>
  <si>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</si>
  <si>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</si>
  <si>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</si>
  <si>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</si>
  <si>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</si>
  <si>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</si>
  <si>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</si>
  <si>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</si>
  <si>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</si>
  <si>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</si>
  <si>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</si>
  <si>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</si>
  <si>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</si>
  <si>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</si>
  <si>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</si>
  <si>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</si>
  <si>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</si>
  <si>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</si>
  <si>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</si>
  <si>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</si>
  <si>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</si>
  <si>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</si>
  <si>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</si>
  <si>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</si>
  <si>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</si>
  <si>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</si>
  <si>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</si>
  <si>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</si>
  <si>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</si>
  <si>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</si>
  <si>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</si>
  <si>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</si>
  <si>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</si>
  <si>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</si>
  <si>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</si>
  <si>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</si>
  <si>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</si>
  <si>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</si>
  <si>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</si>
  <si>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</si>
  <si>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</si>
  <si>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</si>
  <si>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</si>
  <si>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</si>
  <si>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</si>
  <si>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</si>
  <si>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</si>
  <si>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</si>
  <si>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</si>
  <si>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</si>
  <si>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</si>
  <si>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</si>
  <si>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</si>
  <si>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</si>
  <si>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</si>
  <si>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</si>
  <si>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</si>
  <si>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</si>
  <si>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</si>
  <si>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</si>
  <si>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</si>
  <si>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</si>
  <si>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</si>
  <si>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</si>
  <si>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</si>
  <si>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</si>
  <si>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</si>
  <si>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</si>
  <si>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</si>
  <si>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</si>
  <si>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</si>
  <si>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</si>
  <si>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</si>
  <si>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</si>
  <si>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</si>
  <si>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</si>
  <si>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</si>
  <si>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</si>
  <si>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</si>
  <si>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</si>
  <si>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</si>
  <si>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</si>
  <si>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</si>
  <si>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</si>
  <si>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</si>
  <si>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</si>
  <si>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</si>
  <si>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</si>
  <si>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</si>
  <si>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</si>
  <si>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</si>
  <si>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</si>
  <si>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</si>
  <si>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</si>
  <si>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</si>
  <si>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</si>
  <si>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</si>
  <si>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</si>
  <si>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</si>
  <si>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</si>
  <si>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</si>
  <si>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</si>
  <si>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</si>
  <si>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</si>
  <si>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</si>
  <si>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</si>
  <si>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</si>
  <si>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</si>
  <si>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</si>
  <si>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</si>
  <si>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</si>
  <si>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</si>
  <si>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</si>
  <si>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</si>
  <si>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</si>
  <si>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</si>
  <si>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</si>
  <si>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</si>
  <si>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</si>
  <si>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</si>
  <si>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</si>
  <si>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</si>
  <si>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</si>
  <si>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</si>
  <si>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</si>
  <si>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</si>
  <si>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</si>
  <si>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</si>
  <si>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</si>
  <si>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</si>
  <si>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</si>
  <si>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</si>
  <si>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</si>
  <si>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</si>
  <si>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</si>
  <si>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</si>
  <si>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</si>
  <si>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</si>
  <si>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</si>
  <si>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</si>
  <si>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</si>
  <si>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</si>
  <si>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</si>
  <si>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</si>
  <si>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</si>
  <si>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</si>
  <si>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</si>
  <si>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</si>
  <si>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</si>
  <si>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</si>
  <si>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</si>
  <si>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</si>
  <si>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</si>
  <si>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</si>
  <si>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</si>
  <si>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</si>
  <si>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</si>
  <si>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</si>
  <si>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</si>
  <si>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</si>
  <si>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</si>
  <si>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</si>
  <si>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</si>
  <si>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</si>
  <si>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</si>
  <si>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</si>
  <si>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</si>
  <si>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</si>
  <si>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</si>
  <si>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</si>
  <si>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</si>
  <si>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</si>
  <si>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</si>
  <si>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</si>
  <si>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</si>
  <si>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</si>
  <si>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</si>
  <si>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</si>
  <si>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</si>
  <si>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</si>
  <si>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</si>
  <si>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</si>
  <si>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</si>
  <si>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</si>
  <si>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</si>
  <si>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</si>
  <si>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</si>
  <si>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</si>
  <si>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</si>
  <si>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</si>
  <si>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</si>
  <si>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</si>
  <si>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</si>
  <si>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</si>
  <si>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</si>
  <si>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</si>
  <si>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</si>
  <si>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</si>
  <si>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</si>
  <si>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</si>
  <si>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</si>
  <si>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</si>
  <si>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</si>
  <si>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</si>
  <si>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</si>
  <si>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</si>
  <si>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</si>
  <si>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</si>
  <si>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</si>
  <si>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</si>
  <si>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</si>
  <si>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</si>
  <si>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</si>
  <si>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</si>
  <si>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</si>
  <si>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</si>
  <si>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</si>
  <si>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</si>
  <si>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</si>
  <si>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</si>
  <si>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</si>
  <si>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</si>
  <si>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</si>
  <si>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</si>
  <si>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</si>
  <si>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</si>
  <si>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</si>
  <si>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</si>
  <si>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</si>
  <si>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</si>
  <si>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</si>
  <si>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</si>
  <si>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</si>
  <si>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</si>
  <si>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</si>
  <si>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</si>
  <si>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</si>
  <si>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</si>
  <si>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</si>
  <si>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</si>
  <si>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</si>
  <si>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</si>
  <si>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</si>
  <si>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</si>
  <si>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</si>
  <si>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</si>
  <si>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</si>
  <si>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</si>
  <si>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</si>
  <si>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</si>
  <si>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</si>
  <si>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</si>
  <si>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</si>
  <si>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</si>
  <si>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</si>
  <si>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</si>
  <si>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</si>
  <si>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</si>
  <si>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</si>
  <si>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</si>
  <si>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</si>
  <si>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</si>
  <si>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</si>
  <si>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</si>
  <si>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</si>
  <si>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</si>
  <si>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</si>
  <si>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</si>
  <si>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</si>
  <si>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</si>
  <si>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</si>
  <si>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</si>
  <si>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</si>
  <si>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</si>
  <si>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</si>
  <si>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</si>
  <si>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</si>
  <si>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</si>
  <si>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</si>
  <si>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</si>
  <si>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</si>
  <si>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</si>
  <si>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</si>
  <si>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</si>
  <si>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</si>
  <si>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</si>
  <si>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</si>
  <si>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</si>
  <si>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</si>
  <si>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</si>
  <si>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</si>
  <si>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</si>
  <si>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</si>
  <si>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</si>
  <si>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</si>
  <si>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</si>
  <si>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</si>
  <si>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</si>
  <si>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</si>
  <si>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</si>
  <si>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</si>
  <si>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</si>
  <si>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</si>
  <si>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</si>
  <si>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</si>
  <si>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</si>
  <si>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</si>
  <si>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</si>
  <si>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</si>
  <si>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</si>
  <si>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</si>
  <si>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</si>
  <si>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</si>
  <si>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</si>
  <si>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</si>
  <si>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</si>
  <si>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</si>
  <si>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</si>
  <si>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</si>
  <si>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</si>
  <si>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</si>
  <si>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</si>
  <si>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</si>
  <si>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</si>
  <si>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</si>
  <si>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</si>
  <si>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</si>
  <si>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</si>
  <si>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</si>
  <si>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</si>
  <si>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</si>
  <si>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</si>
  <si>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</si>
  <si>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</si>
  <si>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</si>
  <si>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</si>
  <si>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</si>
  <si>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</si>
  <si>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</si>
  <si>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</si>
  <si>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</si>
  <si>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</si>
  <si>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</si>
  <si>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</si>
  <si>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</si>
  <si>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</si>
  <si>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</si>
  <si>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</si>
  <si>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</si>
  <si>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</si>
  <si>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</si>
  <si>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</si>
  <si>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</si>
  <si>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</si>
  <si>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</si>
  <si>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</si>
  <si>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</si>
  <si>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</si>
  <si>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</si>
  <si>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</si>
  <si>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</si>
  <si>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</si>
  <si>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</si>
  <si>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</si>
  <si>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</si>
  <si>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</si>
  <si>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</si>
  <si>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</si>
  <si>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</si>
  <si>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</si>
  <si>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</si>
  <si>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</si>
  <si>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</si>
  <si>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</si>
  <si>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</si>
  <si>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</si>
  <si>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</si>
  <si>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</si>
  <si>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</si>
  <si>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</si>
  <si>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</si>
  <si>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</si>
  <si>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</si>
  <si>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</si>
  <si>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</si>
  <si>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</si>
  <si>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</si>
  <si>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</si>
  <si>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</si>
  <si>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</si>
  <si>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</si>
  <si>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</si>
  <si>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</si>
  <si>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</si>
  <si>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</si>
  <si>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</si>
  <si>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</si>
  <si>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</si>
  <si>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</si>
  <si>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</si>
  <si>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</si>
  <si>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</si>
  <si>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</si>
  <si>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</si>
  <si>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</si>
  <si>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</si>
  <si>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</si>
  <si>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</si>
  <si>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</si>
  <si>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</si>
  <si>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</si>
  <si>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</si>
  <si>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</si>
  <si>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</si>
  <si>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</si>
  <si>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</si>
  <si>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</si>
  <si>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</si>
  <si>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</si>
  <si>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</si>
  <si>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</si>
  <si>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</si>
  <si>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</si>
  <si>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</si>
  <si>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</si>
  <si>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</si>
  <si>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</si>
  <si>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</si>
  <si>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</si>
  <si>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</si>
  <si>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</si>
  <si>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</si>
  <si>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</si>
  <si>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</si>
  <si>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</si>
  <si>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</si>
  <si>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</si>
  <si>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</si>
  <si>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</si>
  <si>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</si>
  <si>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</si>
  <si>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</si>
  <si>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</si>
  <si>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</si>
  <si>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</si>
  <si>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</si>
  <si>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</si>
  <si>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</si>
  <si>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</si>
  <si>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</si>
  <si>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</si>
  <si>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</si>
  <si>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</si>
  <si>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</si>
  <si>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</si>
  <si>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</si>
  <si>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</si>
  <si>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</si>
  <si>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</si>
  <si>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</si>
  <si>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</si>
  <si>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</si>
  <si>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</si>
  <si>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</si>
  <si>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</si>
  <si>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</si>
  <si>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</si>
  <si>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</si>
  <si>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</si>
  <si>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</si>
  <si>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</si>
  <si>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</si>
  <si>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</si>
  <si>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</si>
  <si>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</si>
  <si>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</si>
  <si>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</si>
  <si>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</si>
  <si>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</si>
  <si>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</si>
  <si>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</si>
  <si>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</si>
  <si>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</si>
  <si>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</si>
  <si>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</si>
  <si>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</si>
  <si>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</si>
  <si>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</si>
  <si>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</si>
  <si>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</si>
  <si>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</si>
  <si>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</si>
  <si>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</si>
  <si>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</si>
  <si>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</si>
  <si>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</si>
  <si>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</si>
  <si>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</si>
  <si>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</si>
  <si>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</si>
  <si>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</si>
  <si>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</si>
  <si>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</si>
  <si>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</si>
  <si>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</si>
  <si>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</si>
  <si>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</si>
  <si>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</si>
  <si>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</si>
  <si>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</si>
  <si>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</si>
  <si>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</si>
  <si>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</si>
  <si>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</si>
  <si>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</si>
  <si>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</si>
  <si>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</si>
  <si>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</si>
  <si>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</si>
  <si>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</si>
  <si>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</si>
  <si>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</si>
  <si>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</si>
  <si>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</si>
  <si>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</si>
  <si>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</si>
  <si>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</si>
  <si>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</si>
  <si>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</si>
  <si>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</si>
  <si>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</si>
  <si>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</si>
  <si>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</si>
  <si>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</si>
  <si>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</si>
  <si>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</si>
  <si>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</si>
  <si>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</si>
  <si>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</si>
  <si>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</si>
  <si>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</si>
  <si>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</si>
  <si>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</si>
  <si>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</si>
  <si>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</si>
  <si>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</si>
  <si>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</si>
  <si>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</si>
  <si>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</si>
  <si>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</si>
  <si>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</si>
  <si>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</si>
  <si>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</si>
  <si>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</si>
  <si>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</si>
  <si>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</si>
  <si>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</si>
  <si>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</si>
  <si>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</si>
  <si>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</si>
  <si>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</si>
  <si>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</si>
  <si>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</si>
  <si>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</si>
  <si>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</si>
  <si>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</si>
  <si>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</si>
  <si>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</si>
  <si>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</si>
  <si>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</si>
  <si>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</si>
  <si>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</si>
  <si>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</si>
  <si>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</si>
  <si>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</si>
  <si>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</si>
  <si>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</si>
  <si>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</si>
  <si>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</si>
  <si>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</si>
  <si>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</si>
  <si>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</si>
  <si>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</si>
  <si>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</si>
  <si>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</si>
  <si>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</si>
  <si>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</si>
  <si>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</si>
  <si>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</si>
  <si>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</si>
  <si>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</si>
  <si>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</si>
  <si>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</si>
  <si>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</si>
  <si>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</si>
  <si>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</si>
  <si>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</si>
  <si>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</si>
  <si>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</si>
  <si>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</si>
  <si>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</si>
  <si>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</si>
  <si>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</si>
  <si>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</si>
  <si>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</si>
  <si>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</si>
  <si>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</si>
  <si>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</si>
  <si>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</si>
  <si>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</si>
  <si>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</si>
  <si>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</si>
  <si>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</si>
  <si>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</si>
  <si>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</si>
  <si>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</si>
  <si>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</si>
  <si>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</si>
  <si>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</si>
  <si>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</si>
  <si>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</si>
  <si>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</si>
  <si>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</si>
  <si>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</si>
  <si>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</si>
  <si>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</si>
  <si>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</si>
  <si>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</si>
  <si>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</si>
  <si>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</si>
  <si>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</si>
  <si>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</si>
  <si>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</si>
  <si>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</si>
  <si>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</si>
  <si>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</si>
  <si>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</si>
  <si>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</si>
  <si>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</si>
  <si>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</si>
  <si>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</si>
  <si>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</si>
  <si>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</si>
  <si>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</si>
  <si>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</si>
  <si>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</si>
  <si>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</si>
  <si>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</si>
  <si>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</si>
  <si>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</si>
  <si>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</si>
  <si>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</si>
  <si>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</si>
  <si>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</si>
  <si>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</si>
  <si>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</si>
  <si>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</si>
  <si>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</si>
  <si>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</si>
  <si>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</si>
  <si>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</si>
  <si>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</si>
  <si>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</si>
  <si>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</si>
  <si>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</si>
  <si>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</si>
  <si>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</si>
  <si>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</si>
  <si>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</si>
  <si>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</si>
  <si>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</si>
  <si>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</si>
  <si>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</si>
  <si>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</si>
  <si>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</si>
  <si>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</si>
  <si>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</si>
  <si>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</si>
  <si>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</si>
  <si>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</si>
  <si>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</si>
  <si>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</si>
  <si>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</si>
  <si>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</si>
  <si>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</si>
  <si>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</si>
  <si>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</si>
  <si>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</si>
  <si>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</si>
  <si>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</si>
  <si>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</si>
  <si>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</si>
  <si>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</si>
  <si>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</si>
  <si>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</si>
  <si>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</si>
  <si>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</si>
  <si>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</si>
  <si>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</si>
  <si>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</si>
  <si>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</si>
  <si>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</si>
  <si>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</si>
  <si>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</si>
  <si>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</si>
  <si>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</si>
  <si>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</si>
  <si>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</si>
  <si>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</si>
  <si>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</si>
  <si>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</si>
  <si>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</si>
  <si>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</si>
  <si>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</si>
  <si>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</si>
  <si>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</si>
  <si>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</si>
  <si>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</si>
  <si>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</si>
  <si>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</si>
  <si>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</si>
  <si>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</si>
  <si>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</si>
  <si>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</si>
  <si>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</si>
  <si>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</si>
  <si>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</si>
  <si>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</si>
  <si>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</si>
  <si>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</si>
  <si>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</si>
  <si>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</si>
  <si>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</si>
  <si>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</si>
  <si>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</si>
  <si>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</si>
  <si>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</si>
  <si>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</si>
  <si>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</si>
  <si>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</si>
  <si>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</si>
  <si>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</si>
  <si>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</si>
  <si>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</si>
  <si>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</si>
  <si>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</si>
  <si>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</si>
  <si>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</si>
  <si>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</si>
  <si>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</si>
  <si>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</si>
  <si>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</si>
  <si>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</si>
  <si>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</si>
  <si>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</si>
  <si>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</si>
  <si>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</si>
  <si>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</si>
  <si>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</si>
  <si>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</si>
  <si>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</si>
  <si>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</si>
  <si>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</si>
  <si>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</si>
  <si>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</si>
  <si>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</si>
  <si>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</si>
  <si>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</si>
  <si>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</si>
  <si>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</si>
  <si>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</si>
  <si>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</si>
  <si>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</si>
  <si>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</si>
  <si>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</si>
  <si>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</si>
  <si>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</si>
  <si>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</si>
  <si>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</si>
  <si>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</si>
  <si>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</si>
  <si>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</si>
  <si>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</si>
  <si>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</si>
  <si>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</si>
  <si>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</si>
  <si>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</si>
  <si>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</si>
  <si>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</si>
  <si>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</si>
  <si>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</si>
  <si>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</si>
  <si>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</si>
  <si>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</si>
  <si>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</si>
  <si>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</si>
  <si>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</si>
  <si>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</si>
  <si>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</si>
  <si>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</si>
  <si>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</si>
  <si>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</si>
  <si>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</si>
  <si>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</si>
  <si>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</si>
  <si>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</si>
  <si>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</si>
  <si>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</si>
  <si>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</si>
  <si>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</si>
  <si>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</si>
  <si>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</si>
  <si>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</si>
  <si>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</si>
  <si>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</si>
  <si>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</si>
  <si>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</si>
  <si>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</si>
  <si>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</si>
  <si>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</si>
  <si>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</si>
  <si>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</si>
  <si>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</si>
  <si>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</si>
  <si>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</si>
  <si>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</si>
  <si>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</si>
  <si>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</si>
  <si>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</si>
  <si>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</si>
  <si>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</si>
  <si>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</si>
  <si>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</si>
  <si>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</si>
  <si>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</si>
  <si>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</si>
  <si>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</si>
  <si>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</si>
  <si>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</si>
  <si>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</si>
  <si>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</si>
  <si>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</si>
  <si>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</si>
  <si>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</si>
  <si>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</si>
  <si>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</si>
  <si>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</si>
  <si>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</si>
  <si>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</si>
  <si>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</si>
  <si>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</si>
  <si>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</si>
  <si>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</si>
  <si>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</si>
  <si>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</si>
  <si>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</si>
  <si>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</si>
  <si>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</si>
  <si>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</si>
  <si>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</si>
  <si>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</si>
  <si>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</si>
  <si>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</si>
  <si>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</si>
  <si>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</si>
  <si>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</si>
  <si>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</si>
  <si>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</si>
  <si>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</si>
  <si>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</si>
  <si>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</si>
  <si>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</si>
  <si>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</si>
  <si>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</si>
  <si>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</si>
  <si>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</si>
  <si>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</si>
  <si>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</si>
  <si>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</si>
  <si>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</si>
  <si>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</si>
  <si>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</si>
  <si>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</si>
  <si>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</si>
  <si>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</si>
  <si>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</si>
  <si>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</si>
  <si>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</si>
  <si>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</si>
  <si>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</si>
  <si>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</si>
  <si>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</si>
  <si>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</si>
  <si>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</si>
  <si>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</si>
  <si>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</si>
  <si>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</si>
  <si>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</si>
  <si>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</si>
  <si>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</si>
  <si>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</si>
  <si>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</si>
  <si>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</si>
  <si>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</si>
  <si>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</si>
  <si>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</si>
  <si>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</si>
  <si>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</si>
  <si>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</si>
  <si>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</si>
  <si>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</si>
  <si>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</si>
  <si>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</si>
  <si>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</si>
  <si>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</si>
  <si>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</si>
  <si>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</si>
  <si>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</si>
  <si>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</si>
  <si>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</si>
  <si>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</si>
  <si>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</si>
  <si>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</si>
  <si>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</si>
  <si>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</si>
  <si>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</si>
  <si>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</si>
  <si>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</si>
  <si>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</si>
  <si>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</si>
  <si>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</si>
  <si>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</si>
  <si>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</si>
  <si>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</si>
  <si>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</si>
  <si>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</si>
  <si>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</si>
  <si>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</si>
  <si>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</si>
  <si>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</si>
  <si>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</si>
  <si>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</si>
  <si>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</si>
  <si>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</si>
  <si>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</si>
  <si>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</si>
  <si>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</si>
  <si>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</si>
  <si>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</si>
  <si>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</si>
  <si>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</si>
  <si>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</si>
  <si>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</si>
  <si>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</si>
  <si>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</si>
  <si>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</si>
  <si>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</si>
  <si>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</si>
  <si>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</si>
  <si>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</si>
  <si>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</si>
  <si>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</si>
  <si>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</si>
  <si>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</si>
  <si>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</si>
  <si>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</si>
  <si>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</si>
  <si>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</si>
  <si>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</si>
  <si>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</si>
  <si>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</si>
  <si>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</si>
  <si>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</si>
  <si>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</si>
  <si>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</si>
  <si>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</si>
  <si>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</si>
  <si>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</si>
  <si>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</si>
  <si>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</si>
  <si>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</si>
  <si>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</si>
  <si>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</si>
  <si>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</si>
  <si>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</si>
  <si>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</si>
  <si>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</si>
  <si>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</si>
  <si>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</si>
  <si>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</si>
  <si>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</si>
  <si>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</si>
  <si>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</si>
  <si>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</si>
  <si>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</si>
  <si>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</si>
  <si>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</si>
  <si>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</si>
  <si>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</si>
  <si>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</si>
  <si>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</si>
  <si>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</si>
  <si>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</si>
  <si>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</si>
  <si>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</si>
  <si>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</si>
  <si>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</si>
  <si>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</si>
  <si>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</si>
  <si>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</si>
  <si>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</si>
  <si>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</si>
  <si>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</si>
  <si>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</si>
  <si>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</si>
  <si>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</si>
  <si>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</si>
  <si>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</si>
  <si>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</si>
  <si>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</si>
  <si>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</si>
  <si>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</si>
  <si>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</si>
  <si>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</si>
  <si>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</si>
  <si>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</si>
  <si>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</si>
  <si>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</si>
  <si>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</si>
  <si>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</si>
  <si>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</si>
  <si>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</si>
  <si>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</si>
  <si>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</si>
  <si>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</si>
  <si>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</si>
  <si>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</si>
  <si>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</si>
  <si>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</si>
  <si>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</si>
  <si>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</si>
  <si>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</si>
  <si>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</si>
  <si>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</si>
  <si>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</si>
  <si>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</si>
  <si>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</si>
  <si>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</si>
  <si>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</si>
  <si>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</si>
  <si>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</si>
  <si>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</si>
  <si>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</si>
  <si>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</si>
  <si>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</si>
  <si>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</si>
  <si>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</si>
  <si>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</si>
  <si>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</si>
  <si>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</si>
  <si>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</si>
  <si>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</si>
  <si>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</si>
  <si>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</si>
  <si>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</si>
  <si>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</si>
  <si>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</si>
  <si>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</si>
  <si>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</si>
  <si>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</si>
  <si>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</si>
  <si>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</si>
  <si>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</si>
  <si>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</si>
  <si>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</si>
  <si>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</si>
  <si>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</si>
  <si>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</si>
  <si>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</si>
  <si>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</si>
  <si>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</si>
  <si>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</si>
  <si>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</si>
  <si>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</si>
  <si>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</si>
  <si>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</si>
  <si>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</si>
  <si>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</si>
  <si>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</si>
  <si>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</si>
  <si>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</si>
  <si>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</si>
  <si>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</si>
  <si>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</si>
  <si>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</si>
  <si>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</si>
  <si>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</si>
  <si>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</si>
  <si>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</si>
  <si>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</si>
  <si>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</si>
  <si>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</si>
  <si>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</si>
  <si>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</si>
  <si>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</si>
  <si>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</si>
  <si>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</si>
  <si>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</si>
  <si>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</si>
  <si>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</si>
  <si>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</si>
  <si>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</si>
  <si>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</si>
  <si>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</si>
  <si>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</si>
  <si>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</si>
  <si>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</si>
  <si>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</si>
  <si>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</si>
  <si>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</si>
  <si>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</si>
  <si>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</si>
  <si>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</si>
  <si>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</si>
  <si>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</si>
  <si>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</si>
  <si>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</si>
  <si>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</si>
  <si>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</si>
  <si>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</si>
  <si>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</si>
  <si>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</si>
  <si>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</si>
  <si>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</si>
  <si>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</si>
  <si>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</si>
  <si>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</si>
  <si>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</si>
  <si>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</si>
  <si>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</si>
  <si>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</si>
  <si>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</si>
  <si>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</si>
  <si>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</si>
  <si>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</si>
  <si>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</si>
  <si>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</si>
  <si>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</si>
  <si>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</si>
  <si>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</si>
  <si>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</si>
  <si>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</si>
  <si>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</si>
  <si>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</si>
  <si>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</si>
  <si>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</si>
  <si>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</si>
  <si>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</si>
  <si>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</si>
  <si>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</si>
  <si>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</si>
  <si>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</si>
  <si>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</si>
  <si>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</si>
  <si>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</si>
  <si>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</si>
  <si>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</si>
  <si>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</si>
  <si>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</si>
  <si>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</si>
  <si>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</si>
  <si>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</si>
  <si>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</si>
  <si>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</si>
  <si>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</si>
  <si>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</si>
  <si>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</si>
  <si>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</si>
  <si>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</si>
  <si>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</si>
  <si>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</si>
  <si>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</si>
  <si>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</si>
  <si>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</si>
  <si>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</si>
  <si>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</si>
  <si>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</si>
  <si>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</si>
  <si>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</si>
  <si>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</si>
  <si>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</si>
  <si>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</si>
  <si>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</si>
  <si>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</si>
  <si>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</si>
  <si>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</si>
  <si>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</si>
  <si>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</si>
  <si>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</si>
  <si>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</si>
  <si>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</si>
  <si>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</si>
  <si>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</si>
  <si>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</si>
  <si>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</si>
  <si>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</si>
  <si>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</si>
  <si>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</si>
  <si>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</si>
  <si>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</si>
  <si>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</si>
  <si>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</si>
  <si>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</si>
  <si>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</si>
  <si>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</si>
  <si>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</si>
  <si>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</si>
  <si>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</si>
  <si>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</si>
  <si>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</si>
  <si>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</si>
  <si>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</si>
  <si>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</si>
  <si>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</si>
  <si>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</si>
  <si>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</si>
  <si>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</si>
  <si>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</si>
  <si>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</si>
  <si>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</si>
  <si>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</si>
  <si>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</si>
  <si>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</si>
  <si>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</si>
  <si>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</si>
  <si>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</si>
  <si>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</si>
  <si>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</si>
  <si>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</si>
  <si>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</si>
  <si>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</si>
  <si>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</si>
  <si>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</si>
  <si>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</si>
  <si>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</si>
  <si>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</si>
  <si>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</si>
  <si>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</si>
  <si>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</si>
  <si>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</si>
  <si>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</si>
  <si>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</si>
  <si>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</si>
  <si>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</si>
  <si>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</si>
  <si>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</si>
  <si>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</si>
  <si>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</si>
  <si>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</si>
  <si>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</si>
  <si>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</si>
  <si>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</si>
  <si>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</si>
  <si>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</si>
  <si>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</si>
  <si>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</si>
  <si>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</si>
  <si>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</si>
  <si>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</si>
  <si>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</si>
  <si>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</si>
  <si>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</si>
  <si>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</si>
  <si>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</si>
  <si>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</si>
  <si>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</si>
  <si>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</si>
  <si>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</si>
  <si>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</si>
  <si>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</si>
  <si>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</si>
  <si>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</si>
  <si>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</si>
  <si>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</si>
  <si>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</si>
  <si>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</si>
  <si>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</si>
  <si>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</si>
  <si>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</si>
  <si>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</si>
  <si>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</si>
  <si>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</si>
  <si>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</si>
  <si>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</si>
  <si>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</si>
  <si>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</si>
  <si>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</si>
  <si>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</si>
  <si>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</si>
  <si>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</si>
  <si>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</si>
  <si>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</si>
  <si>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</si>
  <si>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</si>
  <si>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</si>
  <si>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</si>
  <si>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</si>
  <si>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</si>
  <si>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</si>
  <si>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</si>
  <si>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</si>
  <si>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</si>
  <si>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</si>
  <si>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</si>
  <si>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</si>
  <si>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</si>
  <si>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</si>
  <si>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</si>
  <si>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</si>
  <si>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</si>
  <si>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</si>
  <si>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</si>
  <si>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</si>
  <si>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</si>
  <si>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</si>
  <si>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</si>
  <si>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</si>
  <si>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</si>
  <si>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</si>
  <si>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</si>
  <si>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</si>
  <si>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</si>
  <si>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</si>
  <si>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</si>
  <si>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</si>
  <si>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</si>
  <si>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</si>
  <si>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</si>
  <si>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</si>
  <si>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</si>
  <si>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</si>
  <si>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</si>
  <si>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</si>
  <si>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</si>
  <si>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</si>
  <si>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</si>
  <si>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</si>
  <si>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</si>
  <si>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</si>
  <si>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</si>
  <si>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</si>
  <si>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</si>
  <si>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</si>
  <si>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</si>
  <si>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</si>
  <si>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</si>
  <si>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</si>
  <si>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</si>
  <si>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</si>
  <si>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</si>
  <si>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</si>
  <si>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</si>
  <si>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</si>
  <si>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</si>
  <si>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</si>
  <si>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</si>
  <si>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</si>
  <si>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</si>
  <si>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</si>
  <si>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</si>
  <si>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</si>
  <si>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</si>
  <si>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</si>
  <si>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</si>
  <si>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</si>
  <si>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</si>
  <si>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</si>
  <si>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</si>
  <si>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</si>
  <si>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</si>
  <si>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</si>
  <si>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</si>
  <si>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</si>
  <si>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</si>
  <si>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</si>
  <si>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</si>
  <si>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</si>
  <si>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</si>
  <si>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</si>
  <si>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</si>
  <si>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</si>
  <si>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</si>
  <si>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</si>
  <si>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</si>
  <si>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</si>
  <si>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</si>
  <si>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</si>
  <si>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</si>
  <si>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</si>
  <si>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</si>
  <si>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</si>
  <si>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</si>
  <si>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</si>
  <si>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</si>
  <si>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</si>
  <si>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</si>
  <si>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</si>
  <si>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</si>
  <si>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</si>
  <si>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</si>
  <si>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</si>
  <si>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</si>
  <si>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</si>
  <si>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</si>
  <si>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</si>
  <si>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</si>
  <si>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</si>
  <si>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</si>
  <si>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</si>
  <si>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</si>
  <si>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</si>
  <si>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</si>
  <si>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</si>
  <si>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</si>
  <si>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</si>
  <si>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</si>
  <si>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</si>
  <si>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</si>
  <si>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</si>
  <si>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</si>
  <si>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</si>
  <si>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</si>
  <si>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</si>
  <si>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</si>
  <si>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</si>
  <si>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</si>
  <si>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</si>
  <si>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</si>
  <si>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</si>
  <si>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</si>
  <si>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</si>
  <si>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</si>
  <si>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</si>
  <si>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</si>
  <si>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</si>
  <si>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</si>
  <si>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</si>
  <si>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</si>
  <si>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</si>
  <si>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</si>
  <si>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</si>
  <si>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</si>
  <si>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</si>
  <si>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</si>
  <si>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</si>
  <si>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</si>
  <si>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</si>
  <si>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</si>
  <si>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</si>
  <si>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</si>
  <si>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</si>
  <si>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</si>
  <si>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</si>
  <si>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</si>
  <si>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</si>
  <si>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</si>
  <si>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</si>
  <si>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</si>
  <si>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</si>
  <si>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</si>
  <si>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</si>
  <si>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</si>
  <si>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</si>
  <si>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</si>
  <si>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</si>
  <si>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</si>
  <si>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</si>
  <si>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</si>
  <si>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</si>
  <si>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</si>
  <si>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</si>
  <si>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</si>
  <si>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</si>
  <si>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</si>
  <si>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</si>
  <si>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</si>
  <si>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</si>
  <si>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</si>
  <si>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</si>
  <si>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</si>
  <si>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</si>
  <si>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</si>
  <si>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</si>
  <si>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</si>
  <si>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</si>
  <si>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</si>
  <si>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</si>
  <si>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</si>
  <si>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</si>
  <si>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</si>
  <si>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</si>
  <si>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</si>
  <si>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</si>
  <si>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</si>
  <si>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</si>
  <si>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</si>
  <si>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</si>
  <si>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</si>
  <si>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</si>
  <si>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</si>
  <si>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</si>
  <si>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</si>
  <si>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</si>
  <si>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</si>
  <si>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</si>
  <si>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</si>
  <si>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</si>
  <si>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</si>
  <si>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</si>
  <si>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</si>
  <si>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</si>
  <si>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</si>
  <si>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</si>
  <si>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</si>
  <si>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</si>
  <si>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</si>
  <si>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</si>
  <si>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</si>
  <si>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</si>
  <si>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</si>
  <si>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</si>
  <si>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</si>
  <si>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</si>
  <si>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</si>
  <si>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</si>
  <si>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</si>
  <si>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</si>
  <si>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</si>
  <si>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</si>
  <si>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</si>
  <si>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</si>
  <si>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</si>
  <si>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</si>
  <si>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</si>
  <si>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</si>
  <si>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</si>
  <si>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</si>
  <si>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</si>
  <si>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</si>
  <si>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</si>
  <si>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</si>
  <si>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</si>
  <si>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</si>
  <si>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</si>
  <si>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</si>
  <si>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</si>
  <si>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</si>
  <si>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</si>
  <si>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</si>
  <si>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</si>
  <si>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</si>
  <si>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</si>
  <si>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</si>
  <si>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</si>
  <si>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</si>
  <si>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</si>
  <si>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</si>
  <si>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</si>
  <si>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</si>
  <si>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</si>
  <si>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</si>
  <si>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</si>
  <si>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</si>
  <si>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</si>
  <si>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</si>
  <si>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</si>
  <si>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</si>
  <si>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</si>
  <si>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</si>
  <si>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</si>
  <si>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</si>
  <si>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</si>
  <si>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</si>
  <si>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</si>
  <si>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</si>
  <si>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</si>
  <si>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</si>
  <si>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</si>
  <si>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</si>
  <si>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</si>
  <si>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</si>
  <si>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</si>
  <si>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</si>
  <si>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</si>
  <si>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</si>
  <si>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</si>
  <si>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</si>
  <si>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</si>
  <si>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</si>
  <si>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</si>
  <si>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</si>
  <si>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</si>
  <si>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</si>
  <si>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</si>
  <si>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</si>
  <si>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</si>
  <si>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</si>
  <si>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</si>
  <si>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</si>
  <si>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</si>
  <si>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</si>
  <si>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</si>
  <si>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</si>
  <si>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</si>
  <si>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</si>
  <si>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</si>
  <si>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</si>
  <si>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</si>
  <si>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</si>
  <si>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</si>
  <si>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</si>
  <si>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</si>
  <si>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</si>
  <si>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</si>
  <si>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</si>
  <si>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</si>
  <si>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</si>
  <si>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</si>
  <si>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</si>
  <si>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</si>
  <si>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</si>
  <si>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</si>
  <si>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</si>
  <si>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</si>
  <si>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</si>
  <si>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</si>
  <si>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</si>
  <si>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</si>
  <si>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</si>
  <si>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</si>
  <si>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</si>
  <si>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</si>
  <si>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</si>
  <si>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</si>
  <si>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</si>
  <si>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</si>
  <si>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</si>
  <si>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</si>
  <si>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</si>
  <si>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</si>
  <si>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</si>
  <si>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</si>
  <si>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</si>
  <si>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</si>
  <si>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</si>
  <si>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</si>
  <si>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</si>
  <si>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</si>
  <si>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</si>
  <si>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</si>
  <si>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</si>
  <si>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</si>
  <si>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</si>
  <si>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</si>
  <si>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</si>
  <si>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</si>
  <si>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</si>
  <si>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</si>
  <si>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</si>
  <si>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</si>
  <si>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</si>
  <si>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</si>
  <si>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</si>
  <si>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</si>
  <si>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</si>
  <si>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</si>
  <si>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</si>
  <si>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</si>
  <si>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</si>
  <si>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</si>
  <si>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</si>
  <si>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</si>
  <si>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</si>
  <si>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</si>
  <si>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</si>
  <si>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</si>
  <si>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</si>
  <si>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</si>
  <si>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</si>
  <si>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</si>
  <si>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</si>
  <si>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</si>
  <si>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</si>
  <si>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</si>
  <si>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</si>
  <si>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</si>
  <si>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</si>
  <si>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</si>
  <si>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</si>
  <si>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</si>
  <si>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</si>
  <si>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</si>
  <si>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</si>
  <si>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</si>
  <si>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</si>
  <si>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</si>
  <si>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</si>
  <si>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</si>
  <si>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</si>
  <si>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</si>
  <si>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</si>
  <si>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</si>
  <si>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</si>
  <si>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</si>
  <si>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</si>
  <si>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</si>
  <si>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</si>
  <si>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</si>
  <si>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</si>
  <si>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</si>
  <si>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</si>
  <si>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</si>
  <si>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</si>
  <si>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</si>
  <si>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</si>
  <si>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</si>
  <si>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</si>
  <si>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</si>
  <si>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</si>
  <si>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</si>
  <si>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</si>
  <si>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</si>
  <si>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</si>
  <si>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</si>
  <si>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</si>
  <si>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</si>
  <si>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</si>
  <si>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</si>
  <si>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</si>
  <si>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</si>
  <si>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</si>
  <si>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</si>
  <si>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</si>
  <si>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</si>
  <si>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</si>
  <si>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</si>
  <si>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</si>
  <si>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</si>
  <si>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</si>
  <si>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</si>
  <si>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</si>
  <si>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</si>
  <si>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</si>
  <si>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</si>
  <si>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</si>
  <si>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</si>
  <si>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</si>
  <si>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</si>
  <si>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</si>
  <si>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</si>
  <si>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</si>
  <si>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</si>
  <si>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</si>
  <si>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</si>
  <si>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</si>
  <si>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</si>
  <si>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</si>
  <si>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</si>
  <si>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</si>
  <si>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</si>
  <si>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</si>
  <si>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</si>
  <si>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</si>
  <si>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</si>
  <si>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</si>
  <si>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</si>
  <si>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</si>
  <si>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</si>
  <si>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</si>
  <si>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</si>
  <si>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</si>
  <si>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</si>
  <si>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</si>
  <si>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</si>
  <si>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</si>
  <si>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</si>
  <si>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</si>
  <si>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</si>
  <si>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</si>
  <si>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</si>
  <si>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</si>
  <si>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</si>
  <si>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</si>
  <si>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</si>
  <si>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</si>
  <si>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</si>
  <si>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</si>
  <si>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</si>
  <si>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</si>
  <si>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</si>
  <si>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</si>
  <si>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</si>
  <si>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</si>
  <si>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</si>
  <si>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</si>
  <si>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</si>
  <si>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</si>
  <si>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</si>
  <si>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</si>
  <si>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</si>
  <si>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</si>
  <si>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</si>
  <si>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</si>
  <si>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</si>
  <si>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</si>
  <si>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</si>
  <si>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</si>
  <si>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</si>
  <si>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</si>
  <si>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</si>
  <si>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</si>
  <si>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</si>
  <si>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</si>
  <si>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</si>
  <si>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</si>
  <si>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</si>
  <si>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</si>
  <si>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</si>
  <si>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</si>
  <si>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</si>
  <si>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</si>
  <si>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</si>
  <si>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</si>
  <si>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</si>
  <si>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</si>
  <si>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</si>
  <si>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</si>
  <si>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</si>
  <si>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</si>
  <si>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</si>
  <si>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</si>
  <si>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</si>
  <si>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</si>
  <si>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</si>
  <si>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</si>
  <si>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</si>
  <si>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</si>
  <si>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</si>
  <si>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</si>
  <si>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</si>
  <si>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</si>
  <si>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</si>
  <si>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</si>
  <si>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</si>
  <si>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</si>
  <si>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</si>
  <si>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</si>
  <si>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</si>
  <si>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</si>
  <si>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</si>
  <si>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</si>
  <si>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</si>
  <si>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</si>
  <si>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</si>
  <si>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</si>
  <si>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</si>
  <si>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</si>
  <si>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</si>
  <si>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</si>
  <si>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</si>
  <si>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</si>
  <si>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</si>
  <si>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</si>
  <si>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</si>
  <si>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</si>
  <si>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</si>
  <si>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</si>
  <si>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</si>
  <si>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</si>
  <si>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</si>
  <si>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</si>
  <si>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</si>
  <si>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</si>
  <si>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</si>
  <si>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</si>
  <si>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</si>
  <si>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</si>
  <si>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</si>
  <si>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</si>
  <si>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</si>
  <si>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</si>
  <si>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</si>
  <si>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</si>
  <si>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</si>
  <si>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</si>
  <si>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</si>
  <si>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</si>
  <si>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</si>
  <si>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</si>
  <si>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</si>
  <si>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</si>
  <si>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</si>
  <si>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</si>
  <si>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</si>
  <si>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</si>
  <si>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</si>
  <si>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</si>
  <si>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</si>
  <si>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</si>
  <si>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</si>
  <si>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</si>
  <si>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</si>
  <si>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</si>
  <si>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</si>
  <si>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</si>
  <si>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</si>
  <si>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</si>
  <si>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</si>
  <si>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</si>
  <si>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</si>
  <si>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</si>
  <si>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</si>
  <si>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</si>
  <si>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</si>
  <si>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</si>
  <si>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</si>
  <si>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</si>
  <si>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</si>
  <si>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</si>
  <si>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</si>
  <si>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</si>
  <si>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</si>
  <si>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</si>
  <si>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</si>
  <si>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</si>
  <si>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</si>
  <si>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</si>
  <si>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</si>
  <si>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</si>
  <si>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</si>
  <si>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</si>
  <si>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</si>
  <si>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</si>
  <si>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</si>
  <si>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</si>
  <si>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</si>
  <si>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</si>
  <si>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</si>
  <si>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</si>
  <si>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</si>
  <si>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</si>
  <si>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</si>
  <si>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</si>
  <si>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</si>
  <si>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</si>
  <si>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</si>
  <si>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</si>
  <si>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</si>
  <si>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</si>
  <si>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</si>
  <si>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</si>
  <si>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</si>
  <si>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</si>
  <si>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</si>
  <si>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</si>
  <si>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</si>
  <si>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</si>
  <si>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</si>
  <si>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</si>
  <si>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</si>
  <si>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</si>
  <si>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</si>
  <si>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</si>
  <si>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</si>
  <si>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</si>
  <si>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</si>
  <si>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</si>
  <si>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</si>
  <si>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</si>
  <si>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</si>
  <si>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</si>
  <si>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</si>
  <si>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</si>
  <si>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</si>
  <si>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</si>
  <si>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</si>
  <si>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</si>
  <si>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</si>
  <si>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</si>
  <si>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</si>
  <si>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</si>
  <si>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</si>
  <si>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</si>
  <si>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</si>
  <si>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</si>
  <si>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</si>
  <si>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</si>
  <si>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</si>
  <si>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</si>
  <si>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</si>
  <si>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</si>
  <si>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</si>
  <si>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</si>
  <si>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</si>
  <si>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</si>
  <si>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</si>
  <si>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</si>
  <si>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</si>
  <si>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</si>
  <si>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</si>
  <si>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</si>
  <si>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</si>
  <si>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</si>
  <si>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</si>
  <si>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</si>
  <si>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</si>
  <si>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</si>
  <si>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</si>
  <si>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</si>
  <si>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</si>
  <si>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</si>
  <si>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</si>
  <si>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</si>
  <si>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</si>
  <si>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</si>
  <si>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</si>
  <si>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</si>
  <si>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</si>
  <si>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</si>
  <si>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</si>
  <si>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</si>
  <si>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</si>
  <si>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</si>
  <si>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</si>
  <si>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</si>
  <si>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</si>
  <si>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</si>
  <si>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</si>
  <si>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</si>
  <si>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</si>
  <si>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</si>
  <si>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</si>
  <si>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</si>
  <si>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</si>
  <si>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</si>
  <si>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</si>
  <si>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</si>
  <si>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</si>
  <si>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</si>
  <si>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</si>
  <si>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</si>
  <si>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</si>
  <si>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</si>
  <si>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</si>
  <si>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</si>
  <si>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</si>
  <si>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</si>
  <si>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</si>
  <si>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</si>
  <si>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</si>
  <si>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</si>
  <si>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</si>
  <si>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</si>
  <si>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</si>
  <si>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</si>
  <si>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</si>
  <si>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</si>
  <si>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</si>
  <si>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</si>
  <si>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</si>
  <si>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</si>
  <si>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</si>
  <si>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</si>
  <si>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</si>
  <si>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</si>
  <si>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</si>
  <si>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</si>
  <si>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</si>
  <si>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</si>
  <si>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</si>
  <si>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</si>
  <si>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</si>
  <si>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</si>
  <si>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</si>
  <si>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</si>
  <si>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</si>
  <si>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</si>
  <si>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</si>
  <si>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</si>
  <si>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</si>
  <si>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</si>
  <si>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</si>
  <si>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</si>
  <si>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</si>
  <si>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</si>
  <si>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</si>
  <si>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</si>
  <si>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</si>
  <si>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</si>
  <si>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</si>
  <si>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</si>
  <si>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</si>
  <si>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</si>
  <si>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</si>
  <si>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</si>
  <si>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</si>
  <si>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</si>
  <si>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</si>
  <si>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</si>
  <si>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</si>
  <si>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</si>
  <si>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</si>
  <si>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</si>
  <si>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</si>
  <si>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</si>
  <si>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</si>
  <si>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</si>
  <si>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</si>
  <si>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</si>
  <si>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</si>
  <si>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</si>
  <si>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</si>
  <si>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</si>
  <si>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</si>
  <si>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</si>
  <si>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</si>
  <si>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</si>
  <si>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</si>
  <si>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</si>
  <si>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</si>
  <si>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</si>
  <si>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</si>
  <si>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</si>
  <si>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</si>
  <si>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</si>
  <si>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</si>
  <si>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</si>
  <si>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</si>
  <si>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</si>
  <si>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</si>
  <si>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</si>
  <si>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</si>
  <si>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</si>
  <si>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</si>
  <si>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</si>
  <si>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</si>
  <si>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</si>
  <si>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</si>
  <si>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</si>
  <si>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</si>
  <si>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</si>
  <si>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</si>
  <si>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</si>
  <si>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</si>
  <si>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</si>
  <si>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</si>
  <si>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</si>
  <si>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</si>
  <si>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</si>
  <si>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</si>
  <si>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</si>
  <si>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</si>
  <si>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</si>
  <si>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</si>
  <si>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</si>
  <si>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</si>
  <si>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</si>
  <si>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</si>
  <si>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</si>
  <si>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</si>
  <si>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</si>
  <si>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</si>
  <si>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</si>
  <si>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</si>
  <si>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</si>
  <si>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</si>
  <si>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</si>
  <si>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</si>
  <si>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</si>
  <si>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</si>
  <si>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</si>
  <si>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</si>
  <si>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</si>
  <si>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</si>
  <si>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</si>
  <si>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</si>
  <si>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</si>
  <si>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</si>
  <si>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</si>
  <si>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</si>
  <si>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</si>
  <si>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</si>
  <si>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</si>
  <si>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</si>
  <si>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</si>
  <si>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</si>
  <si>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</si>
  <si>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</si>
  <si>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</si>
  <si>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</si>
  <si>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</si>
  <si>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</si>
  <si>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</si>
  <si>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</si>
  <si>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</si>
  <si>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</si>
  <si>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</si>
  <si>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</si>
  <si>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</si>
  <si>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</si>
  <si>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</si>
  <si>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</si>
  <si>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</si>
  <si>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</si>
  <si>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</si>
  <si>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</si>
  <si>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</si>
  <si>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</si>
  <si>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</si>
  <si>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</si>
  <si>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</si>
  <si>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</si>
  <si>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</si>
  <si>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</si>
  <si>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</si>
  <si>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</si>
  <si>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</si>
  <si>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</si>
  <si>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</si>
  <si>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</si>
  <si>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</si>
  <si>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</si>
  <si>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</si>
  <si>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</si>
  <si>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</si>
  <si>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</si>
  <si>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</si>
  <si>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</si>
  <si>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</si>
  <si>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</si>
  <si>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</si>
  <si>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</si>
  <si>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</si>
  <si>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</si>
  <si>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</si>
  <si>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</si>
  <si>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</si>
  <si>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</si>
  <si>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</si>
  <si>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</si>
  <si>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</si>
  <si>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</si>
  <si>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</si>
  <si>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</si>
  <si>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</si>
  <si>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</si>
  <si>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</si>
  <si>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</si>
  <si>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</si>
  <si>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</si>
  <si>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</si>
  <si>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</si>
  <si>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</si>
  <si>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</si>
  <si>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</si>
  <si>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</si>
  <si>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</si>
  <si>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</si>
  <si>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</si>
  <si>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</si>
  <si>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</si>
  <si>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</si>
  <si>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</si>
  <si>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</si>
  <si>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</si>
  <si>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</si>
  <si>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</si>
  <si>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</si>
  <si>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</si>
  <si>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</si>
  <si>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</si>
  <si>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</si>
  <si>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</si>
  <si>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</si>
  <si>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</si>
  <si>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</si>
  <si>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</si>
  <si>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</si>
  <si>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</si>
  <si>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</si>
  <si>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</si>
  <si>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</si>
  <si>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</si>
  <si>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</si>
  <si>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</si>
  <si>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</si>
  <si>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</si>
  <si>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</si>
  <si>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</si>
  <si>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</si>
  <si>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</si>
  <si>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</si>
  <si>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</si>
  <si>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</si>
  <si>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</si>
  <si>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</si>
  <si>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</si>
  <si>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</si>
  <si>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</si>
  <si>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</si>
  <si>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</si>
  <si>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</si>
  <si>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</si>
  <si>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</si>
  <si>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</si>
  <si>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</si>
  <si>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</si>
  <si>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</si>
  <si>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</si>
  <si>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</si>
  <si>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</si>
  <si>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</si>
  <si>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</si>
  <si>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</si>
  <si>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</si>
  <si>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</si>
  <si>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</si>
  <si>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</si>
  <si>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</si>
  <si>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</si>
  <si>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</si>
  <si>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</si>
  <si>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</si>
  <si>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</si>
  <si>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</si>
  <si>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</si>
  <si>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</si>
  <si>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</si>
  <si>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</si>
  <si>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</si>
  <si>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</si>
  <si>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</si>
  <si>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</si>
  <si>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</si>
  <si>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</si>
  <si>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</si>
  <si>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</si>
  <si>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</si>
  <si>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</si>
  <si>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</si>
  <si>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</si>
  <si>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</si>
  <si>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</si>
  <si>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</si>
  <si>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</si>
  <si>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</si>
  <si>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</si>
  <si>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</si>
  <si>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</si>
  <si>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</si>
  <si>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</si>
  <si>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</si>
  <si>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</si>
  <si>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</si>
  <si>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</si>
  <si>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</si>
  <si>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</si>
  <si>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</si>
  <si>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</si>
  <si>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</si>
  <si>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</si>
  <si>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</si>
  <si>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</si>
  <si>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</si>
  <si>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</si>
  <si>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</si>
  <si>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</si>
  <si>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</si>
  <si>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</si>
  <si>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</si>
  <si>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</si>
  <si>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</si>
  <si>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</si>
  <si>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</si>
  <si>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</si>
  <si>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</si>
  <si>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</si>
  <si>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</si>
  <si>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</si>
  <si>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</si>
  <si>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</si>
  <si>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</si>
  <si>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</si>
  <si>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</si>
  <si>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</si>
  <si>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</si>
  <si>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</si>
  <si>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</si>
  <si>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</si>
  <si>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</si>
  <si>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</si>
  <si>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</si>
  <si>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</si>
  <si>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</si>
  <si>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</si>
  <si>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</si>
  <si>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</si>
  <si>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</si>
  <si>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</si>
  <si>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</si>
  <si>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</si>
  <si>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</si>
  <si>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</si>
  <si>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</si>
  <si>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</si>
  <si>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</si>
  <si>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</si>
  <si>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</si>
  <si>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</si>
  <si>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</si>
  <si>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</si>
  <si>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</si>
  <si>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</si>
  <si>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</si>
  <si>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</si>
  <si>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</si>
  <si>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</si>
  <si>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</si>
  <si>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</si>
  <si>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</si>
  <si>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</si>
  <si>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</si>
  <si>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</si>
  <si>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</si>
  <si>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</si>
  <si>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</si>
  <si>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</si>
  <si>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</si>
  <si>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</si>
  <si>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</si>
  <si>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</si>
  <si>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</si>
  <si>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</si>
  <si>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</si>
  <si>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</si>
  <si>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</si>
  <si>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</si>
  <si>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</si>
  <si>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</si>
  <si>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</si>
  <si>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</si>
  <si>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</si>
  <si>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</si>
  <si>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</si>
  <si>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</si>
  <si>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</si>
  <si>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</si>
  <si>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</si>
  <si>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</si>
  <si>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</si>
  <si>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</si>
  <si>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</si>
  <si>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</si>
  <si>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</si>
  <si>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</si>
  <si>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</si>
  <si>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</si>
  <si>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</si>
  <si>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</si>
  <si>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</si>
  <si>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</si>
  <si>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</si>
  <si>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</si>
  <si>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</si>
  <si>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</si>
  <si>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</si>
  <si>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</si>
  <si>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</si>
  <si>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</si>
  <si>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</si>
  <si>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</si>
  <si>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</si>
  <si>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</si>
  <si>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</si>
  <si>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</si>
  <si>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</si>
  <si>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</si>
  <si>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</si>
  <si>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</si>
  <si>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</si>
  <si>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</si>
  <si>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</si>
  <si>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</si>
  <si>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</si>
  <si>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</si>
  <si>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</si>
  <si>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</si>
  <si>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</si>
  <si>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</si>
  <si>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</si>
  <si>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</si>
  <si>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</si>
  <si>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</si>
  <si>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</si>
  <si>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</si>
  <si>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</si>
  <si>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</si>
  <si>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</si>
  <si>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</si>
  <si>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</si>
  <si>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</si>
  <si>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</si>
  <si>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</si>
  <si>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</si>
  <si>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</si>
  <si>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</si>
  <si>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</si>
  <si>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</si>
  <si>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</si>
  <si>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</si>
  <si>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</si>
  <si>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</si>
  <si>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</si>
  <si>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</si>
  <si>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</si>
  <si>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</si>
  <si>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</si>
  <si>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</si>
  <si>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</si>
  <si>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</si>
  <si>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</si>
  <si>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</si>
  <si>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</si>
  <si>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</si>
  <si>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</si>
  <si>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</si>
  <si>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</si>
  <si>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</si>
  <si>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</si>
  <si>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</si>
  <si>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</si>
  <si>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</si>
  <si>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</si>
  <si>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</si>
  <si>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</si>
  <si>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</si>
  <si>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</si>
  <si>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</si>
  <si>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</si>
  <si>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</si>
  <si>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</si>
  <si>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</si>
  <si>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</si>
  <si>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</si>
  <si>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</si>
  <si>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</si>
  <si>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</si>
  <si>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</si>
  <si>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</si>
  <si>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</si>
  <si>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</si>
  <si>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</si>
  <si>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</si>
  <si>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</si>
  <si>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</si>
  <si>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</si>
  <si>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</si>
  <si>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</si>
  <si>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</si>
  <si>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</si>
  <si>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</si>
  <si>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</si>
  <si>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</si>
  <si>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</si>
  <si>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</si>
  <si>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</si>
  <si>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</si>
  <si>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</si>
  <si>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</si>
  <si>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</si>
  <si>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</si>
  <si>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</si>
  <si>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</si>
  <si>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</si>
  <si>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</si>
  <si>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</si>
  <si>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</si>
  <si>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</si>
  <si>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</si>
  <si>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</si>
  <si>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</si>
  <si>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</si>
  <si>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</si>
  <si>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</si>
  <si>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</si>
  <si>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</si>
  <si>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</si>
  <si>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</si>
  <si>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</si>
  <si>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</si>
  <si>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</si>
  <si>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</si>
  <si>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</si>
  <si>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</si>
  <si>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</si>
  <si>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</si>
  <si>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</si>
  <si>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</si>
  <si>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</si>
  <si>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</si>
  <si>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</si>
  <si>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</si>
  <si>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</si>
  <si>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</si>
  <si>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</si>
  <si>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</si>
  <si>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</si>
  <si>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</si>
  <si>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</si>
  <si>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</si>
  <si>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</si>
  <si>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</si>
  <si>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</si>
  <si>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</si>
  <si>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</si>
  <si>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</si>
  <si>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</si>
  <si>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</si>
  <si>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</si>
  <si>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</si>
  <si>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</si>
  <si>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</si>
  <si>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</si>
  <si>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</si>
  <si>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</si>
  <si>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</si>
  <si>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</si>
  <si>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</si>
  <si>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</si>
  <si>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</si>
  <si>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</si>
  <si>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</si>
  <si>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</si>
  <si>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</si>
  <si>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</si>
  <si>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</si>
  <si>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</si>
  <si>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</si>
  <si>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</si>
  <si>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</si>
  <si>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</si>
  <si>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</si>
  <si>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</si>
  <si>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</si>
  <si>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</si>
  <si>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</si>
  <si>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</si>
  <si>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</si>
  <si>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</si>
  <si>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</si>
  <si>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</si>
  <si>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</si>
  <si>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</si>
  <si>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</si>
  <si>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</si>
  <si>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</si>
  <si>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</si>
  <si>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</si>
  <si>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</si>
  <si>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</si>
  <si>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</si>
  <si>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</si>
  <si>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</si>
  <si>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</si>
  <si>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</si>
  <si>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</si>
  <si>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</si>
  <si>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</si>
  <si>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</si>
  <si>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</si>
  <si>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</si>
  <si>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</si>
  <si>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</si>
  <si>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</si>
  <si>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</si>
  <si>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</si>
  <si>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</si>
  <si>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</si>
  <si>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</si>
  <si>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</si>
  <si>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</si>
  <si>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</si>
  <si>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</si>
  <si>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</si>
  <si>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</si>
  <si>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</si>
  <si>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</si>
  <si>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</si>
  <si>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</si>
  <si>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</si>
  <si>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</si>
  <si>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</si>
  <si>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</si>
  <si>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</si>
  <si>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</si>
  <si>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</si>
  <si>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</si>
  <si>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</si>
  <si>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</si>
  <si>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</si>
  <si>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</si>
  <si>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</si>
  <si>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</si>
  <si>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</si>
  <si>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</si>
  <si>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</si>
  <si>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</si>
  <si>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</si>
  <si>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</si>
  <si>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</si>
  <si>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</si>
  <si>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</si>
  <si>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</si>
  <si>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</si>
  <si>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</si>
  <si>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</si>
  <si>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</si>
  <si>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</si>
  <si>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</si>
  <si>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</si>
  <si>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</si>
  <si>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</si>
  <si>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</si>
  <si>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</si>
  <si>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</si>
  <si>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</si>
  <si>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</si>
  <si>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</si>
  <si>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</si>
  <si>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</si>
  <si>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</si>
  <si>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</si>
  <si>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</si>
  <si>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</si>
  <si>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</si>
  <si>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</si>
  <si>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</si>
  <si>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</si>
  <si>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</si>
  <si>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</si>
  <si>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</si>
  <si>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</si>
  <si>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</si>
  <si>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</si>
  <si>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</si>
  <si>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</si>
  <si>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</si>
  <si>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</si>
  <si>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</si>
  <si>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</si>
  <si>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</si>
  <si>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</si>
  <si>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</si>
  <si>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</si>
  <si>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</si>
  <si>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</si>
  <si>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</si>
  <si>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</si>
  <si>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</si>
  <si>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</si>
  <si>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</si>
  <si>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</si>
  <si>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</si>
  <si>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</si>
  <si>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</si>
  <si>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</si>
  <si>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</si>
  <si>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</si>
  <si>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</si>
  <si>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</si>
  <si>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</si>
  <si>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</si>
  <si>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</si>
  <si>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</si>
  <si>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</si>
  <si>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</si>
  <si>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</si>
  <si>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</si>
  <si>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</si>
  <si>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</si>
  <si>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</si>
  <si>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</si>
  <si>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</si>
  <si>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</si>
  <si>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</si>
  <si>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</si>
  <si>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</si>
  <si>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</si>
  <si>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</si>
  <si>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</si>
  <si>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</si>
  <si>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</si>
  <si>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</si>
  <si>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</si>
  <si>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</si>
  <si>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</si>
  <si>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</si>
  <si>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</si>
  <si>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</si>
  <si>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</si>
  <si>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</si>
  <si>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</si>
  <si>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</si>
  <si>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</si>
  <si>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</si>
  <si>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</si>
  <si>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</si>
  <si>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</si>
  <si>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</si>
  <si>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</si>
  <si>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</si>
  <si>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</si>
  <si>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</si>
  <si>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</si>
  <si>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</si>
  <si>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</si>
  <si>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</si>
  <si>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</si>
  <si>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</si>
  <si>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</si>
  <si>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</si>
  <si>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</si>
  <si>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</si>
  <si>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</si>
  <si>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</si>
  <si>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</si>
  <si>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</si>
  <si>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</si>
  <si>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</si>
  <si>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</si>
  <si>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</si>
  <si>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</si>
  <si>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</si>
  <si>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</si>
  <si>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</si>
  <si>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</si>
  <si>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</si>
  <si>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</si>
  <si>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</si>
  <si>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</si>
  <si>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</si>
  <si>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</si>
  <si>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</si>
  <si>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</si>
  <si>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</si>
  <si>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</si>
  <si>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</si>
  <si>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</si>
  <si>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</si>
  <si>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</si>
  <si>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</si>
  <si>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</si>
  <si>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</si>
  <si>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</si>
  <si>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</si>
  <si>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</si>
  <si>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</si>
  <si>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</si>
  <si>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</si>
  <si>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</si>
  <si>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</si>
  <si>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</si>
  <si>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</si>
  <si>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</si>
  <si>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</si>
  <si>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</si>
  <si>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</si>
  <si>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</si>
  <si>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</si>
  <si>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</si>
  <si>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</si>
  <si>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</si>
  <si>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</si>
  <si>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</si>
  <si>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</si>
  <si>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</si>
  <si>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</si>
  <si>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</si>
  <si>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</si>
  <si>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</si>
  <si>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</si>
  <si>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</si>
  <si>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</si>
  <si>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</si>
  <si>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</si>
  <si>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</si>
  <si>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</si>
  <si>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</si>
  <si>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</si>
  <si>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</si>
  <si>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</si>
  <si>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</si>
  <si>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</si>
  <si>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</si>
  <si>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</si>
  <si>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</si>
  <si>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</si>
  <si>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</si>
  <si>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</si>
  <si>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</si>
  <si>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</si>
  <si>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</si>
  <si>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</si>
  <si>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</si>
  <si>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</si>
  <si>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</si>
  <si>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</si>
  <si>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</si>
  <si>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</si>
  <si>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</si>
  <si>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</si>
  <si>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</si>
  <si>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</si>
  <si>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</si>
  <si>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</si>
  <si>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</si>
  <si>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</si>
  <si>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</si>
  <si>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</si>
  <si>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</si>
  <si>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</si>
  <si>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</si>
  <si>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</si>
  <si>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</si>
  <si>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</si>
  <si>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</si>
  <si>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</si>
  <si>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</si>
  <si>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</si>
  <si>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</si>
  <si>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</si>
  <si>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</si>
  <si>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</si>
  <si>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</si>
  <si>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</si>
  <si>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</si>
  <si>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</si>
  <si>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</si>
  <si>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</si>
  <si>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</si>
  <si>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</si>
  <si>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</si>
  <si>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</si>
  <si>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</si>
  <si>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</si>
  <si>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</si>
  <si>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</si>
  <si>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</si>
  <si>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</si>
  <si>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</si>
  <si>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</si>
  <si>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</si>
  <si>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</si>
  <si>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</si>
  <si>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</si>
  <si>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</si>
  <si>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</si>
  <si>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</si>
  <si>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</si>
  <si>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</si>
  <si>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</si>
  <si>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</si>
  <si>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</si>
  <si>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</si>
  <si>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</si>
  <si>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</si>
  <si>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</si>
  <si>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</si>
  <si>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</si>
  <si>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</si>
  <si>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</si>
  <si>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</si>
  <si>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</si>
  <si>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</si>
  <si>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</si>
  <si>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</si>
  <si>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</si>
  <si>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</si>
  <si>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</si>
  <si>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</si>
  <si>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</si>
  <si>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</si>
  <si>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</si>
  <si>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</si>
  <si>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</si>
  <si>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</si>
  <si>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</si>
  <si>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</si>
  <si>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</si>
  <si>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</si>
  <si>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</si>
  <si>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</si>
  <si>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</si>
  <si>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</si>
  <si>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</si>
  <si>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</si>
  <si>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</si>
  <si>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</si>
  <si>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</si>
  <si>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</si>
  <si>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</si>
  <si>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</si>
  <si>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</si>
  <si>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</si>
  <si>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</si>
  <si>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</si>
  <si>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</si>
  <si>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</si>
  <si>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</si>
  <si>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</si>
  <si>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</si>
  <si>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</si>
  <si>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</si>
  <si>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</si>
  <si>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</si>
  <si>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</si>
  <si>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</si>
  <si>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</si>
  <si>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</si>
  <si>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</si>
  <si>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</si>
  <si>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</si>
  <si>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</si>
  <si>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</si>
  <si>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</si>
  <si>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</si>
  <si>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</si>
  <si>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</si>
  <si>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</si>
  <si>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</si>
  <si>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</si>
  <si>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</si>
  <si>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</si>
  <si>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</si>
  <si>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</si>
  <si>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</si>
  <si>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</si>
  <si>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</si>
  <si>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</si>
  <si>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</si>
  <si>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</si>
  <si>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</si>
  <si>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</si>
  <si>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</si>
  <si>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</si>
  <si>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</si>
  <si>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</si>
  <si>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</si>
  <si>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</si>
  <si>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</si>
  <si>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</si>
  <si>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</si>
  <si>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</si>
  <si>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</si>
  <si>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</si>
  <si>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</si>
  <si>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</si>
  <si>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</si>
  <si>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</si>
  <si>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</si>
  <si>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</si>
  <si>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</si>
  <si>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</si>
  <si>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</si>
  <si>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</si>
  <si>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</si>
  <si>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</si>
  <si>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</si>
  <si>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</si>
  <si>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</si>
  <si>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</si>
  <si>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</si>
  <si>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</si>
  <si>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</si>
  <si>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</si>
  <si>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</si>
  <si>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</si>
  <si>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</si>
  <si>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</si>
  <si>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</si>
  <si>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</si>
  <si>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</si>
  <si>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</si>
  <si>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</si>
  <si>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</si>
  <si>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</si>
  <si>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</si>
  <si>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</si>
  <si>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</si>
  <si>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</si>
  <si>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</si>
  <si>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</si>
  <si>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</si>
  <si>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</si>
  <si>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</si>
  <si>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</si>
  <si>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</si>
  <si>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</si>
  <si>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</si>
  <si>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</si>
  <si>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</si>
  <si>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</si>
  <si>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</si>
  <si>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</si>
  <si>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</si>
  <si>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</si>
  <si>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</si>
  <si>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</si>
  <si>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</si>
  <si>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</si>
  <si>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</si>
  <si>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</si>
  <si>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</si>
  <si>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</si>
  <si>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</si>
  <si>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</si>
  <si>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</si>
  <si>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</si>
  <si>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</si>
  <si>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</si>
  <si>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</si>
  <si>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</si>
  <si>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</si>
  <si>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</si>
  <si>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</si>
  <si>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</si>
  <si>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</si>
  <si>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</si>
  <si>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</si>
  <si>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</si>
  <si>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</si>
  <si>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</si>
  <si>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</si>
  <si>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</si>
  <si>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</si>
  <si>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</si>
  <si>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</si>
  <si>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</si>
  <si>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</si>
  <si>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</si>
  <si>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</si>
  <si>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</si>
  <si>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</si>
  <si>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</si>
  <si>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</si>
  <si>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</si>
  <si>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</si>
  <si>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</si>
  <si>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</si>
  <si>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</si>
  <si>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</si>
  <si>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</si>
  <si>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</si>
  <si>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</si>
  <si>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</si>
  <si>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</si>
  <si>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</si>
  <si>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</si>
  <si>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</si>
  <si>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</si>
  <si>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</si>
  <si>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</si>
  <si>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</si>
  <si>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</si>
  <si>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</si>
  <si>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</si>
  <si>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</si>
  <si>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</si>
  <si>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</si>
  <si>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</si>
  <si>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</si>
  <si>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</si>
  <si>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</si>
  <si>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</si>
  <si>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</si>
  <si>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</si>
  <si>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</si>
  <si>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</si>
  <si>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</si>
  <si>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</si>
  <si>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</si>
  <si>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</si>
  <si>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</si>
  <si>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</si>
  <si>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</si>
  <si>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</si>
  <si>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</si>
  <si>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</si>
  <si>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</si>
  <si>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</si>
  <si>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</si>
  <si>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</si>
  <si>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</si>
  <si>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</si>
  <si>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</si>
  <si>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</si>
  <si>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</si>
  <si>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</si>
  <si>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</si>
  <si>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</si>
  <si>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</si>
  <si>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</si>
  <si>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</si>
  <si>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</si>
  <si>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</si>
  <si>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</si>
  <si>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</si>
  <si>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</si>
  <si>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</si>
  <si>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</si>
  <si>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</si>
  <si>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</si>
  <si>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</si>
  <si>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</si>
  <si>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</si>
  <si>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</si>
  <si>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</si>
  <si>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</si>
  <si>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</si>
  <si>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</si>
  <si>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</si>
  <si>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</si>
  <si>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</si>
  <si>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</si>
  <si>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</si>
  <si>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</si>
  <si>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</si>
  <si>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</si>
  <si>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</si>
  <si>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</si>
  <si>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</si>
  <si>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</si>
  <si>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</si>
  <si>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</si>
  <si>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</si>
  <si>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</si>
  <si>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</si>
  <si>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</si>
  <si>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</si>
  <si>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</si>
  <si>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</si>
  <si>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</si>
  <si>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</si>
  <si>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</si>
  <si>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</si>
  <si>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</si>
  <si>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</si>
  <si>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</si>
  <si>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</si>
  <si>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</si>
  <si>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</si>
  <si>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</si>
  <si>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</si>
  <si>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</si>
  <si>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</si>
  <si>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</si>
  <si>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</si>
  <si>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</si>
  <si>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</si>
  <si>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</si>
  <si>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</si>
  <si>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</si>
  <si>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</si>
  <si>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</si>
  <si>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</si>
  <si>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</si>
  <si>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</si>
  <si>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</si>
  <si>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</si>
  <si>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</si>
  <si>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</si>
  <si>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</si>
  <si>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</si>
  <si>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</si>
  <si>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</si>
  <si>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</si>
  <si>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</si>
  <si>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</si>
  <si>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</si>
  <si>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</si>
  <si>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</si>
  <si>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</si>
  <si>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</si>
  <si>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</si>
  <si>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</si>
  <si>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</si>
  <si>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</si>
  <si>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</si>
  <si>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</si>
  <si>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</si>
  <si>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</si>
  <si>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</si>
  <si>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</si>
  <si>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</si>
  <si>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</si>
  <si>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</si>
  <si>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</si>
  <si>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</si>
  <si>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</si>
  <si>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</si>
  <si>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</si>
  <si>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</si>
  <si>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</si>
  <si>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</si>
  <si>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</si>
  <si>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</si>
  <si>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</si>
  <si>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</si>
  <si>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</si>
  <si>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</si>
  <si>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</si>
  <si>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</si>
  <si>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</si>
  <si>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</si>
  <si>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</si>
  <si>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</si>
  <si>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</si>
  <si>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</si>
  <si>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</si>
  <si>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</si>
  <si>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</si>
  <si>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</si>
  <si>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</si>
  <si>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</si>
  <si>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</si>
  <si>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</si>
  <si>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</si>
  <si>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</si>
  <si>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</si>
  <si>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</si>
  <si>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</si>
  <si>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</si>
  <si>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</si>
  <si>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</si>
  <si>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</si>
  <si>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</si>
  <si>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</si>
  <si>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</si>
  <si>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</si>
  <si>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</si>
  <si>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</si>
  <si>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</si>
  <si>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</si>
  <si>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</si>
  <si>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</si>
  <si>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</si>
  <si>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</si>
  <si>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</si>
  <si>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</si>
  <si>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</si>
  <si>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</si>
  <si>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</si>
  <si>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</si>
  <si>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</si>
  <si>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</si>
  <si>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</si>
  <si>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</si>
  <si>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</si>
  <si>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</si>
  <si>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</si>
  <si>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</si>
  <si>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</si>
  <si>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</si>
  <si>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</si>
  <si>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</si>
  <si>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</si>
  <si>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</si>
  <si>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</si>
  <si>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</si>
  <si>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</si>
  <si>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</si>
  <si>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</si>
  <si>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</si>
  <si>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</si>
  <si>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</si>
  <si>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</si>
  <si>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</si>
  <si>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</si>
  <si>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</si>
  <si>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</si>
  <si>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</si>
  <si>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</si>
  <si>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</si>
  <si>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</si>
  <si>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</si>
  <si>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</si>
  <si>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</si>
  <si>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</si>
  <si>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</si>
  <si>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</si>
  <si>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</si>
  <si>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</si>
  <si>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</si>
  <si>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</si>
  <si>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</si>
  <si>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</si>
  <si>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</si>
  <si>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</si>
  <si>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</si>
  <si>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</si>
  <si>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</si>
  <si>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</si>
  <si>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</si>
  <si>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</si>
  <si>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</si>
  <si>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</si>
  <si>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</si>
  <si>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</si>
  <si>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</si>
  <si>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</si>
  <si>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</si>
  <si>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</si>
  <si>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</si>
  <si>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</si>
  <si>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</si>
  <si>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</si>
  <si>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</si>
  <si>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</si>
  <si>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</si>
  <si>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</si>
  <si>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</si>
  <si>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</si>
  <si>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</si>
  <si>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</si>
  <si>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</si>
  <si>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</si>
  <si>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</si>
  <si>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</si>
  <si>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</si>
  <si>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</si>
  <si>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</si>
  <si>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</si>
  <si>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</si>
  <si>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</si>
  <si>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</si>
  <si>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</si>
  <si>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</si>
  <si>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</si>
  <si>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</si>
  <si>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</si>
  <si>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</si>
  <si>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</si>
  <si>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</si>
  <si>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</si>
  <si>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</si>
  <si>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</si>
  <si>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</si>
  <si>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</si>
  <si>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</si>
  <si>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</si>
  <si>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</si>
  <si>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</si>
  <si>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</si>
  <si>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</si>
  <si>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</si>
  <si>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</si>
  <si>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</si>
  <si>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</si>
  <si>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</si>
  <si>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</si>
  <si>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</si>
  <si>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</si>
  <si>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</si>
  <si>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</si>
  <si>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</si>
  <si>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</si>
  <si>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</si>
  <si>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</si>
  <si>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</si>
  <si>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</si>
  <si>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</si>
  <si>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</si>
  <si>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</si>
  <si>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</si>
  <si>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</si>
  <si>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</si>
  <si>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</si>
  <si>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</si>
  <si>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</si>
  <si>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</si>
  <si>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</si>
  <si>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</si>
  <si>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</si>
  <si>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</si>
  <si>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</si>
  <si>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</si>
  <si>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</si>
  <si>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</si>
  <si>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</si>
  <si>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</si>
  <si>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</si>
  <si>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</si>
  <si>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</si>
  <si>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</si>
  <si>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</si>
  <si>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</si>
  <si>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</si>
  <si>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</si>
  <si>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</si>
  <si>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</si>
  <si>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</si>
  <si>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</si>
  <si>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</si>
  <si>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</si>
  <si>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</si>
  <si>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</si>
  <si>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</si>
  <si>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</si>
  <si>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</si>
  <si>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</si>
  <si>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</si>
  <si>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</si>
  <si>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</si>
  <si>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</si>
  <si>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</si>
  <si>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</si>
  <si>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</si>
  <si>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</si>
  <si>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</si>
  <si>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</si>
  <si>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</si>
  <si>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</si>
  <si>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</si>
  <si>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</si>
  <si>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</si>
  <si>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</si>
  <si>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</si>
  <si>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</si>
  <si>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</si>
  <si>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</si>
  <si>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</si>
  <si>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</si>
  <si>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</si>
  <si>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</si>
  <si>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</si>
  <si>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</si>
  <si>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</si>
  <si>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</si>
  <si>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</si>
  <si>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</si>
  <si>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</si>
  <si>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</si>
  <si>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</si>
  <si>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</si>
  <si>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</si>
  <si>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</si>
  <si>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</si>
  <si>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</si>
  <si>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</si>
  <si>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</si>
  <si>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</si>
  <si>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</si>
  <si>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</si>
  <si>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</si>
  <si>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</si>
  <si>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</si>
  <si>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</si>
  <si>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</si>
  <si>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</si>
  <si>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</si>
  <si>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</si>
  <si>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</si>
  <si>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</si>
  <si>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</si>
  <si>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</si>
  <si>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</si>
  <si>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</si>
  <si>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</si>
  <si>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</si>
  <si>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</si>
  <si>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</si>
  <si>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</si>
  <si>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</si>
  <si>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</si>
  <si>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</si>
  <si>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</si>
  <si>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</si>
  <si>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</si>
  <si>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</si>
  <si>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</si>
  <si>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</si>
  <si>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</si>
  <si>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</si>
  <si>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</si>
  <si>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</si>
  <si>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</si>
  <si>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</si>
  <si>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</si>
  <si>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</si>
  <si>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</si>
  <si>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</si>
  <si>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</si>
  <si>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</si>
  <si>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</si>
  <si>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</si>
  <si>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</si>
  <si>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</si>
  <si>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</si>
  <si>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</si>
  <si>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</si>
  <si>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</si>
  <si>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</si>
  <si>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</si>
  <si>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</si>
  <si>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</si>
  <si>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</si>
  <si>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</si>
  <si>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</si>
  <si>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</si>
  <si>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</si>
  <si>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</si>
  <si>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</si>
  <si>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</si>
  <si>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</si>
  <si>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</si>
  <si>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</si>
  <si>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</si>
  <si>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</si>
  <si>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</si>
  <si>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</si>
  <si>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</si>
  <si>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</si>
  <si>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</si>
  <si>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</si>
  <si>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</si>
  <si>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</si>
  <si>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</si>
  <si>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</si>
  <si>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</si>
  <si>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</si>
  <si>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</si>
  <si>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</si>
  <si>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</si>
  <si>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</si>
  <si>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</si>
  <si>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</si>
  <si>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</si>
  <si>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</si>
  <si>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</si>
  <si>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</si>
  <si>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</si>
  <si>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</si>
  <si>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</si>
  <si>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</si>
  <si>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</si>
  <si>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</si>
  <si>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</si>
  <si>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</si>
  <si>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</si>
  <si>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</si>
  <si>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</si>
  <si>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</si>
  <si>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</si>
  <si>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</si>
  <si>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</si>
  <si>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</si>
  <si>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</si>
  <si>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</si>
  <si>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</si>
  <si>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</si>
  <si>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</si>
  <si>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</si>
  <si>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</si>
  <si>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</si>
  <si>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</si>
  <si>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</si>
  <si>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</si>
  <si>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</si>
  <si>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</si>
  <si>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</si>
  <si>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</si>
  <si>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</si>
  <si>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</si>
  <si>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</si>
  <si>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</si>
  <si>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</si>
  <si>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</si>
  <si>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</si>
  <si>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</si>
  <si>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</si>
  <si>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</si>
  <si>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</si>
  <si>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</si>
  <si>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</si>
  <si>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</si>
  <si>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</si>
  <si>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</si>
  <si>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</si>
  <si>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</si>
  <si>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</si>
  <si>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</si>
  <si>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</si>
  <si>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</si>
  <si>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</si>
  <si>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</si>
  <si>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</si>
  <si>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</si>
  <si>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</si>
  <si>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</si>
  <si>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</si>
  <si>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</si>
  <si>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</si>
  <si>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</si>
  <si>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</si>
  <si>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</si>
  <si>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</si>
  <si>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</si>
  <si>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</si>
  <si>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</si>
  <si>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</si>
  <si>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</si>
  <si>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</si>
  <si>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</si>
  <si>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</si>
  <si>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</si>
  <si>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</si>
  <si>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</si>
  <si>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</si>
  <si>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</si>
  <si>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</si>
  <si>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</si>
  <si>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</si>
  <si>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</si>
  <si>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</si>
  <si>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</si>
  <si>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</si>
  <si>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</si>
  <si>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</si>
  <si>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</si>
  <si>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</si>
  <si>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</si>
  <si>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</si>
  <si>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</si>
  <si>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</si>
  <si>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</si>
  <si>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</si>
  <si>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</si>
  <si>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</si>
  <si>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</si>
  <si>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</si>
  <si>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</si>
  <si>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</si>
  <si>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</si>
  <si>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</si>
  <si>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</si>
  <si>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</si>
  <si>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</si>
  <si>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</si>
  <si>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</si>
  <si>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</si>
  <si>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</si>
  <si>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</si>
  <si>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</si>
  <si>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</si>
  <si>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</si>
  <si>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</si>
  <si>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</si>
  <si>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</si>
  <si>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</si>
  <si>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</si>
  <si>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</si>
  <si>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</si>
  <si>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</si>
  <si>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</si>
  <si>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</si>
  <si>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</si>
  <si>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</si>
  <si>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</si>
  <si>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</si>
  <si>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</si>
  <si>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</si>
  <si>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</si>
  <si>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</si>
  <si>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</si>
  <si>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</si>
  <si>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</si>
  <si>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</si>
  <si>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</si>
  <si>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</si>
  <si>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</si>
  <si>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</si>
  <si>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</si>
  <si>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</si>
  <si>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</si>
  <si>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</si>
  <si>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</si>
  <si>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</si>
  <si>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</si>
  <si>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</si>
  <si>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</si>
  <si>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</si>
  <si>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</si>
  <si>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</si>
  <si>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</si>
  <si>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</si>
  <si>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</si>
  <si>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</si>
  <si>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</si>
  <si>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</si>
  <si>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</si>
  <si>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</si>
  <si>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</si>
  <si>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</si>
  <si>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</si>
  <si>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</si>
  <si>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</si>
  <si>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</si>
  <si>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</si>
  <si>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</si>
  <si>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</si>
  <si>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</si>
  <si>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</si>
  <si>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</si>
  <si>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</si>
  <si>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</si>
  <si>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</si>
  <si>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</si>
  <si>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</si>
  <si>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</si>
  <si>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</si>
  <si>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</si>
  <si>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</si>
  <si>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</si>
  <si>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</si>
  <si>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</si>
  <si>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</si>
  <si>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</si>
  <si>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</si>
  <si>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</si>
  <si>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</si>
  <si>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</si>
  <si>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</si>
  <si>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</si>
  <si>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</si>
  <si>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</si>
  <si>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</si>
  <si>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</si>
  <si>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</si>
  <si>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</si>
  <si>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</si>
  <si>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</si>
  <si>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</si>
  <si>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</si>
  <si>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</si>
  <si>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</si>
  <si>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</si>
  <si>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</si>
  <si>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</si>
  <si>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</si>
  <si>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</si>
  <si>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</si>
  <si>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</si>
  <si>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</si>
  <si>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</si>
  <si>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</si>
  <si>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</si>
  <si>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</si>
  <si>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</si>
  <si>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</si>
  <si>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</si>
  <si>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</si>
  <si>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</si>
  <si>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</si>
  <si>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</si>
  <si>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</si>
  <si>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</si>
  <si>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</si>
  <si>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</si>
  <si>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</si>
  <si>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</si>
  <si>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</si>
  <si>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</si>
  <si>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</si>
  <si>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</si>
  <si>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</si>
  <si>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</si>
  <si>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</si>
  <si>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</si>
  <si>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</si>
  <si>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</si>
  <si>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</si>
  <si>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</si>
  <si>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</si>
  <si>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</si>
  <si>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</si>
  <si>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</si>
  <si>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</si>
  <si>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</si>
  <si>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</si>
  <si>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</si>
  <si>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</si>
  <si>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</si>
  <si>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</si>
  <si>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</si>
  <si>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</si>
  <si>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</si>
  <si>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</si>
  <si>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</si>
  <si>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</si>
  <si>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</si>
  <si>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</si>
  <si>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</si>
  <si>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</si>
  <si>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</si>
  <si>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</si>
  <si>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</si>
  <si>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</si>
  <si>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</si>
  <si>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</si>
  <si>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</si>
  <si>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</si>
  <si>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</si>
  <si>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</si>
  <si>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</si>
  <si>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</si>
  <si>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</si>
  <si>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</si>
  <si>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</si>
  <si>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</si>
  <si>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</si>
  <si>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</si>
  <si>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</si>
  <si>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</si>
  <si>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</si>
  <si>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</si>
  <si>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</si>
  <si>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</si>
  <si>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</si>
  <si>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</si>
  <si>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</si>
  <si>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</si>
  <si>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</si>
  <si>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</si>
  <si>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</si>
  <si>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</si>
  <si>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</si>
  <si>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</si>
  <si>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</si>
  <si>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</si>
  <si>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</si>
  <si>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</si>
  <si>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</si>
  <si>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</si>
  <si>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</si>
  <si>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</si>
  <si>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</si>
  <si>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</si>
  <si>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</si>
  <si>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</si>
  <si>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</si>
  <si>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</si>
  <si>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</si>
  <si>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</si>
  <si>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</si>
  <si>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</si>
  <si>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</si>
  <si>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</si>
  <si>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</si>
  <si>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</si>
  <si>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</si>
  <si>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</si>
  <si>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</si>
  <si>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</si>
  <si>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</si>
  <si>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</si>
  <si>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</si>
  <si>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</si>
  <si>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</si>
  <si>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</si>
  <si>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</si>
  <si>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</si>
  <si>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</si>
  <si>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</si>
  <si>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</si>
  <si>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</si>
  <si>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</si>
  <si>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</si>
  <si>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</si>
  <si>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</si>
  <si>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</si>
  <si>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</si>
  <si>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</si>
  <si>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</si>
  <si>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</si>
  <si>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</si>
  <si>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</si>
  <si>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</si>
  <si>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</si>
  <si>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</si>
  <si>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</si>
  <si>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</si>
  <si>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</si>
  <si>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</si>
  <si>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</si>
  <si>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</si>
  <si>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</si>
  <si>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</si>
  <si>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</si>
  <si>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</si>
  <si>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</si>
  <si>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</si>
  <si>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</si>
  <si>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</si>
  <si>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</si>
  <si>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</si>
  <si>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</si>
  <si>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</si>
  <si>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</si>
  <si>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</si>
  <si>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</si>
  <si>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</si>
  <si>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</si>
  <si>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</si>
  <si>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</si>
  <si>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</si>
  <si>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</si>
  <si>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</si>
  <si>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</si>
  <si>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</si>
  <si>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</si>
  <si>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</si>
  <si>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</si>
  <si>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</si>
  <si>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</si>
  <si>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</si>
  <si>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</si>
  <si>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</si>
  <si>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</si>
  <si>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</si>
  <si>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</si>
  <si>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</si>
  <si>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</si>
  <si>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</si>
  <si>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</si>
  <si>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</si>
  <si>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</si>
  <si>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</si>
  <si>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</si>
  <si>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</si>
  <si>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</si>
  <si>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</si>
  <si>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</si>
  <si>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</si>
  <si>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</si>
  <si>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</si>
  <si>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</si>
  <si>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</si>
  <si>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</si>
  <si>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</si>
  <si>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</si>
  <si>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</si>
  <si>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</si>
  <si>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</si>
  <si>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</si>
  <si>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</si>
  <si>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</si>
  <si>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</si>
  <si>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</si>
  <si>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</si>
  <si>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</si>
  <si>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</si>
  <si>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</si>
  <si>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</si>
  <si>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</si>
  <si>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</si>
  <si>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</si>
  <si>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</si>
  <si>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</si>
  <si>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</si>
  <si>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</si>
  <si>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</si>
  <si>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</si>
  <si>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</si>
  <si>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</si>
  <si>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</si>
  <si>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</si>
  <si>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</si>
  <si>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</si>
  <si>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</si>
  <si>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</si>
  <si>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</si>
  <si>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</si>
  <si>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</si>
  <si>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</si>
  <si>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</si>
  <si>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</si>
  <si>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</si>
  <si>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</si>
  <si>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</si>
  <si>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</si>
  <si>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</si>
  <si>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</si>
  <si>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</si>
  <si>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</si>
  <si>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</si>
  <si>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</si>
  <si>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</si>
  <si>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</si>
  <si>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</si>
  <si>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</si>
  <si>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</si>
  <si>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</si>
  <si>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</si>
  <si>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</si>
  <si>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</si>
  <si>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</si>
  <si>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</si>
  <si>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</si>
  <si>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</si>
  <si>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</si>
  <si>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</si>
  <si>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</si>
  <si>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</si>
  <si>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</si>
  <si>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</si>
  <si>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</si>
  <si>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</si>
  <si>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</si>
  <si>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</si>
  <si>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</si>
  <si>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</si>
  <si>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</si>
  <si>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</si>
  <si>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</si>
  <si>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</si>
  <si>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</si>
  <si>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</si>
  <si>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</si>
  <si>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</si>
  <si>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</si>
  <si>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</si>
  <si>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</si>
  <si>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</si>
  <si>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</si>
  <si>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</si>
  <si>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</si>
  <si>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</si>
  <si>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</si>
  <si>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</si>
  <si>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</si>
  <si>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</si>
  <si>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</si>
  <si>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</si>
  <si>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</si>
  <si>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</si>
  <si>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</si>
  <si>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</si>
  <si>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</si>
  <si>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</si>
  <si>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</si>
  <si>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</si>
  <si>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</si>
  <si>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</si>
  <si>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</si>
  <si>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</si>
  <si>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</si>
  <si>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</si>
  <si>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</si>
  <si>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</si>
  <si>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</si>
  <si>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</si>
  <si>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</si>
  <si>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</si>
  <si>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</si>
  <si>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</si>
  <si>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</si>
  <si>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</si>
  <si>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</si>
  <si>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</si>
  <si>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</si>
  <si>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</si>
  <si>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</si>
  <si>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</si>
  <si>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</si>
  <si>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</si>
  <si>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</si>
  <si>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</si>
  <si>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</si>
  <si>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</si>
  <si>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</si>
  <si>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</si>
  <si>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</si>
  <si>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</si>
  <si>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</si>
  <si>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</si>
  <si>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</si>
  <si>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</si>
  <si>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</si>
  <si>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</si>
  <si>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</si>
  <si>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</si>
  <si>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</si>
  <si>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</si>
  <si>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</si>
  <si>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</si>
  <si>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</si>
  <si>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</si>
  <si>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</si>
  <si>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</si>
  <si>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</si>
  <si>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</si>
  <si>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</si>
  <si>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</si>
  <si>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</si>
  <si>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</si>
  <si>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</si>
  <si>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</si>
  <si>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</si>
  <si>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</si>
  <si>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</si>
  <si>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</si>
  <si>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</si>
  <si>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</si>
  <si>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</si>
  <si>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</si>
  <si>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</si>
  <si>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</si>
  <si>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</si>
  <si>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</si>
  <si>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</si>
  <si>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</si>
  <si>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</si>
  <si>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</si>
  <si>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</si>
  <si>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</si>
  <si>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</si>
  <si>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</si>
  <si>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</si>
  <si>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</si>
  <si>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</si>
  <si>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</si>
  <si>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</si>
  <si>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</si>
  <si>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</si>
  <si>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</si>
  <si>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</si>
  <si>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</si>
  <si>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</si>
  <si>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</si>
  <si>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</si>
  <si>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</si>
  <si>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</si>
  <si>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</si>
  <si>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</si>
  <si>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</si>
  <si>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</si>
  <si>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</si>
  <si>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</si>
  <si>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</si>
  <si>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</si>
  <si>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</si>
  <si>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</si>
  <si>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</si>
  <si>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</si>
  <si>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</si>
  <si>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</si>
  <si>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</si>
  <si>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</si>
  <si>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</si>
  <si>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</si>
  <si>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</si>
  <si>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</si>
  <si>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</si>
  <si>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</si>
  <si>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</si>
  <si>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</si>
  <si>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</si>
  <si>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</si>
  <si>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</si>
  <si>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</si>
  <si>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</si>
  <si>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</si>
  <si>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</si>
  <si>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</si>
  <si>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</si>
  <si>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</si>
  <si>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</si>
  <si>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</si>
  <si>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</si>
  <si>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</si>
  <si>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</si>
  <si>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</si>
  <si>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</si>
  <si>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</si>
  <si>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</si>
  <si>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</si>
  <si>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</si>
  <si>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</si>
  <si>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</si>
  <si>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</si>
  <si>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</si>
  <si>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</si>
  <si>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</si>
  <si>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</si>
  <si>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</si>
  <si>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</si>
  <si>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</si>
  <si>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</si>
  <si>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</si>
  <si>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</si>
  <si>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</si>
  <si>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</si>
  <si>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</si>
  <si>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</si>
  <si>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</si>
  <si>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</si>
  <si>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</si>
  <si>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</si>
  <si>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</si>
  <si>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</si>
  <si>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</si>
  <si>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</si>
  <si>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</si>
  <si>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</si>
  <si>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</si>
  <si>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</si>
  <si>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</si>
  <si>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</si>
  <si>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</si>
  <si>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</si>
  <si>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</si>
  <si>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</si>
  <si>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</si>
  <si>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</si>
  <si>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</si>
  <si>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</si>
  <si>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</si>
  <si>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</si>
  <si>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</si>
  <si>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</si>
  <si>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</si>
  <si>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</si>
  <si>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</si>
  <si>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</si>
  <si>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</si>
  <si>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</si>
  <si>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</si>
  <si>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</si>
  <si>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</si>
  <si>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</si>
  <si>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</si>
  <si>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</si>
  <si>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</si>
  <si>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</si>
  <si>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</si>
  <si>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</si>
  <si>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</si>
  <si>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</si>
  <si>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</si>
  <si>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</si>
  <si>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</si>
  <si>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</si>
  <si>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</si>
  <si>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</si>
  <si>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</si>
  <si>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</si>
  <si>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</si>
  <si>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</si>
  <si>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</si>
  <si>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</si>
  <si>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</si>
  <si>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</si>
  <si>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</si>
  <si>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</si>
  <si>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</si>
  <si>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</si>
  <si>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</si>
  <si>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</si>
  <si>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</si>
  <si>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</si>
  <si>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</si>
  <si>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</si>
  <si>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</si>
  <si>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</si>
  <si>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</si>
  <si>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</si>
  <si>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</si>
  <si>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</si>
  <si>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</si>
  <si>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</si>
  <si>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</si>
  <si>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</si>
  <si>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</si>
  <si>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</si>
  <si>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</si>
  <si>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</si>
  <si>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</si>
  <si>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</si>
  <si>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</si>
  <si>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</si>
  <si>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</si>
  <si>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</si>
  <si>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</si>
  <si>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</si>
  <si>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</si>
  <si>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</si>
  <si>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</si>
  <si>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</si>
  <si>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</si>
  <si>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</si>
  <si>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</si>
  <si>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</si>
  <si>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</si>
  <si>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</si>
  <si>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</si>
  <si>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</si>
  <si>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</si>
  <si>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</si>
  <si>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</si>
  <si>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</si>
  <si>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</si>
  <si>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</si>
  <si>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</si>
  <si>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</si>
  <si>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</si>
  <si>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</si>
  <si>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</si>
  <si>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</si>
  <si>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</si>
  <si>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</si>
  <si>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</si>
  <si>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</si>
  <si>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</si>
  <si>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</si>
  <si>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</si>
  <si>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</si>
  <si>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</si>
  <si>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</si>
  <si>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</si>
  <si>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</si>
  <si>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</si>
  <si>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</si>
  <si>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</si>
  <si>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</si>
  <si>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</si>
  <si>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</si>
  <si>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</si>
  <si>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</si>
  <si>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</si>
  <si>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</si>
  <si>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</si>
  <si>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</si>
  <si>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</si>
  <si>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</si>
  <si>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</si>
  <si>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</si>
  <si>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</si>
  <si>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</si>
  <si>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</si>
  <si>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</si>
  <si>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</si>
  <si>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</si>
  <si>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</si>
  <si>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</si>
  <si>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</si>
  <si>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</si>
  <si>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</si>
  <si>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</si>
  <si>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</si>
  <si>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</si>
  <si>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</si>
  <si>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</si>
  <si>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</si>
  <si>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</si>
  <si>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</si>
  <si>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</si>
  <si>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</si>
  <si>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</si>
  <si>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</si>
  <si>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</si>
  <si>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</si>
  <si>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</si>
  <si>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</si>
  <si>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</si>
  <si>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</si>
  <si>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</si>
  <si>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</si>
  <si>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</si>
  <si>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</si>
  <si>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</si>
  <si>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</si>
  <si>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</si>
  <si>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</si>
  <si>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</si>
  <si>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</si>
  <si>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</si>
  <si>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</si>
  <si>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</si>
  <si>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</si>
  <si>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</si>
  <si>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</si>
  <si>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</si>
  <si>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</si>
  <si>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</si>
  <si>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</si>
  <si>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</si>
  <si>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</si>
  <si>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</si>
  <si>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</si>
  <si>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</si>
  <si>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</si>
  <si>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</si>
  <si>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</si>
  <si>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</si>
  <si>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</si>
  <si>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</si>
  <si>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</si>
  <si>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</si>
  <si>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</si>
  <si>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</si>
  <si>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</si>
  <si>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</si>
  <si>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</si>
  <si>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</si>
  <si>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</si>
  <si>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</si>
  <si>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</si>
  <si>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</si>
  <si>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</si>
  <si>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</si>
  <si>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</si>
  <si>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</si>
  <si>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</si>
  <si>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</si>
  <si>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</si>
  <si>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</si>
  <si>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</si>
  <si>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</si>
  <si>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</si>
  <si>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</si>
  <si>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</si>
  <si>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</si>
  <si>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</si>
  <si>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</si>
  <si>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</si>
  <si>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</si>
  <si>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</si>
  <si>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</si>
  <si>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</si>
  <si>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</si>
  <si>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</si>
  <si>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</si>
  <si>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</si>
  <si>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</si>
  <si>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</si>
  <si>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</si>
  <si>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</si>
  <si>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</si>
  <si>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</si>
  <si>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</si>
  <si>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</si>
  <si>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</si>
  <si>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</si>
  <si>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</si>
  <si>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</si>
  <si>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</si>
  <si>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</si>
  <si>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</si>
  <si>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</si>
  <si>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</si>
  <si>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</si>
  <si>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</si>
  <si>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</si>
  <si>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</si>
  <si>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</si>
  <si>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</si>
  <si>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</si>
  <si>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</si>
  <si>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</si>
  <si>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</si>
  <si>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</si>
  <si>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</si>
  <si>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</si>
  <si>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</si>
  <si>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</si>
  <si>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</si>
  <si>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</si>
  <si>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</si>
  <si>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</si>
  <si>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</si>
  <si>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</si>
  <si>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</si>
  <si>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</si>
  <si>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</si>
  <si>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</si>
  <si>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</si>
  <si>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</si>
  <si>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</si>
  <si>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</si>
  <si>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</si>
  <si>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</si>
  <si>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</si>
  <si>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</si>
  <si>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</si>
  <si>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</si>
  <si>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</si>
  <si>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</si>
  <si>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</si>
  <si>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</si>
  <si>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</si>
  <si>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</si>
  <si>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</si>
  <si>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</si>
  <si>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</si>
  <si>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</si>
  <si>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</si>
  <si>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</si>
  <si>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</si>
  <si>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</si>
  <si>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</si>
  <si>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Column Labels</t>
  </si>
  <si>
    <t>BELANJA BAHAN</t>
  </si>
  <si>
    <t>BELANJA JASA</t>
  </si>
  <si>
    <t>BELANJA PEMELIHARAAN</t>
  </si>
  <si>
    <t>BELANJA SEWA</t>
  </si>
  <si>
    <t>HONOR OPERASIONAL SATKER</t>
  </si>
  <si>
    <t>KEPERLUAN PERKANTORAN</t>
  </si>
  <si>
    <t>MODAL</t>
  </si>
  <si>
    <t>NON OPS LAINNYA</t>
  </si>
  <si>
    <t>PENGIRIMAN SURAT DINAS POS PUSAT</t>
  </si>
  <si>
    <t>PERJALANAN DINAS</t>
  </si>
  <si>
    <t>PERSEDIAAN</t>
  </si>
  <si>
    <t>TRANSPORT LOKAL</t>
  </si>
  <si>
    <t>REKAPITULASI PAGU PER JENIS AKUN</t>
  </si>
  <si>
    <t>REKAPITULASI SISA PAGU PER JENIS AKUN</t>
  </si>
  <si>
    <t xml:space="preserve"> 221751303020991</t>
  </si>
  <si>
    <t>29-08-2022</t>
  </si>
  <si>
    <t>00738T/626402/2022</t>
  </si>
  <si>
    <t>26-08-2022</t>
  </si>
  <si>
    <t>Pembayaran Belanja Barang. Perjadin sesuai dengan ST Nomor: B.1383/BRSDM.4/KP.440/VII/2022 Tanggal 29 Juli 2022 an. Luh Dewi K, dkk</t>
  </si>
  <si>
    <t xml:space="preserve"> 221751303020990</t>
  </si>
  <si>
    <t>00736T/626402/2022</t>
  </si>
  <si>
    <t>Pembayaran Belanja Barang. Perjadin sesuai dengan ST Nomor: B.1376/BRSDM.4/KP.440/VII/2022 Tanggal 27 Juli 2022 an. Dwi Hertanto, dkk</t>
  </si>
  <si>
    <t xml:space="preserve"> 221751303020994</t>
  </si>
  <si>
    <t>00752T/626402/2022</t>
  </si>
  <si>
    <t>Pembayaran belanja pegawai ( Pembayaran kekurangan gaji CPNS ke PNS pegawai Pusdik bulan Agustus 2022 untuk 2 pegawai/2 Jiwa )</t>
  </si>
  <si>
    <t xml:space="preserve"> 221751303020992</t>
  </si>
  <si>
    <t>00737T/626402/2022</t>
  </si>
  <si>
    <t>Pembayaran Belanja Barang. Perjadin sesuai dengan ST Nomor: 1496/BRSDM.4/KP.440/VIII/2022 Tanggal 11 Agustus 2022 an. Dwi Hertanto, dkk</t>
  </si>
  <si>
    <t xml:space="preserve"> 221751303020988</t>
  </si>
  <si>
    <t>00741T/626402/2022</t>
  </si>
  <si>
    <t>Pembayaran Belanja Barang. Perjadin sesuai dengan ST Nomor: B.1395/BRSDM.4/KP.440/VII/2022 Tanggal 28 Juli 2022 dan ST Nomor: B.1447/BRSDM.4/KP.440/VIII/2022 Tanggal 05 Agustus 2022 an. SW Budi Santos o, dkk</t>
  </si>
  <si>
    <t xml:space="preserve"> 221751303020939</t>
  </si>
  <si>
    <t>00746T/626402/2022</t>
  </si>
  <si>
    <t>Pembayaran Belanja Barang. Biaya Jurnal Internasional peserta tubel KKP Prog S2 IPB sesuai dengan SK Kepala BRSDM KP Nomor: 107/KEP-BRSDM/2020 Tanggal 18 Agustus 2020 an. Arinta Dwi Hapsari</t>
  </si>
  <si>
    <t xml:space="preserve"> 221751303020989</t>
  </si>
  <si>
    <t>00651T/626402/2022</t>
  </si>
  <si>
    <t>Pembayaran Belanja Barang. Jasa Profesi sesuai dengan SK Kepala Pusat Pendidikan KP Nomor: KEP.100/BRSDM.4/VI/2022 Tanggal 14 Juni 2022 an. Wahyu Indra S, dkk</t>
  </si>
  <si>
    <t xml:space="preserve"> 221751303020987</t>
  </si>
  <si>
    <t>00735T/626402/2022</t>
  </si>
  <si>
    <t>Pembayaran Belanja Barang. Perjadin sesuai ST Nomor: B.1391/BRSDM.4/KP.440/VII/2022 Tanggal 28 Juli 2022 an. Alvi Nur Yudistira, dkk</t>
  </si>
  <si>
    <t xml:space="preserve"> 221751503000965</t>
  </si>
  <si>
    <t>00709T/626402/2022</t>
  </si>
  <si>
    <t>Pembayaran belanja pegawai(pembayaran gaji induk pegawai Pusdik bulan September 2022 untuk 45 pegawai / 124 Jiwa)</t>
  </si>
  <si>
    <t>Belanja Barang Operasional</t>
  </si>
  <si>
    <t>Jenis Belanja2</t>
  </si>
  <si>
    <t>SAMPAI DENGAN 1 SEPTEMBER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</si>
</sst>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606">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3" fontId="0" fillId="0" borderId="1" xfId="0" applyNumberFormat="1" applyBorder="1"/>
    <xf numFmtId="0" fontId="55" fillId="0" borderId="1" xfId="0" applyFont="1" applyFill="1" applyBorder="1" applyAlignment="1">
      <alignment vertical="center"/>
    </xf>
    <xf numFmtId="0" fontId="55" fillId="19" borderId="1" xfId="0" applyFont="1" applyFill="1" applyBorder="1" applyAlignment="1">
      <alignment horizontal="left" vertical="center" indent="4"/>
    </xf>
    <xf numFmtId="0" fontId="55" fillId="26" borderId="1" xfId="0" applyFont="1" applyFill="1" applyBorder="1" applyAlignment="1">
      <alignment horizontal="left" vertical="center" indent="6"/>
    </xf>
    <xf numFmtId="0" fontId="55" fillId="0" borderId="1" xfId="0" applyFont="1" applyFill="1" applyBorder="1" applyAlignment="1">
      <alignment horizontal="center" vertical="center" wrapText="1"/>
    </xf>
    <xf numFmtId="0" fontId="0" fillId="0" borderId="0" xfId="0" applyAlignment="1">
      <alignment horizontal="center" vertical="center" wrapText="1"/>
    </xf>
    <xf numFmtId="0" fontId="55" fillId="0" borderId="1" xfId="0" applyFont="1" applyFill="1" applyBorder="1" applyAlignment="1">
      <alignment horizontal="left" vertical="center" indent="2"/>
    </xf>
    <xf numFmtId="0" fontId="27" fillId="17" borderId="1" xfId="0" applyFont="1" applyFill="1" applyBorder="1" applyAlignment="1">
      <alignment horizontal="center"/>
    </xf>
    <xf numFmtId="0" fontId="27" fillId="0" borderId="0" xfId="0" applyFont="1" applyAlignment="1">
      <alignment horizontal="center"/>
    </xf>
    <xf numFmtId="41" fontId="16" fillId="0" borderId="1" xfId="10" applyFont="1" applyBorder="1" applyAlignment="1">
      <alignment horizontal="center" vertical="center"/>
    </xf>
    <xf numFmtId="0" fontId="0" fillId="0" borderId="0" xfId="0" pivotButton="1"/>
    <xf numFmtId="0" fontId="16" fillId="0" borderId="0" xfId="8" applyFont="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0" fontId="41" fillId="7" borderId="1" xfId="0" applyFont="1" applyFill="1" applyBorder="1" applyAlignment="1">
      <alignment horizontal="center" vertical="center"/>
    </xf>
    <xf numFmtId="0" fontId="55" fillId="0" borderId="1" xfId="0" applyFont="1" applyFill="1" applyBorder="1" applyAlignment="1">
      <alignment horizontal="centerContinuous" vertic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4042">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B0F0"/>
        </patternFill>
      </fill>
    </dxf>
    <dxf>
      <fill>
        <patternFill patternType="solid">
          <bgColor theme="4" tint="0.79998168889431442"/>
        </patternFill>
      </fill>
    </dxf>
    <dxf>
      <fill>
        <patternFill patternType="solid">
          <bgColor theme="5" tint="0.39997558519241921"/>
        </patternFill>
      </fill>
    </dxf>
    <dxf>
      <fill>
        <patternFill patternType="solid">
          <bgColor rgb="FFFF66FF"/>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font>
        <sz val="12"/>
      </font>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alignment relativeIndent="1"/>
    </dxf>
    <dxf>
      <alignment relativeIndent="1"/>
    </dxf>
    <dxf>
      <alignment relativeIndent="1"/>
    </dxf>
    <dxf>
      <alignment relativeIndent="1"/>
    </dxf>
    <dxf>
      <alignment relativeIndent="-1"/>
    </dxf>
    <dxf>
      <alignment relativeIndent="-1"/>
    </dxf>
    <dxf>
      <fill>
        <patternFill patternType="solid">
          <bgColor rgb="FF00B0F0"/>
        </patternFill>
      </fill>
    </dxf>
    <dxf>
      <alignment horizontal="center"/>
    </dxf>
    <dxf>
      <font>
        <sz val="12"/>
      </font>
    </dxf>
    <dxf>
      <alignment horizontal="center"/>
    </dxf>
    <dxf>
      <font>
        <sz val="12"/>
      </font>
    </dxf>
    <dxf>
      <font>
        <sz val="12"/>
      </font>
    </dxf>
    <dxf>
      <alignment horizontal="center"/>
    </dxf>
    <dxf>
      <alignment horizontal="center"/>
    </dxf>
    <dxf>
      <font>
        <sz val="12"/>
      </font>
    </dxf>
    <dxf>
      <font>
        <sz val="12"/>
      </font>
    </dxf>
    <dxf>
      <alignment horizontal="center"/>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wrapText="1"/>
    </dxf>
    <dxf>
      <alignment wrapText="1"/>
    </dxf>
    <dxf>
      <alignment wrapText="1"/>
    </dxf>
    <dxf>
      <alignment horizontal="center"/>
    </dxf>
    <dxf>
      <alignment horizontal="center"/>
    </dxf>
    <dxf>
      <alignment horizontal="center"/>
    </dxf>
    <dxf>
      <alignment vertical="center"/>
    </dxf>
    <dxf>
      <alignment vertical="center"/>
    </dxf>
    <dxf>
      <alignment vertical="cent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4" tint="0.79998168889431442"/>
        </patternFill>
      </fill>
    </dxf>
    <dxf>
      <fill>
        <patternFill patternType="solid">
          <bgColor theme="5" tint="0.39997558519241921"/>
        </patternFill>
      </fill>
    </dxf>
    <dxf>
      <fill>
        <patternFill patternType="solid">
          <bgColor rgb="FFFF66FF"/>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font>
        <sz val="12"/>
      </font>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alignment relativeIndent="1"/>
    </dxf>
    <dxf>
      <alignment relativeIndent="1"/>
    </dxf>
    <dxf>
      <alignment relativeIndent="1"/>
    </dxf>
    <dxf>
      <alignment relativeIndent="1"/>
    </dxf>
    <dxf>
      <alignment relativeIndent="-1"/>
    </dxf>
    <dxf>
      <alignment relativeIndent="-1"/>
    </dxf>
    <dxf>
      <fill>
        <patternFill patternType="solid">
          <bgColor rgb="FF00B0F0"/>
        </patternFill>
      </fill>
    </dxf>
    <dxf>
      <alignment horizontal="center"/>
    </dxf>
    <dxf>
      <font>
        <sz val="12"/>
      </font>
    </dxf>
    <dxf>
      <alignment horizontal="center"/>
    </dxf>
    <dxf>
      <font>
        <sz val="12"/>
      </font>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wrapText="1"/>
    </dxf>
    <dxf>
      <alignment wrapText="1"/>
    </dxf>
    <dxf>
      <alignment wrapText="1"/>
    </dxf>
    <dxf>
      <alignment horizontal="center"/>
    </dxf>
    <dxf>
      <alignment horizontal="center"/>
    </dxf>
    <dxf>
      <alignment horizontal="center"/>
    </dxf>
    <dxf>
      <alignment vertical="center"/>
    </dxf>
    <dxf>
      <alignment vertical="center"/>
    </dxf>
    <dxf>
      <alignment vertical="cent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alignment vertical="center"/>
    </dxf>
    <dxf>
      <font>
        <sz val="12"/>
      </font>
    </dxf>
    <dxf>
      <alignment wrapText="1" indent="0"/>
    </dxf>
    <dxf>
      <alignment wrapText="1" indent="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92D050"/>
        </patternFill>
      </fill>
    </dxf>
    <dxf>
      <font>
        <b/>
      </font>
    </dxf>
    <dxf>
      <alignment relativeIndent="-1"/>
    </dxf>
    <dxf>
      <alignment relativeIndent="-1"/>
    </dxf>
    <dxf>
      <alignment relativeIndent="-1"/>
    </dxf>
    <dxf>
      <alignment relativeIndent="-1"/>
    </dxf>
    <dxf>
      <alignment horizontal="center"/>
    </dxf>
    <dxf>
      <font>
        <sz val="12"/>
      </font>
    </dxf>
    <dxf>
      <alignment horizontal="center"/>
    </dxf>
    <dxf>
      <font>
        <sz val="12"/>
      </font>
    </dxf>
    <dxf>
      <alignment horizontal="center"/>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wrapText="1" indent="0"/>
    </dxf>
    <dxf>
      <alignment wrapText="1" indent="0"/>
    </dxf>
    <dxf>
      <alignment wrapText="0"/>
    </dxf>
    <dxf>
      <alignment wrapText="0"/>
    </dxf>
    <dxf>
      <font>
        <sz val="14"/>
      </font>
    </dxf>
    <dxf>
      <font>
        <sz val="14"/>
      </font>
    </dxf>
    <dxf>
      <font>
        <sz val="14"/>
      </font>
    </dxf>
    <dxf>
      <font>
        <sz val="14"/>
      </font>
    </dxf>
    <dxf>
      <numFmt numFmtId="33" formatCode="_-* #,##0_-;\-* #,##0_-;_-* &quot;-&quot;_-;_-@_-"/>
    </dxf>
    <dxf>
      <alignment relativeIndent="1"/>
    </dxf>
    <dxf>
      <alignment relativeIndent="1"/>
    </dxf>
    <dxf>
      <alignment horizontal="center"/>
    </dxf>
    <dxf>
      <alignment horizontal="center"/>
    </dxf>
    <dxf>
      <alignment horizontal="center"/>
    </dxf>
    <dxf>
      <alignment vertical="center"/>
    </dxf>
    <dxf>
      <alignment vertical="center"/>
    </dxf>
    <dxf>
      <alignment vertical="center"/>
    </dxf>
    <dxf>
      <alignment horizontal="centerContinuous"/>
    </dxf>
    <dxf>
      <alignment horizontal="centerContinuous"/>
    </dxf>
    <dxf>
      <alignment horizontal="centerContinuous"/>
    </dxf>
    <dxf>
      <alignment horizontal="centerContinuous"/>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alignment horizontal="center"/>
    </dxf>
    <dxf>
      <font>
        <sz val="12"/>
      </font>
    </dxf>
    <dxf>
      <font>
        <sz val="12"/>
      </font>
    </dxf>
    <dxf>
      <alignment horizontal="center"/>
    </dxf>
    <dxf>
      <alignment horizontal="center"/>
    </dxf>
    <dxf>
      <font>
        <sz val="12"/>
      </font>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font>
        <b/>
        <i val="0"/>
        <color theme="0"/>
      </font>
      <fill>
        <patternFill>
          <bgColor rgb="FFFF0000"/>
        </patternFill>
      </fill>
    </dxf>
    <dxf>
      <alignment horizontal="centerContinuous"/>
    </dxf>
    <dxf>
      <alignment horizontal="centerContinuous"/>
    </dxf>
    <dxf>
      <alignment horizontal="centerContinuous"/>
    </dxf>
    <dxf>
      <alignment horizontal="centerContinuous"/>
    </dxf>
    <dxf>
      <alignment vertical="center"/>
    </dxf>
    <dxf>
      <alignment vertical="center"/>
    </dxf>
    <dxf>
      <alignment vertical="center"/>
    </dxf>
    <dxf>
      <alignment horizontal="center"/>
    </dxf>
    <dxf>
      <alignment horizontal="center"/>
    </dxf>
    <dxf>
      <alignment horizontal="center"/>
    </dxf>
    <dxf>
      <alignment relativeIndent="1"/>
    </dxf>
    <dxf>
      <alignment relativeIndent="1"/>
    </dxf>
    <dxf>
      <numFmt numFmtId="33" formatCode="_-* #,##0_-;\-* #,##0_-;_-* &quot;-&quot;_-;_-@_-"/>
    </dxf>
    <dxf>
      <font>
        <sz val="14"/>
      </font>
    </dxf>
    <dxf>
      <font>
        <sz val="14"/>
      </font>
    </dxf>
    <dxf>
      <font>
        <sz val="14"/>
      </font>
    </dxf>
    <dxf>
      <font>
        <sz val="14"/>
      </font>
    </dxf>
    <dxf>
      <alignment wrapText="0"/>
    </dxf>
    <dxf>
      <alignment wrapText="0"/>
    </dxf>
    <dxf>
      <alignment wrapText="1" indent="0"/>
    </dxf>
    <dxf>
      <alignment wrapText="1" indent="0"/>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alignment relativeIndent="-1"/>
    </dxf>
    <dxf>
      <alignment relativeIndent="-1"/>
    </dxf>
    <dxf>
      <alignment relativeIndent="-1"/>
    </dxf>
    <dxf>
      <alignment relativeIndent="-1"/>
    </dxf>
    <dxf>
      <font>
        <b/>
      </font>
    </dxf>
    <dxf>
      <fill>
        <patternFill patternType="solid">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indent="0"/>
    </dxf>
    <dxf>
      <alignment wrapText="1" indent="0"/>
    </dxf>
    <dxf>
      <font>
        <sz val="12"/>
      </font>
    </dxf>
    <dxf>
      <alignment vertic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3.xml"/><Relationship Id="rId42" Type="http://schemas.microsoft.com/office/2007/relationships/slicerCache" Target="slicerCaches/slicerCache11.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7/relationships/slicerCache" Target="slicerCaches/slicerCache2.xml"/><Relationship Id="rId38" Type="http://schemas.microsoft.com/office/2007/relationships/slicerCache" Target="slicerCaches/slicerCache7.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7/relationships/slicerCache" Target="slicerCaches/slicerCache1.xml"/><Relationship Id="rId37" Type="http://schemas.microsoft.com/office/2007/relationships/slicerCache" Target="slicerCaches/slicerCache6.xml"/><Relationship Id="rId40" Type="http://schemas.microsoft.com/office/2007/relationships/slicerCache" Target="slicerCaches/slicerCache9.xml"/><Relationship Id="rId45"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microsoft.com/office/2007/relationships/slicerCache" Target="slicerCaches/slicerCache5.xml"/><Relationship Id="rId49"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pivotCacheDefinition" Target="pivotCache/pivotCacheDefinition2.xml"/><Relationship Id="rId35" Type="http://schemas.microsoft.com/office/2007/relationships/slicerCache" Target="slicerCaches/slicerCache4.xml"/><Relationship Id="rId43" Type="http://schemas.microsoft.com/office/2007/relationships/slicerCache" Target="slicerCaches/slicerCache1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799779</xdr:colOff>
      <xdr:row>5</xdr:row>
      <xdr:rowOff>55549</xdr:rowOff>
    </xdr:from>
    <xdr:to>
      <xdr:col>16</xdr:col>
      <xdr:colOff>6076</xdr:colOff>
      <xdr:row>12</xdr:row>
      <xdr:rowOff>128467</xdr:rowOff>
    </xdr:to>
    <mc:AlternateContent xmlns:mc="http://schemas.openxmlformats.org/markup-compatibility/2006" xmlns:a14="http://schemas.microsoft.com/office/drawing/2010/main">
      <mc:Choice Requires="a14">
        <xdr:graphicFrame macro="">
          <xdr:nvGraphicFramePr>
            <xdr:cNvPr id="2" name="koordinator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2"/>
            </a:graphicData>
          </a:graphic>
        </xdr:graphicFrame>
      </mc:Choice>
      <mc:Fallback xmlns="">
        <xdr:sp macro="" textlink="">
          <xdr:nvSpPr>
            <xdr:cNvPr id="0" name=""/>
            <xdr:cNvSpPr>
              <a:spLocks noTextEdit="1"/>
            </xdr:cNvSpPr>
          </xdr:nvSpPr>
          <xdr:spPr>
            <a:xfrm>
              <a:off x="25249093" y="959063"/>
              <a:ext cx="1884183" cy="16867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1204792</xdr:colOff>
      <xdr:row>5</xdr:row>
      <xdr:rowOff>21528</xdr:rowOff>
    </xdr:from>
    <xdr:to>
      <xdr:col>15</xdr:col>
      <xdr:colOff>297597</xdr:colOff>
      <xdr:row>17</xdr:row>
      <xdr:rowOff>166883</xdr:rowOff>
    </xdr:to>
    <mc:AlternateContent xmlns:mc="http://schemas.openxmlformats.org/markup-compatibility/2006" xmlns:a14="http://schemas.microsoft.com/office/drawing/2010/main">
      <mc:Choice Requires="a14">
        <xdr:graphicFrame macro="">
          <xdr:nvGraphicFramePr>
            <xdr:cNvPr id="3" name="Subkoordinator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2"/>
            </a:graphicData>
          </a:graphic>
        </xdr:graphicFrame>
      </mc:Choice>
      <mc:Fallback xmlns="">
        <xdr:sp macro="" textlink="">
          <xdr:nvSpPr>
            <xdr:cNvPr id="0" name=""/>
            <xdr:cNvSpPr>
              <a:spLocks noTextEdit="1"/>
            </xdr:cNvSpPr>
          </xdr:nvSpPr>
          <xdr:spPr>
            <a:xfrm>
              <a:off x="24413135" y="925042"/>
              <a:ext cx="1672719" cy="29021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1251216</xdr:colOff>
      <xdr:row>22</xdr:row>
      <xdr:rowOff>22731</xdr:rowOff>
    </xdr:from>
    <xdr:to>
      <xdr:col>15</xdr:col>
      <xdr:colOff>513294</xdr:colOff>
      <xdr:row>33</xdr:row>
      <xdr:rowOff>85084</xdr:rowOff>
    </xdr:to>
    <mc:AlternateContent xmlns:mc="http://schemas.openxmlformats.org/markup-compatibility/2006" xmlns:a14="http://schemas.microsoft.com/office/drawing/2010/main">
      <mc:Choice Requires="a14">
        <xdr:graphicFrame macro="">
          <xdr:nvGraphicFramePr>
            <xdr:cNvPr id="6" name="Pagu-Blokir 2">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2"/>
            </a:graphicData>
          </a:graphic>
        </xdr:graphicFrame>
      </mc:Choice>
      <mc:Fallback xmlns="">
        <xdr:sp macro="" textlink="">
          <xdr:nvSpPr>
            <xdr:cNvPr id="0" name=""/>
            <xdr:cNvSpPr>
              <a:spLocks noTextEdit="1"/>
            </xdr:cNvSpPr>
          </xdr:nvSpPr>
          <xdr:spPr>
            <a:xfrm>
              <a:off x="24451939" y="5041045"/>
              <a:ext cx="1849612" cy="25769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386945</xdr:colOff>
      <xdr:row>15</xdr:row>
      <xdr:rowOff>97972</xdr:rowOff>
    </xdr:to>
    <mc:AlternateContent xmlns:mc="http://schemas.openxmlformats.org/markup-compatibility/2006" xmlns:a14="http://schemas.microsoft.com/office/drawing/2010/main">
      <mc:Choice Requires="a14">
        <xdr:graphicFrame macro="">
          <xdr:nvGraphicFramePr>
            <xdr:cNvPr id="2" name="koordinator 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oordinator 3"/>
            </a:graphicData>
          </a:graphic>
        </xdr:graphicFrame>
      </mc:Choice>
      <mc:Fallback xmlns="">
        <xdr:sp macro="" textlink="">
          <xdr:nvSpPr>
            <xdr:cNvPr id="0" name=""/>
            <xdr:cNvSpPr>
              <a:spLocks noTextEdit="1"/>
            </xdr:cNvSpPr>
          </xdr:nvSpPr>
          <xdr:spPr>
            <a:xfrm>
              <a:off x="3269274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387008</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3">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bkoordinator 3"/>
            </a:graphicData>
          </a:graphic>
        </xdr:graphicFrame>
      </mc:Choice>
      <mc:Fallback xmlns="">
        <xdr:sp macro="" textlink="">
          <xdr:nvSpPr>
            <xdr:cNvPr id="0" name=""/>
            <xdr:cNvSpPr>
              <a:spLocks noTextEdit="1"/>
            </xdr:cNvSpPr>
          </xdr:nvSpPr>
          <xdr:spPr>
            <a:xfrm>
              <a:off x="3269280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758476</xdr:colOff>
      <xdr:row>9</xdr:row>
      <xdr:rowOff>11846</xdr:rowOff>
    </xdr:from>
    <xdr:to>
      <xdr:col>19</xdr:col>
      <xdr:colOff>1425505</xdr:colOff>
      <xdr:row>27</xdr:row>
      <xdr:rowOff>206828</xdr:rowOff>
    </xdr:to>
    <mc:AlternateContent xmlns:mc="http://schemas.openxmlformats.org/markup-compatibility/2006" xmlns:a14="http://schemas.microsoft.com/office/drawing/2010/main">
      <mc:Choice Requires="a14">
        <xdr:graphicFrame macro="">
          <xdr:nvGraphicFramePr>
            <xdr:cNvPr id="4" name="Pagu-Blokir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agu-Blokir 3"/>
            </a:graphicData>
          </a:graphic>
        </xdr:graphicFrame>
      </mc:Choice>
      <mc:Fallback xmlns="">
        <xdr:sp macro="" textlink="">
          <xdr:nvSpPr>
            <xdr:cNvPr id="0" name=""/>
            <xdr:cNvSpPr>
              <a:spLocks noTextEdit="1"/>
            </xdr:cNvSpPr>
          </xdr:nvSpPr>
          <xdr:spPr>
            <a:xfrm>
              <a:off x="34972276" y="2058360"/>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307479</xdr:colOff>
      <xdr:row>15</xdr:row>
      <xdr:rowOff>97972</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3285276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315162</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3286044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518991</xdr:colOff>
      <xdr:row>9</xdr:row>
      <xdr:rowOff>33618</xdr:rowOff>
    </xdr:from>
    <xdr:to>
      <xdr:col>19</xdr:col>
      <xdr:colOff>1752077</xdr:colOff>
      <xdr:row>28</xdr:row>
      <xdr:rowOff>0</xdr:rowOff>
    </xdr:to>
    <mc:AlternateContent xmlns:mc="http://schemas.openxmlformats.org/markup-compatibility/2006" xmlns:a14="http://schemas.microsoft.com/office/drawing/2010/main">
      <mc:Choice Requires="a14">
        <xdr:graphicFrame macro="">
          <xdr:nvGraphicFramePr>
            <xdr:cNvPr id="6" name="Pagu-Blokir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Pagu-Blokir 1"/>
            </a:graphicData>
          </a:graphic>
        </xdr:graphicFrame>
      </mc:Choice>
      <mc:Fallback xmlns="">
        <xdr:sp macro="" textlink="">
          <xdr:nvSpPr>
            <xdr:cNvPr id="0" name=""/>
            <xdr:cNvSpPr>
              <a:spLocks noTextEdit="1"/>
            </xdr:cNvSpPr>
          </xdr:nvSpPr>
          <xdr:spPr>
            <a:xfrm>
              <a:off x="34972277" y="2080132"/>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F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F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10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1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100-000007000000}"/>
                </a:ext>
              </a:extLst>
            </xdr:cNvPr>
            <xdr:cNvPicPr>
              <a:picLocks noChangeAspect="1" noChangeArrowheads="1"/>
              <a:extLst>
                <a:ext uri="{84589F7E-364E-4C9E-8A38-B11213B215E9}">
                  <a14:cameraTool cellRange="'PERSUBBID - Gaji'!$A$5:$J$56" spid="_x0000_s8537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400-000005000000}"/>
                </a:ext>
              </a:extLst>
            </xdr:cNvPr>
            <xdr:cNvPicPr>
              <a:picLocks noChangeAspect="1" noChangeArrowheads="1"/>
              <a:extLst>
                <a:ext uri="{84589F7E-364E-4C9E-8A38-B11213B215E9}">
                  <a14:cameraTool cellRange="'PERSUBBID + GAJI'!$A$5:$J$60" spid="_x0000_s100352"/>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F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802.480693518519" createdVersion="8" refreshedVersion="8" minRefreshableVersion="3" recordCount="148" xr:uid="{6F534A25-748B-41B1-8189-5BD684C23477}">
  <cacheSource type="worksheet">
    <worksheetSource name="SP2D"/>
  </cacheSource>
  <cacheFields count="54">
    <cacheField name="kddept" numFmtId="0">
      <sharedItems/>
    </cacheField>
    <cacheField name="kdunit" numFmtId="0">
      <sharedItems/>
    </cacheField>
    <cacheField name="kdprogram" numFmtId="0">
      <sharedItems/>
    </cacheField>
    <cacheField name="Program" numFmtId="0">
      <sharedItems/>
    </cacheField>
    <cacheField name="kdgiat" numFmtId="0">
      <sharedItems/>
    </cacheField>
    <cacheField name="Kegiatan" numFmtId="0">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acheField>
    <cacheField name="kdakun" numFmtId="0">
      <sharedItems containsMixedTypes="1" containsNumber="1" containsInteger="1" minValue="521111" maxValue="532111"/>
    </cacheField>
    <cacheField name="Akun" numFmtId="0">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acheField>
    <cacheField name="koordinator" numFmtId="0">
      <sharedItems/>
    </cacheField>
    <cacheField name="Subkoordinator" numFmtId="0">
      <sharedItems/>
    </cacheField>
    <cacheField name="Jns_Belanja" numFmtId="0">
      <sharedItems containsMixedTypes="1" containsNumber="1" containsInteger="1" minValue="52" maxValue="53" count="3">
        <s v="52"/>
        <n v="53"/>
        <n v="52"/>
      </sharedItems>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ount="3">
        <s v="Belanja Barang Non Operasional"/>
        <s v="Belanja Modal"/>
        <s v="Belanja Barang Operasional"/>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805.307781828706" createdVersion="7" refreshedVersion="8" minRefreshableVersion="3" recordCount="148" xr:uid="{F6A9A8BE-9DF4-47CC-B2DE-53AB58A65CAC}">
  <cacheSource type="worksheet">
    <worksheetSource ref="A3:AU151" sheet="SP2D"/>
  </cacheSource>
  <cacheFields count="50">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6364000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Jenis Belanja" numFmtId="0">
      <sharedItems/>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ount="12">
        <s v="BELANJA BAHAN"/>
        <s v="BELANJA JASA"/>
        <s v="PERJALANAN DINAS"/>
        <s v="NON OPS LAINNYA"/>
        <s v="PERSEDIAAN"/>
        <s v="TRANSPORT LOKAL"/>
        <s v="MODAL"/>
        <s v="BELANJA SEWA"/>
        <s v="KEPERLUAN PERKANTORAN"/>
        <s v="PENGIRIMAN SURAT DINAS POS PUSAT"/>
        <s v="BELANJA PEMELIHARAAN"/>
        <s v="HONOR OPERASIONAL SATKER"/>
      </sharedItems>
    </cacheField>
    <cacheField name="Jenis Belanja2"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5025000"/>
    <n v="0"/>
    <n v="0"/>
    <n v="0"/>
    <n v="0"/>
    <s v="Pusat Pendidikan KP"/>
    <s v="Penyelenggaraan Pendidikan"/>
    <s v="Metode dan Kurikulum"/>
    <x v="0"/>
    <s v="SEKRETARIAT BADAN RISET DAN SUMBERDAYA MANUSIA KELAUTAN DAN PERIKANAN"/>
    <n v="11431000"/>
    <n v="57.514465408805023"/>
    <n v="8444000"/>
    <n v="42.48553459119497"/>
    <s v="DL.2376.AFA.001.051.A.521211"/>
    <s v="Non COVID"/>
    <s v="BELANJA BAHAN"/>
    <x v="0"/>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s v="Penyelenggaraan Pendidikan"/>
    <s v="Metode dan Kurikulum"/>
    <x v="0"/>
    <s v="SEKRETARIAT BADAN RISET DAN SUMBERDAYA MANUSIA KELAUTAN DAN PERIKANAN"/>
    <n v="6300000"/>
    <n v="31.5"/>
    <n v="13700000"/>
    <n v="68.5"/>
    <s v="DL.2376.AFA.001.051.A.522151"/>
    <s v="Non COVID"/>
    <s v="BELANJA JASA"/>
    <x v="0"/>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900000"/>
    <n v="0"/>
    <n v="0"/>
    <n v="0"/>
    <n v="0"/>
    <s v="Pusat Pendidikan KP"/>
    <s v="Penyelenggaraan Pendidikan"/>
    <s v="Metode dan Kurikulum"/>
    <x v="0"/>
    <s v="SEKRETARIAT BADAN RISET DAN SUMBERDAYA MANUSIA KELAUTAN DAN PERIKANAN"/>
    <n v="35476000"/>
    <n v="82.006472491909392"/>
    <n v="7784000"/>
    <n v="17.993527508090615"/>
    <s v="DL.2376.AFA.001.051.A.524111"/>
    <s v="Non COVID"/>
    <s v="PERJALANAN DINAS"/>
    <x v="0"/>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s v="Penyelenggaraan Pendidikan"/>
    <s v="Metode dan Kurikulum"/>
    <x v="0"/>
    <s v="SEKRETARIAT BADAN RISET DAN SUMBERDAYA MANUSIA KELAUTAN DAN PERIKANAN"/>
    <n v="6511000"/>
    <n v="33.389743589743595"/>
    <n v="12989000"/>
    <n v="66.610256410256412"/>
    <s v="DL.2376.AFA.001.051.B.521211"/>
    <s v="Non COVID"/>
    <s v="BELANJA BAHAN"/>
    <x v="0"/>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s v="Penyelenggaraan Pendidikan"/>
    <s v="Metode dan Kurikulum"/>
    <x v="0"/>
    <s v="SEKRETARIAT BADAN RISET DAN SUMBERDAYA MANUSIA KELAUTAN DAN PERIKANAN"/>
    <n v="900000"/>
    <n v="22.5"/>
    <n v="3100000"/>
    <n v="77.5"/>
    <s v="DL.2376.AFA.001.051.B.522151"/>
    <s v="Non COVID"/>
    <s v="BELANJA JASA"/>
    <x v="0"/>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s v="Penyelenggaraan Pendidikan"/>
    <s v="Metode dan Kurikulum"/>
    <x v="0"/>
    <s v="SEKRETARIAT BADAN RISET DAN SUMBERDAYA MANUSIA KELAUTAN DAN PERIKANAN"/>
    <n v="17460000"/>
    <n v="99.971371314056682"/>
    <n v="5000"/>
    <n v="2.8628685943315198E-2"/>
    <s v="DL.2376.AFA.001.051.B.524111"/>
    <s v="Non COVID"/>
    <s v="PERJALANAN DINAS"/>
    <x v="0"/>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s v="Penyelenggaraan Pendidikan"/>
    <s v="Peserta Didik dan Sarana Prasarana"/>
    <x v="0"/>
    <s v="SEKRETARIAT BADAN RISET DAN SUMBERDAYA MANUSIA KELAUTAN DAN PERIKANAN"/>
    <n v="4620000"/>
    <n v="21.741176470588236"/>
    <n v="16630000"/>
    <n v="78.258823529411771"/>
    <s v="DL.2376.AFA.001.052.A.521211"/>
    <s v="Non COVID"/>
    <s v="BELANJA BAHAN"/>
    <x v="0"/>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2460000"/>
    <n v="0"/>
    <n v="0"/>
    <n v="0"/>
    <n v="0"/>
    <s v="Pusat Pendidikan KP"/>
    <s v="Penyelenggaraan Pendidikan"/>
    <s v="Peserta Didik dan Sarana Prasarana"/>
    <x v="0"/>
    <s v="SEKRETARIAT BADAN RISET DAN SUMBERDAYA MANUSIA KELAUTAN DAN PERIKANAN"/>
    <n v="28355585"/>
    <n v="85.27995488721804"/>
    <n v="4894415"/>
    <n v="14.720045112781953"/>
    <s v="DL.2376.AFA.001.052.A.524111"/>
    <s v="Non COVID"/>
    <s v="PERJALANAN DINAS"/>
    <x v="0"/>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35172750"/>
    <n v="0"/>
    <n v="0"/>
    <n v="0"/>
    <n v="0"/>
    <s v="Pusat Pendidikan KP"/>
    <s v="Kelembagaan dan Ketenagaan"/>
    <s v="Kelembagaan"/>
    <x v="0"/>
    <s v="SEKRETARIAT BADAN RISET DAN SUMBERDAYA MANUSIA KELAUTAN DAN PERIKANAN"/>
    <n v="41367750"/>
    <n v="63.740755007704166"/>
    <n v="23532250"/>
    <n v="36.259244992295841"/>
    <s v="DL.2376.AFA.001.053.A.521211"/>
    <s v="Non COVID"/>
    <s v="BELANJA BAHAN"/>
    <x v="0"/>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3080000"/>
    <n v="0"/>
    <n v="0"/>
    <n v="0"/>
    <n v="0"/>
    <s v="Pusat Pendidikan KP"/>
    <s v="Kelembagaan dan Ketenagaan"/>
    <s v="Kelembagaan"/>
    <x v="0"/>
    <s v="SEKRETARIAT BADAN RISET DAN SUMBERDAYA MANUSIA KELAUTAN DAN PERIKANAN"/>
    <n v="4043000"/>
    <n v="67.383333333333326"/>
    <n v="1957000"/>
    <n v="32.616666666666667"/>
    <s v="DL.2376.AFA.001.053.A.521219"/>
    <s v="Non COVID"/>
    <s v="NON OPS LAINNYA"/>
    <x v="0"/>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s v="Kelembagaan dan Ketenagaan"/>
    <s v="Kelembagaan"/>
    <x v="0"/>
    <s v="SEKRETARIAT BADAN RISET DAN SUMBERDAYA MANUSIA KELAUTAN DAN PERIKANAN"/>
    <n v="12006500"/>
    <n v="40.021666666666668"/>
    <n v="17993500"/>
    <n v="59.978333333333332"/>
    <s v="DL.2376.AFA.001.053.A.521811"/>
    <s v="Non COVID"/>
    <s v="PERSEDIAAN"/>
    <x v="0"/>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2700000"/>
    <n v="0"/>
    <n v="0"/>
    <n v="0"/>
    <n v="0"/>
    <s v="Pusat Pendidikan KP"/>
    <s v="Kelembagaan dan Ketenagaan"/>
    <s v="Kelembagaan"/>
    <x v="0"/>
    <s v="SEKRETARIAT BADAN RISET DAN SUMBERDAYA MANUSIA KELAUTAN DAN PERIKANAN"/>
    <n v="11700000"/>
    <n v="46.428571428571431"/>
    <n v="13500000"/>
    <n v="53.571428571428569"/>
    <s v="DL.2376.AFA.001.053.A.522151"/>
    <s v="Non COVID"/>
    <s v="BELANJA JASA"/>
    <x v="0"/>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s v="Kelembagaan dan Ketenagaan"/>
    <s v="Kelembagaan"/>
    <x v="0"/>
    <s v="SEKRETARIAT BADAN RISET DAN SUMBERDAYA MANUSIA KELAUTAN DAN PERIKANAN"/>
    <n v="0"/>
    <n v="0"/>
    <n v="6000000"/>
    <n v="100"/>
    <s v="DL.2376.AFA.001.053.A.522192"/>
    <s v="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749000"/>
    <n v="0"/>
    <n v="0"/>
    <n v="0"/>
    <n v="0"/>
    <s v="Pusat Pendidikan KP"/>
    <s v="Kelembagaan dan Ketenagaan"/>
    <s v="Kelembagaan"/>
    <x v="0"/>
    <s v="SEKRETARIAT BADAN RISET DAN SUMBERDAYA MANUSIA KELAUTAN DAN PERIKANAN"/>
    <n v="153581600"/>
    <n v="60.626549399188391"/>
    <n v="99742400"/>
    <n v="39.373450600811609"/>
    <s v="DL.2376.AFA.001.053.A.524111"/>
    <s v="Non COVID"/>
    <s v="PERJALANAN DINAS"/>
    <x v="0"/>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s v="Kelembagaan dan Ketenagaan"/>
    <s v="Kelembagaan"/>
    <x v="0"/>
    <s v="SEKRETARIAT BADAN RISET DAN SUMBERDAYA MANUSIA KELAUTAN DAN PERIKANAN"/>
    <n v="0"/>
    <n v="0"/>
    <n v="1500000"/>
    <n v="100"/>
    <s v="DL.2376.AFA.001.053.A.524113"/>
    <s v="Non COVID"/>
    <s v="TRANSPORT LOKAL"/>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5460000"/>
    <n v="0"/>
    <n v="0"/>
    <n v="0"/>
    <n v="0"/>
    <s v="Pusat Pendidikan KP"/>
    <s v="Kelembagaan dan Ketenagaan"/>
    <s v="Kelembagaan"/>
    <x v="0"/>
    <s v="SEKRETARIAT BADAN RISET DAN SUMBERDAYA MANUSIA KELAUTAN DAN PERIKANAN"/>
    <n v="15898550"/>
    <n v="22.249426220331394"/>
    <n v="55557450"/>
    <n v="77.750573779668613"/>
    <s v="DL.2376.AFA.001.053.B.521211"/>
    <s v="Non COVID"/>
    <s v="BELANJA BAHAN"/>
    <x v="0"/>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333550"/>
    <n v="0"/>
    <n v="0"/>
    <n v="0"/>
    <n v="0"/>
    <s v="Pusat Pendidikan KP"/>
    <s v="Kelembagaan dan Ketenagaan"/>
    <s v="Kelembagaan"/>
    <x v="0"/>
    <s v="SEKRETARIAT BADAN RISET DAN SUMBERDAYA MANUSIA KELAUTAN DAN PERIKANAN"/>
    <n v="4596400"/>
    <n v="91.927999999999997"/>
    <n v="403600"/>
    <n v="8.0719999999999992"/>
    <s v="DL.2376.AFA.001.053.B.521219"/>
    <s v="Non COVID"/>
    <s v="NON OPS LAINNYA"/>
    <x v="0"/>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s v="Kelembagaan dan Ketenagaan"/>
    <s v="Kelembagaan"/>
    <x v="0"/>
    <s v="SEKRETARIAT BADAN RISET DAN SUMBERDAYA MANUSIA KELAUTAN DAN PERIKANAN"/>
    <n v="2453500"/>
    <n v="16.356666666666666"/>
    <n v="12546500"/>
    <n v="83.643333333333331"/>
    <s v="DL.2376.AFA.001.053.B.521811"/>
    <s v="Non COVID"/>
    <s v="PERSEDIAAN"/>
    <x v="0"/>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s v="Kelembagaan dan Ketenagaan"/>
    <s v="Kelembagaan"/>
    <x v="0"/>
    <s v="SEKRETARIAT BADAN RISET DAN SUMBERDAYA MANUSIA KELAUTAN DAN PERIKANAN"/>
    <n v="6300000"/>
    <n v="38.888888888888893"/>
    <n v="9900000"/>
    <n v="61.111111111111114"/>
    <s v="DL.2376.AFA.001.053.B.522151"/>
    <s v="Non COVID"/>
    <s v="BELANJA JASA"/>
    <x v="0"/>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s v="Kelembagaan dan Ketenagaan"/>
    <s v="Kelembagaan"/>
    <x v="0"/>
    <s v="SEKRETARIAT BADAN RISET DAN SUMBERDAYA MANUSIA KELAUTAN DAN PERIKANAN"/>
    <n v="365000"/>
    <n v="18.25"/>
    <n v="1635000"/>
    <n v="81.75"/>
    <s v="DL.2376.AFA.001.053.B.522192"/>
    <s v="COVID"/>
    <s v="BELANJA JASA"/>
    <x v="0"/>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s v="Kelembagaan dan Ketenagaan"/>
    <s v="Kelembagaan"/>
    <x v="0"/>
    <s v="SEKRETARIAT BADAN RISET DAN SUMBERDAYA MANUSIA KELAUTAN DAN PERIKANAN"/>
    <n v="131436690"/>
    <n v="95.133678343949043"/>
    <n v="6723310"/>
    <n v="4.866321656050955"/>
    <s v="DL.2376.AFA.001.053.B.524111"/>
    <s v="Non COVID"/>
    <s v="PERJALANAN DINAS"/>
    <x v="0"/>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2484000"/>
    <n v="0"/>
    <n v="0"/>
    <n v="0"/>
    <n v="0"/>
    <s v="Pusat Pendidikan KP"/>
    <s v="Kelembagaan dan Ketenagaan"/>
    <s v="Kelembagaan"/>
    <x v="0"/>
    <s v="SEKRETARIAT BADAN RISET DAN SUMBERDAYA MANUSIA KELAUTAN DAN PERIKANAN"/>
    <n v="2484000"/>
    <n v="11.925108017282765"/>
    <n v="18346000"/>
    <n v="88.074891982717233"/>
    <s v="DL.2376.AFA.001.053.C.521211"/>
    <s v="Non COVID"/>
    <s v="BELANJA BAHAN"/>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s v="Kelembagaan dan Ketenagaan"/>
    <s v="Kelembagaan"/>
    <x v="0"/>
    <s v="SEKRETARIAT BADAN RISET DAN SUMBERDAYA MANUSIA KELAUTAN DAN PERIKANAN"/>
    <n v="0"/>
    <n v="0"/>
    <n v="500000"/>
    <n v="100"/>
    <s v="DL.2376.AFA.001.053.C.521219"/>
    <s v="Non COVID"/>
    <s v="NON OPS LAINNY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s v="Kelembagaan dan Ketenagaan"/>
    <s v="Kelembagaan"/>
    <x v="0"/>
    <s v="SEKRETARIAT BADAN RISET DAN SUMBERDAYA MANUSIA KELAUTAN DAN PERIKANAN"/>
    <n v="0"/>
    <n v="0"/>
    <n v="7200000"/>
    <n v="100"/>
    <s v="DL.2376.AFA.001.053.C.522151"/>
    <s v="Non 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4820000"/>
    <n v="0"/>
    <n v="0"/>
    <n v="0"/>
    <n v="0"/>
    <s v="Pusat Pendidikan KP"/>
    <s v="Kelembagaan dan Ketenagaan"/>
    <s v="Kelembagaan"/>
    <x v="0"/>
    <s v="SEKRETARIAT BADAN RISET DAN SUMBERDAYA MANUSIA KELAUTAN DAN PERIKANAN"/>
    <n v="4820000"/>
    <n v="20.929222752930958"/>
    <n v="18210000"/>
    <n v="79.070777247069032"/>
    <s v="DL.2376.AFA.001.053.C.524111"/>
    <s v="Non COVID"/>
    <s v="PERJALANAN DINAS"/>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s v="Kelembagaan dan Ketenagaan"/>
    <s v="Ketenagaan"/>
    <x v="0"/>
    <s v="SEKRETARIAT BADAN RISET DAN SUMBERDAYA MANUSIA KELAUTAN DAN PERIKANAN"/>
    <n v="13489250"/>
    <n v="99.920370370370364"/>
    <n v="10750"/>
    <n v="7.962962962962962E-2"/>
    <s v="DL.2376.AFA.001.054.A.521211"/>
    <s v="Non COVID"/>
    <s v="BELANJA BAHAN"/>
    <x v="0"/>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1100000"/>
    <n v="0"/>
    <n v="0"/>
    <n v="0"/>
    <n v="0"/>
    <s v="Pusat Pendidikan KP"/>
    <s v="Kelembagaan dan Ketenagaan"/>
    <s v="Ketenagaan"/>
    <x v="0"/>
    <s v="SEKRETARIAT BADAN RISET DAN SUMBERDAYA MANUSIA KELAUTAN DAN PERIKANAN"/>
    <n v="1100000"/>
    <n v="12.381809995497523"/>
    <n v="7784000"/>
    <n v="87.618190004502466"/>
    <s v="DL.2376.AFA.001.054.A.521219"/>
    <s v="Non COVID"/>
    <s v="NON OPS LAINNY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s v="Kelembagaan dan Ketenagaan"/>
    <s v="Ketenagaan"/>
    <x v="0"/>
    <s v="SEKRETARIAT BADAN RISET DAN SUMBERDAYA MANUSIA KELAUTAN DAN PERIKANAN"/>
    <n v="7200000"/>
    <n v="47.058823529411761"/>
    <n v="8100000"/>
    <n v="52.941176470588239"/>
    <s v="DL.2376.AFA.001.054.A.522151"/>
    <s v="Non 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s v="Kelembagaan dan Ketenagaan"/>
    <s v="Ketenagaan"/>
    <x v="0"/>
    <s v="SEKRETARIAT BADAN RISET DAN SUMBERDAYA MANUSIA KELAUTAN DAN PERIKANAN"/>
    <n v="0"/>
    <n v="0"/>
    <n v="0"/>
    <n v="0"/>
    <s v="DL.2376.AFA.001.054.A.522192"/>
    <s v="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s v="Kelembagaan dan Ketenagaan"/>
    <s v="Ketenagaan"/>
    <x v="0"/>
    <s v="SEKRETARIAT BADAN RISET DAN SUMBERDAYA MANUSIA KELAUTAN DAN PERIKANAN"/>
    <n v="60912610"/>
    <n v="62.528342366757009"/>
    <n v="36503390"/>
    <n v="37.471657633242998"/>
    <s v="DL.2376.AFA.001.054.A.524111"/>
    <s v="Non COVID"/>
    <s v="PERJALANAN DINAS"/>
    <x v="0"/>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s v="Tata Usaha"/>
    <s v="Umum"/>
    <x v="1"/>
    <s v="SEKRETARIAT BADAN RISET DAN SUMBERDAYA MANUSIA KELAUTAN DAN PERIKANAN"/>
    <n v="114200000"/>
    <n v="100"/>
    <n v="0"/>
    <n v="0"/>
    <s v="WA.2378.CAN.001.301.A.532111"/>
    <s v="Non COVID"/>
    <s v="MODAL"/>
    <x v="1"/>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5307900"/>
    <n v="0"/>
    <n v="0"/>
    <n v="0"/>
    <n v="0"/>
    <s v="Pusat Pendidikan KP"/>
    <s v="Perencanaan dan Evaluasi"/>
    <s v="Perencanaan"/>
    <x v="0"/>
    <s v="SEKRETARIAT BADAN RISET DAN SUMBERDAYA MANUSIA KELAUTAN DAN PERIKANAN"/>
    <n v="11255400"/>
    <n v="90.769354838709688"/>
    <n v="1144600"/>
    <n v="9.2306451612903224"/>
    <s v="WA.2378.EBA.958.311.A.521211"/>
    <s v="Non COVID"/>
    <s v="BELANJA BAHAN"/>
    <x v="0"/>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s v="Perencanaan dan Evaluasi"/>
    <s v="Perencanaan"/>
    <x v="0"/>
    <s v="SEKRETARIAT BADAN RISET DAN SUMBERDAYA MANUSIA KELAUTAN DAN PERIKANAN"/>
    <n v="0"/>
    <n v="0"/>
    <n v="0"/>
    <n v="0"/>
    <s v="WA.2378.EBA.958.311.A.521219"/>
    <s v="Non COVID"/>
    <s v="NON OPS LAINNYA"/>
    <x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s v="Perencanaan dan Evaluasi"/>
    <s v="Perencanaan"/>
    <x v="0"/>
    <s v="SEKRETARIAT BADAN RISET DAN SUMBERDAYA MANUSIA KELAUTAN DAN PERIKANAN"/>
    <n v="5329750"/>
    <n v="53.297499999999999"/>
    <n v="4670250"/>
    <n v="46.702500000000001"/>
    <s v="WA.2378.EBA.958.311.A.521811"/>
    <s v="Non COVID"/>
    <s v="PERSEDIAAN"/>
    <x v="0"/>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A.958.311.A.52215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4490200"/>
    <n v="0"/>
    <n v="0"/>
    <n v="0"/>
    <n v="0"/>
    <s v="Pusat Pendidikan KP"/>
    <s v="Perencanaan dan Evaluasi"/>
    <s v="Perencanaan"/>
    <x v="0"/>
    <s v="SEKRETARIAT BADAN RISET DAN SUMBERDAYA MANUSIA KELAUTAN DAN PERIKANAN"/>
    <n v="23997800"/>
    <n v="26.386866932025598"/>
    <n v="66948200"/>
    <n v="73.613133067974402"/>
    <s v="WA.2378.EBA.958.311.A.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s v="Tata Usaha"/>
    <s v="Umum"/>
    <x v="0"/>
    <s v="SEKRETARIAT BADAN RISET DAN SUMBERDAYA MANUSIA KELAUTAN DAN PERIKANAN"/>
    <n v="4998800"/>
    <n v="99.975999999999999"/>
    <n v="1200"/>
    <n v="2.4E-2"/>
    <s v="WA.2378.EBA.962.301.A.521211"/>
    <s v="Non COVID"/>
    <s v="BELANJA BAHAN"/>
    <x v="0"/>
    <n v="0"/>
    <n v="39988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s v="Tata Usaha"/>
    <s v="Umum"/>
    <x v="0"/>
    <s v="SEKRETARIAT BADAN RISET DAN SUMBERDAYA MANUSIA KELAUTAN DAN PERIKANAN"/>
    <n v="12688500"/>
    <n v="97.686503964893362"/>
    <n v="300500"/>
    <n v="2.3134960351066285"/>
    <s v="WA.2378.EBA.962.301.A.524111"/>
    <s v="Non COVID"/>
    <s v="PERJALANAN DINAS"/>
    <x v="0"/>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s v="Tata Usaha"/>
    <s v="Umum"/>
    <x v="0"/>
    <s v="SEKRETARIAT BADAN RISET DAN SUMBERDAYA MANUSIA KELAUTAN DAN PERIKANAN"/>
    <n v="750000"/>
    <n v="100"/>
    <n v="0"/>
    <n v="0"/>
    <s v="WA.2378.EBA.962.301.A.524113"/>
    <s v="Non COVID"/>
    <s v="TRANSPORT LOKAL"/>
    <x v="0"/>
    <n v="450000"/>
    <n v="300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s v="Tata Usaha"/>
    <s v="Umum"/>
    <x v="0"/>
    <s v="SEKRETARIAT BADAN RISET DAN SUMBERDAYA MANUSIA KELAUTAN DAN PERIKANAN"/>
    <n v="7425000"/>
    <n v="74.25"/>
    <n v="2575000"/>
    <n v="25.75"/>
    <s v="WA.2378.EBA.962.301.B.521211"/>
    <s v="Non COVID"/>
    <s v="BELANJA BAHAN"/>
    <x v="0"/>
    <n v="2485000"/>
    <n v="0"/>
    <n v="0"/>
    <n v="0"/>
    <n v="0"/>
    <n v="0"/>
    <n v="248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s v="Tata Usaha"/>
    <s v="Umum"/>
    <x v="0"/>
    <s v="SEKRETARIAT BADAN RISET DAN SUMBERDAYA MANUSIA KELAUTAN DAN PERIKANAN"/>
    <n v="2031000"/>
    <n v="100"/>
    <n v="0"/>
    <n v="0"/>
    <s v="WA.2378.EBA.962.301.B.522192"/>
    <s v="COVID"/>
    <s v="BELANJA JASA"/>
    <x v="0"/>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s v="Tata Usaha"/>
    <s v="Umum"/>
    <x v="0"/>
    <s v="SEKRETARIAT BADAN RISET DAN SUMBERDAYA MANUSIA KELAUTAN DAN PERIKANAN"/>
    <n v="263521871"/>
    <n v="70.529414079018508"/>
    <n v="110112129"/>
    <n v="29.470585920981495"/>
    <s v="WA.2378.EBA.962.301.B.524111"/>
    <s v="Non COVID"/>
    <s v="PERJALANAN DINAS"/>
    <x v="0"/>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s v="Tata Usaha"/>
    <s v="Umum"/>
    <x v="0"/>
    <s v="SEKRETARIAT BADAN RISET DAN SUMBERDAYA MANUSIA KELAUTAN DAN PERIKANAN"/>
    <n v="33371740"/>
    <n v="99.617134328358219"/>
    <n v="128260"/>
    <n v="0.38286567164179103"/>
    <s v="WA.2378.EBA.962.301.C.521211"/>
    <s v="Non COVID"/>
    <s v="BELANJA BAHAN"/>
    <x v="0"/>
    <n v="0"/>
    <n v="3987000"/>
    <n v="0"/>
    <n v="0"/>
    <n v="0"/>
    <n v="0"/>
    <n v="2938474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s v="Tata Usaha"/>
    <s v="Umum"/>
    <x v="0"/>
    <s v="SEKRETARIAT BADAN RISET DAN SUMBERDAYA MANUSIA KELAUTAN DAN PERIKANAN"/>
    <n v="0"/>
    <n v="0"/>
    <n v="3000000"/>
    <n v="100"/>
    <s v="WA.2378.EBA.962.301.C.522141"/>
    <s v="Non COVID"/>
    <s v="BELANJA SEW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s v="Tata Usaha"/>
    <s v="Umum"/>
    <x v="0"/>
    <s v="SEKRETARIAT BADAN RISET DAN SUMBERDAYA MANUSIA KELAUTAN DAN PERIKANAN"/>
    <n v="8980000"/>
    <n v="49.888888888888886"/>
    <n v="9020000"/>
    <n v="50.111111111111107"/>
    <s v="WA.2378.EBA.962.301.C.524111"/>
    <s v="Non COVID"/>
    <s v="PERJALANAN DINAS"/>
    <x v="0"/>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s v="Tata Usaha"/>
    <s v="Umum"/>
    <x v="0"/>
    <s v="SEKRETARIAT BADAN RISET DAN SUMBERDAYA MANUSIA KELAUTAN DAN PERIKANAN"/>
    <n v="600000"/>
    <n v="26.666666666666668"/>
    <n v="1650000"/>
    <n v="73.333333333333329"/>
    <s v="WA.2378.EBA.962.301.C.524113"/>
    <s v="Non COVID"/>
    <s v="TRANSPORT LOKAL"/>
    <x v="0"/>
    <n v="6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s v="Tata Usaha"/>
    <s v="Umum"/>
    <x v="0"/>
    <s v="SEKRETARIAT BADAN RISET DAN SUMBERDAYA MANUSIA KELAUTAN DAN PERIKANAN"/>
    <n v="9448500"/>
    <n v="69.988888888888894"/>
    <n v="4051500"/>
    <n v="30.011111111111109"/>
    <s v="WA.2378.EBA.962.301.D.521211"/>
    <s v="Non COVID"/>
    <s v="BELANJA BAHAN"/>
    <x v="0"/>
    <n v="0"/>
    <n v="5459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2088000"/>
    <n v="0"/>
    <n v="0"/>
    <n v="0"/>
    <n v="0"/>
    <s v="Pusat Pendidikan KP"/>
    <s v="Tata Usaha"/>
    <s v="Umum"/>
    <x v="0"/>
    <s v="SEKRETARIAT BADAN RISET DAN SUMBERDAYA MANUSIA KELAUTAN DAN PERIKANAN"/>
    <n v="29769738"/>
    <n v="62.419512297402136"/>
    <n v="17923262"/>
    <n v="37.580487702597864"/>
    <s v="WA.2378.EBA.962.301.D.524111"/>
    <s v="Non COVID"/>
    <s v="PERJALANAN DINAS"/>
    <x v="0"/>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s v="Tata Usaha"/>
    <s v="Umum"/>
    <x v="0"/>
    <s v="SEKRETARIAT BADAN RISET DAN SUMBERDAYA MANUSIA KELAUTAN DAN PERIKANAN"/>
    <n v="0"/>
    <n v="0"/>
    <n v="0"/>
    <n v="0"/>
    <s v="WA.2378.EBA.962.301.D.524113"/>
    <s v="Non COVID"/>
    <s v="TRANSPORT LOKAL"/>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s v="Tata Usaha"/>
    <s v="Umum"/>
    <x v="0"/>
    <s v="SEKRETARIAT BADAN RISET DAN SUMBERDAYA MANUSIA KELAUTAN DAN PERIKANAN"/>
    <n v="38095000"/>
    <n v="99.98687664041995"/>
    <n v="5000"/>
    <n v="1.3123359580052493E-2"/>
    <s v="WA.2378.EBA.962.301.E.521211"/>
    <s v="Non COVID"/>
    <s v="BELANJA BAHAN"/>
    <x v="0"/>
    <n v="0"/>
    <n v="31495000"/>
    <n v="0"/>
    <n v="0"/>
    <n v="0"/>
    <n v="0"/>
    <n v="6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s v="Tata Usaha"/>
    <s v="Umum"/>
    <x v="0"/>
    <s v="SEKRETARIAT BADAN RISET DAN SUMBERDAYA MANUSIA KELAUTAN DAN PERIKANAN"/>
    <n v="82534280"/>
    <n v="99.999127642818195"/>
    <n v="720"/>
    <n v="8.7235718180165981E-4"/>
    <s v="WA.2378.EBA.962.301.E.521241"/>
    <s v="COVID"/>
    <s v="NON OPS LAINNYA"/>
    <x v="0"/>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s v="Tata Usaha"/>
    <s v="Umum"/>
    <x v="2"/>
    <s v="SEKRETARIAT BADAN RISET DAN SUMBERDAYA MANUSIA KELAUTAN DAN PERIKANAN"/>
    <n v="1600000"/>
    <n v="99.688473520249218"/>
    <n v="5000"/>
    <n v="0.3115264797507788"/>
    <s v="WA.2378.EBA.962.301.E.52219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s v="Tata Usaha"/>
    <s v="Umum"/>
    <x v="0"/>
    <s v="SEKRETARIAT BADAN RISET DAN SUMBERDAYA MANUSIA KELAUTAN DAN PERIKANAN"/>
    <n v="4246000"/>
    <n v="100"/>
    <n v="0"/>
    <n v="0"/>
    <s v="WA.2378.EBA.962.301.E.522192"/>
    <s v="COVID"/>
    <s v="BELANJA JASA"/>
    <x v="0"/>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s v="Tata Usaha"/>
    <s v="Umum"/>
    <x v="0"/>
    <s v="SEKRETARIAT BADAN RISET DAN SUMBERDAYA MANUSIA KELAUTAN DAN PERIKANAN"/>
    <n v="21850700"/>
    <n v="99.998627065122875"/>
    <n v="300"/>
    <n v="1.3729348771223285E-3"/>
    <s v="WA.2378.EBA.962.301.E.524111"/>
    <s v="Non COVID"/>
    <s v="PERJALANAN DINAS"/>
    <x v="0"/>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s v="Tata Usaha"/>
    <s v="Umum"/>
    <x v="0"/>
    <s v="SEKRETARIAT BADAN RISET DAN SUMBERDAYA MANUSIA KELAUTAN DAN PERIKANAN"/>
    <n v="0"/>
    <n v="0"/>
    <n v="515818000"/>
    <n v="100"/>
    <s v="WA.2378.EBA.962.301.E.524113"/>
    <s v="Non COVID"/>
    <s v="TRANSPORT LOKAL"/>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s v="Kelembagaan dan Ketenagaan"/>
    <s v="Ketenagaan"/>
    <x v="0"/>
    <s v="SEKRETARIAT BADAN RISET DAN SUMBERDAYA MANUSIA KELAUTAN DAN PERIKANAN"/>
    <n v="3999200"/>
    <n v="99.98"/>
    <n v="800"/>
    <n v="0.02"/>
    <s v="WA.2378.EBA.962.301.F.521211"/>
    <s v="Non COVID"/>
    <s v="BELANJA BAHAN"/>
    <x v="0"/>
    <n v="0"/>
    <n v="2499500"/>
    <n v="149970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s v="Kelembagaan dan Ketenagaan"/>
    <s v="Ketenagaan"/>
    <x v="0"/>
    <s v="SEKRETARIAT BADAN RISET DAN SUMBERDAYA MANUSIA KELAUTAN DAN PERIKANAN"/>
    <n v="4297458"/>
    <n v="99.987389483480698"/>
    <n v="542"/>
    <n v="1.2610516519311306E-2"/>
    <s v="WA.2378.EBA.962.301.F.521219"/>
    <s v="Non COVID"/>
    <s v="NON OPS LAINNYA"/>
    <x v="0"/>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s v="Kelembagaan dan Ketenagaan"/>
    <s v="Ketenagaan"/>
    <x v="0"/>
    <s v="SEKRETARIAT BADAN RISET DAN SUMBERDAYA MANUSIA KELAUTAN DAN PERIKANAN"/>
    <n v="0"/>
    <n v="0"/>
    <n v="432643000"/>
    <n v="100"/>
    <s v="WA.2378.EBA.962.301.F.52215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s v="Kelembagaan dan Ketenagaan"/>
    <s v="Ketenagaan"/>
    <x v="0"/>
    <s v="SEKRETARIAT BADAN RISET DAN SUMBERDAYA MANUSIA KELAUTAN DAN PERIKANAN"/>
    <n v="0"/>
    <n v="0"/>
    <n v="0"/>
    <n v="0"/>
    <s v="WA.2378.EBA.962.301.F.522192"/>
    <s v="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s v="Kelembagaan dan Ketenagaan"/>
    <s v="Ketenagaan"/>
    <x v="0"/>
    <s v="SEKRETARIAT BADAN RISET DAN SUMBERDAYA MANUSIA KELAUTAN DAN PERIKANAN"/>
    <n v="5350700"/>
    <n v="59.065018213930898"/>
    <n v="3708300"/>
    <n v="40.934981786069102"/>
    <s v="WA.2378.EBA.962.301.F.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s v="Penyelenggaraan Pendidikan"/>
    <s v="Metode dan Kurikulum"/>
    <x v="0"/>
    <s v="SEKRETARIAT BADAN RISET DAN SUMBERDAYA MANUSIA KELAUTAN DAN PERIKANAN"/>
    <n v="12517500"/>
    <n v="99.741035856573703"/>
    <n v="32500"/>
    <n v="0.25896414342629481"/>
    <s v="WA.2378.EBA.962.301.G.521211"/>
    <s v="Non COVID"/>
    <s v="BELANJA BAHAN"/>
    <x v="0"/>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s v="Penyelenggaraan Pendidikan"/>
    <s v="Metode dan Kurikulum"/>
    <x v="0"/>
    <s v="SEKRETARIAT BADAN RISET DAN SUMBERDAYA MANUSIA KELAUTAN DAN PERIKANAN"/>
    <n v="1191418"/>
    <n v="99.951174496644285"/>
    <n v="582"/>
    <n v="4.8825503355704701E-2"/>
    <s v="WA.2378.EBA.962.301.G.521219"/>
    <s v="Non COVID"/>
    <s v="NON OPS LAINNYA"/>
    <x v="0"/>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s v="Penyelenggaraan Pendidikan"/>
    <s v="Metode dan Kurikulum"/>
    <x v="0"/>
    <s v="SEKRETARIAT BADAN RISET DAN SUMBERDAYA MANUSIA KELAUTAN DAN PERIKANAN"/>
    <n v="6000000"/>
    <n v="66.666666666666657"/>
    <n v="3000000"/>
    <n v="33.333333333333329"/>
    <s v="WA.2378.EBA.962.301.G.522151"/>
    <s v="Non COVID"/>
    <s v="BELANJA JASA"/>
    <x v="0"/>
    <n v="0"/>
    <n v="1800000"/>
    <n v="0"/>
    <n v="0"/>
    <n v="0"/>
    <n v="0"/>
    <n v="20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s v="Penyelenggaraan Pendidikan"/>
    <s v="Metode dan Kurikulum"/>
    <x v="0"/>
    <s v="SEKRETARIAT BADAN RISET DAN SUMBERDAYA MANUSIA KELAUTAN DAN PERIKANAN"/>
    <n v="60763672"/>
    <n v="99.999460206701343"/>
    <n v="328"/>
    <n v="5.3979329866368244E-4"/>
    <s v="WA.2378.EBA.962.301.G.524111"/>
    <s v="Non COVID"/>
    <s v="PERJALANAN DINAS"/>
    <x v="0"/>
    <n v="0"/>
    <n v="0"/>
    <n v="2700000"/>
    <n v="0"/>
    <n v="0"/>
    <n v="0"/>
    <n v="8114345"/>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s v="Penyelenggaraan Pendidikan"/>
    <s v="Peserta Didik dan Sarana Prasarana"/>
    <x v="0"/>
    <s v="SEKRETARIAT BADAN RISET DAN SUMBERDAYA MANUSIA KELAUTAN DAN PERIKANAN"/>
    <n v="0"/>
    <n v="0"/>
    <n v="118575000"/>
    <n v="100"/>
    <s v="WA.2378.EBA.962.301.H.521211"/>
    <s v="Non COVID"/>
    <s v="BELANJA BAHAN"/>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s v="Penyelenggaraan Pendidikan"/>
    <s v="Peserta Didik dan Sarana Prasarana"/>
    <x v="0"/>
    <s v="SEKRETARIAT BADAN RISET DAN SUMBERDAYA MANUSIA KELAUTAN DAN PERIKANAN"/>
    <n v="0"/>
    <n v="0"/>
    <n v="393200000"/>
    <n v="100"/>
    <s v="WA.2378.EBA.962.301.H.521219"/>
    <s v="Non COVID"/>
    <s v="NON OPS LAINNY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s v="Penyelenggaraan Pendidikan"/>
    <s v="Peserta Didik dan Sarana Prasarana"/>
    <x v="0"/>
    <s v="SEKRETARIAT BADAN RISET DAN SUMBERDAYA MANUSIA KELAUTAN DAN PERIKANAN"/>
    <n v="0"/>
    <n v="0"/>
    <n v="120000000"/>
    <n v="100"/>
    <s v="WA.2378.EBA.962.301.H.522141"/>
    <s v="Non COVID"/>
    <s v="BELANJA SEW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s v="Penyelenggaraan Pendidikan"/>
    <s v="Peserta Didik dan Sarana Prasarana"/>
    <x v="0"/>
    <s v="SEKRETARIAT BADAN RISET DAN SUMBERDAYA MANUSIA KELAUTAN DAN PERIKANAN"/>
    <n v="0"/>
    <n v="0"/>
    <n v="7962000"/>
    <n v="100"/>
    <s v="WA.2378.EBA.962.301.H.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800000"/>
    <n v="0"/>
    <n v="0"/>
    <n v="0"/>
    <n v="0"/>
    <s v="Pusat Pendidikan KP"/>
    <s v="Penyelenggaraan Pendidikan"/>
    <s v="Peserta Didik dan Sarana Prasarana"/>
    <x v="0"/>
    <s v="SEKRETARIAT BADAN RISET DAN SUMBERDAYA MANUSIA KELAUTAN DAN PERIKANAN"/>
    <n v="10269000"/>
    <n v="58.512820512820518"/>
    <n v="7281000"/>
    <n v="41.487179487179489"/>
    <s v="WA.2378.EBA.962.301.I.521211"/>
    <s v="Non COVID"/>
    <s v="BELANJA BAHAN"/>
    <x v="0"/>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s v="Penyelenggaraan Pendidikan"/>
    <s v="Peserta Didik dan Sarana Prasarana"/>
    <x v="0"/>
    <s v="SEKRETARIAT BADAN RISET DAN SUMBERDAYA MANUSIA KELAUTAN DAN PERIKANAN"/>
    <n v="620000"/>
    <n v="2.2422335539401832"/>
    <n v="27031000"/>
    <n v="97.757766446059819"/>
    <s v="WA.2378.EBA.962.301.I.521219"/>
    <s v="Non COVID"/>
    <s v="NON OPS LAINNYA"/>
    <x v="0"/>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16000000"/>
    <n v="0"/>
    <n v="0"/>
    <n v="0"/>
    <n v="0"/>
    <s v="Pusat Pendidikan KP"/>
    <s v="Penyelenggaraan Pendidikan"/>
    <s v="Peserta Didik dan Sarana Prasarana"/>
    <x v="0"/>
    <s v="SEKRETARIAT BADAN RISET DAN SUMBERDAYA MANUSIA KELAUTAN DAN PERIKANAN"/>
    <n v="40000000"/>
    <n v="100"/>
    <n v="0"/>
    <n v="0"/>
    <s v="WA.2378.EBA.962.301.I.522151"/>
    <s v="Non COVID"/>
    <s v="BELANJA JASA"/>
    <x v="0"/>
    <n v="0"/>
    <n v="0"/>
    <n v="0"/>
    <n v="0"/>
    <n v="0"/>
    <n v="0"/>
    <n v="140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s v="Penyelenggaraan Pendidikan"/>
    <s v="Peserta Didik dan Sarana Prasarana"/>
    <x v="0"/>
    <s v="SEKRETARIAT BADAN RISET DAN SUMBERDAYA MANUSIA KELAUTAN DAN PERIKANAN"/>
    <n v="25062000"/>
    <n v="100"/>
    <n v="0"/>
    <n v="0"/>
    <s v="WA.2378.EBA.962.301.I.524111"/>
    <s v="Non COVID"/>
    <s v="PERJALANAN DINAS"/>
    <x v="0"/>
    <n v="0"/>
    <n v="15982000"/>
    <n v="908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7434902"/>
    <n v="0"/>
    <n v="0"/>
    <n v="0"/>
    <n v="0"/>
    <s v="Pusat Pendidikan KP"/>
    <s v="Tata Usaha"/>
    <s v="Umum"/>
    <x v="0"/>
    <s v="SEKRETARIAT BADAN RISET DAN SUMBERDAYA MANUSIA KELAUTAN DAN PERIKANAN"/>
    <n v="579403906"/>
    <n v="53.836939101670666"/>
    <n v="496816094"/>
    <n v="46.163060898329341"/>
    <s v="WA.2378.EBA.994.002.GA.521111"/>
    <s v="Non COVID"/>
    <s v="KEPERLUAN PERKANTORAN"/>
    <x v="2"/>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s v="Tata Usaha"/>
    <s v="Umum"/>
    <x v="0"/>
    <s v="SEKRETARIAT BADAN RISET DAN SUMBERDAYA MANUSIA KELAUTAN DAN PERIKANAN"/>
    <n v="69183000"/>
    <n v="38.831948810058378"/>
    <n v="108977000"/>
    <n v="61.168051189941629"/>
    <s v="WA.2378.EBA.994.002.GA.521811"/>
    <s v="Non COVID"/>
    <s v="PERSEDIAAN"/>
    <x v="2"/>
    <n v="13175000"/>
    <n v="19299000"/>
    <n v="0"/>
    <n v="8952000"/>
    <n v="1680000"/>
    <n v="21602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250000"/>
    <n v="0"/>
    <n v="0"/>
    <n v="0"/>
    <n v="0"/>
    <s v="Pusat Pendidikan KP"/>
    <s v="Tata Usaha"/>
    <s v="Umum"/>
    <x v="0"/>
    <s v="SEKRETARIAT BADAN RISET DAN SUMBERDAYA MANUSIA KELAUTAN DAN PERIKANAN"/>
    <n v="2777050"/>
    <n v="9.2568333333333328"/>
    <n v="27222950"/>
    <n v="90.743166666666667"/>
    <s v="WA.2378.EBA.994.002.GB.521114"/>
    <s v="Non COVID"/>
    <s v="PENGIRIMAN SURAT DINAS POS PUSAT"/>
    <x v="2"/>
    <n v="295050"/>
    <n v="0"/>
    <n v="59000"/>
    <n v="603000"/>
    <n v="276000"/>
    <n v="1053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s v="Tata Usaha"/>
    <s v="Umum"/>
    <x v="0"/>
    <s v="SEKRETARIAT BADAN RISET DAN SUMBERDAYA MANUSIA KELAUTAN DAN PERIKANAN"/>
    <n v="79700000"/>
    <n v="67.058190017837319"/>
    <n v="39152000"/>
    <n v="32.941809982162688"/>
    <s v="WA.2378.EBA.994.002.GB.522141"/>
    <s v="Non COVID"/>
    <s v="BELANJA SEWA"/>
    <x v="2"/>
    <n v="0"/>
    <n v="4950000"/>
    <n v="0"/>
    <n v="9900000"/>
    <n v="0"/>
    <n v="4950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40992300"/>
    <n v="0"/>
    <n v="0"/>
    <n v="0"/>
    <n v="0"/>
    <s v="Pusat Pendidikan KP"/>
    <s v="Tata Usaha"/>
    <s v="Umum"/>
    <x v="0"/>
    <s v="SEKRETARIAT BADAN RISET DAN SUMBERDAYA MANUSIA KELAUTAN DAN PERIKANAN"/>
    <n v="176897560"/>
    <n v="35.589489990946582"/>
    <n v="320152440"/>
    <n v="64.410510009053411"/>
    <s v="WA.2378.EBA.994.002.GC.523121"/>
    <s v="Non COVID"/>
    <s v="BELANJA PEMELIHARAAN"/>
    <x v="2"/>
    <n v="25004200"/>
    <n v="32727500"/>
    <n v="1859700"/>
    <n v="7448700"/>
    <n v="6968000"/>
    <n v="1186734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s v="Tata Usaha"/>
    <s v="Umum"/>
    <x v="0"/>
    <s v="SEKRETARIAT BADAN RISET DAN SUMBERDAYA MANUSIA KELAUTAN DAN PERIKANAN"/>
    <n v="12000000"/>
    <n v="33.333333333333329"/>
    <n v="24000000"/>
    <n v="66.666666666666657"/>
    <s v="WA.2378.EBA.994.002.GC.523199"/>
    <s v="Non COVID"/>
    <s v="BELANJA PEMELIHARAAN"/>
    <x v="2"/>
    <n v="0"/>
    <n v="6000000"/>
    <n v="0"/>
    <n v="0"/>
    <n v="3000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s v="Tata Usaha"/>
    <s v="Umum"/>
    <x v="0"/>
    <s v="SEKRETARIAT BADAN RISET DAN SUMBERDAYA MANUSIA KELAUTAN DAN PERIKANAN"/>
    <n v="44410000"/>
    <n v="43.963332541379586"/>
    <n v="56606000"/>
    <n v="56.036667458620414"/>
    <s v="WA.2378.EBA.994.002.GD.521111"/>
    <s v="Non COVID"/>
    <s v="KEPERLUAN PERKANTORAN"/>
    <x v="2"/>
    <n v="0"/>
    <n v="0"/>
    <n v="0"/>
    <n v="0"/>
    <n v="44410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s v="Tata Usaha"/>
    <s v="Umum"/>
    <x v="0"/>
    <s v="SEKRETARIAT BADAN RISET DAN SUMBERDAYA MANUSIA KELAUTAN DAN PERIKANAN"/>
    <n v="28368000"/>
    <n v="48.608636052090468"/>
    <n v="29992000"/>
    <n v="51.391363947909532"/>
    <s v="WA.2378.EBA.994.002.GD.521115"/>
    <s v="Non COVID"/>
    <s v="HONOR OPERASIONAL SATKER"/>
    <x v="2"/>
    <n v="0"/>
    <n v="9456000"/>
    <n v="0"/>
    <n v="0"/>
    <n v="0"/>
    <n v="4728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s v="Tata Usaha"/>
    <s v="Umum"/>
    <x v="0"/>
    <s v="SEKRETARIAT BADAN RISET DAN SUMBERDAYA MANUSIA KELAUTAN DAN PERIKANAN"/>
    <n v="0"/>
    <n v="0"/>
    <n v="45000000"/>
    <n v="100"/>
    <s v="WA.2378.EBA.994.002.GE.521111"/>
    <s v="Non COVID"/>
    <s v="KEPERLUAN PERKANTORAN"/>
    <x v="2"/>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s v="Tata Usaha"/>
    <s v="Umum"/>
    <x v="0"/>
    <s v="SEKRETARIAT BADAN RISET DAN SUMBERDAYA MANUSIA KELAUTAN DAN PERIKANAN"/>
    <n v="0"/>
    <n v="0"/>
    <n v="26000000"/>
    <n v="100"/>
    <s v="WA.2378.EBA.994.002.GE.521811"/>
    <s v="Non COVID"/>
    <s v="PERSEDIAAN"/>
    <x v="2"/>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s v="Tata Usaha"/>
    <s v="Umum"/>
    <x v="0"/>
    <s v="SEKRETARIAT BADAN RISET DAN SUMBERDAYA MANUSIA KELAUTAN DAN PERIKANAN"/>
    <n v="0"/>
    <n v="0"/>
    <n v="29000000"/>
    <n v="100"/>
    <s v="WA.2378.EBA.994.002.GE.523121"/>
    <s v="Non COVID"/>
    <s v="BELANJA PEMELIHARAAN"/>
    <x v="2"/>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s v="Tata Usaha"/>
    <s v="Umum"/>
    <x v="1"/>
    <s v="SEKRETARIAT BADAN RISET DAN SUMBERDAYA MANUSIA KELAUTAN DAN PERIKANAN"/>
    <n v="540000000"/>
    <n v="100"/>
    <n v="0"/>
    <n v="0"/>
    <s v="WA.2378.EBB.951.301.A.532111"/>
    <s v="Non COVID"/>
    <s v="MODAL"/>
    <x v="1"/>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s v="Perencanaan dan Evaluasi"/>
    <s v="Perencanaan"/>
    <x v="0"/>
    <s v="SEKRETARIAT BADAN RISET DAN SUMBERDAYA MANUSIA KELAUTAN DAN PERIKANAN"/>
    <n v="4448550"/>
    <n v="74.142499999999998"/>
    <n v="1551450"/>
    <n v="25.857500000000002"/>
    <s v="WA.2378.EBD.952.301.A.521211"/>
    <s v="Non COVID"/>
    <s v="BELANJA BAHAN"/>
    <x v="0"/>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173434"/>
    <n v="0"/>
    <n v="0"/>
    <n v="0"/>
    <n v="0"/>
    <s v="Pusat Pendidikan KP"/>
    <s v="Perencanaan dan Evaluasi"/>
    <s v="Perencanaan"/>
    <x v="0"/>
    <s v="SEKRETARIAT BADAN RISET DAN SUMBERDAYA MANUSIA KELAUTAN DAN PERIKANAN"/>
    <n v="876329"/>
    <n v="87.632900000000006"/>
    <n v="123671"/>
    <n v="12.367100000000001"/>
    <s v="WA.2378.EBD.952.301.A.521219"/>
    <s v="Non COVID"/>
    <s v="NON OPS LAINNYA"/>
    <x v="0"/>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s v="Perencanaan dan Evaluasi"/>
    <s v="Perencanaan"/>
    <x v="0"/>
    <s v="SEKRETARIAT BADAN RISET DAN SUMBERDAYA MANUSIA KELAUTAN DAN PERIKANAN"/>
    <n v="6344000"/>
    <n v="63.44"/>
    <n v="3656000"/>
    <n v="36.559999999999995"/>
    <s v="WA.2378.EBD.952.301.A.521811"/>
    <s v="Non COVID"/>
    <s v="PERSEDIAAN"/>
    <x v="0"/>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s v="Perencanaan dan Evaluasi"/>
    <s v="Perencanaan"/>
    <x v="0"/>
    <s v="SEKRETARIAT BADAN RISET DAN SUMBERDAYA MANUSIA KELAUTAN DAN PERIKANAN"/>
    <n v="5163500"/>
    <n v="99.990317583268791"/>
    <n v="500"/>
    <n v="9.6824167312161129E-3"/>
    <s v="WA.2378.EBD.952.301.A.524111"/>
    <s v="Non COVID"/>
    <s v="PERJALANAN DINAS"/>
    <x v="0"/>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s v="Perencanaan dan Evaluasi"/>
    <s v="Perencanaan"/>
    <x v="0"/>
    <s v="SEKRETARIAT BADAN RISET DAN SUMBERDAYA MANUSIA KELAUTAN DAN PERIKANAN"/>
    <n v="7434850"/>
    <n v="61.95708333333333"/>
    <n v="4565150"/>
    <n v="38.042916666666663"/>
    <s v="WA.2378.EBD.952.301.B.521211"/>
    <s v="Non COVID"/>
    <s v="BELANJA BAHAN"/>
    <x v="0"/>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s v="Perencanaan dan Evaluasi"/>
    <s v="Perencanaan"/>
    <x v="0"/>
    <s v="SEKRETARIAT BADAN RISET DAN SUMBERDAYA MANUSIA KELAUTAN DAN PERIKANAN"/>
    <n v="358831"/>
    <n v="35.883099999999999"/>
    <n v="641169"/>
    <n v="64.116900000000001"/>
    <s v="WA.2378.EBD.952.301.B.521219"/>
    <s v="Non COVID"/>
    <s v="NON OPS LAINNY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s v="Perencanaan dan Evaluasi"/>
    <s v="Perencanaan"/>
    <x v="0"/>
    <s v="SEKRETARIAT BADAN RISET DAN SUMBERDAYA MANUSIA KELAUTAN DAN PERIKANAN"/>
    <n v="12648000"/>
    <n v="63.239999999999995"/>
    <n v="7352000"/>
    <n v="36.76"/>
    <s v="WA.2378.EBD.952.301.B.521811"/>
    <s v="Non COVID"/>
    <s v="PERSEDIAAN"/>
    <x v="0"/>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D.952.301.B.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2413000"/>
    <n v="0"/>
    <n v="0"/>
    <n v="0"/>
    <n v="0"/>
    <s v="Pusat Pendidikan KP"/>
    <s v="Perencanaan dan Evaluasi"/>
    <s v="Perencanaan"/>
    <x v="0"/>
    <s v="SEKRETARIAT BADAN RISET DAN SUMBERDAYA MANUSIA KELAUTAN DAN PERIKANAN"/>
    <n v="19577850"/>
    <n v="43.506333333333338"/>
    <n v="25422150"/>
    <n v="56.493666666666662"/>
    <s v="WA.2378.EBD.952.301.B.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s v="Perencanaan dan Evaluasi"/>
    <s v="Perencanaan"/>
    <x v="0"/>
    <s v="SEKRETARIAT BADAN RISET DAN SUMBERDAYA MANUSIA KELAUTAN DAN PERIKANAN"/>
    <n v="19309350"/>
    <n v="91.949285714285708"/>
    <n v="1690650"/>
    <n v="8.0507142857142853"/>
    <s v="WA.2378.EBD.952.301.C.521211"/>
    <s v="Non COVID"/>
    <s v="BELANJA BAHAN"/>
    <x v="0"/>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s v="Perencanaan dan Evaluasi"/>
    <s v="Perencanaan"/>
    <x v="0"/>
    <s v="SEKRETARIAT BADAN RISET DAN SUMBERDAYA MANUSIA KELAUTAN DAN PERIKANAN"/>
    <n v="11275750"/>
    <n v="64.432857142857145"/>
    <n v="6224250"/>
    <n v="35.567142857142855"/>
    <s v="WA.2378.EBD.952.301.C.521811"/>
    <s v="Non COVID"/>
    <s v="PERSEDIAAN"/>
    <x v="0"/>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D.952.301.C.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s v="Perencanaan dan Evaluasi"/>
    <s v="Perencanaan"/>
    <x v="0"/>
    <s v="SEKRETARIAT BADAN RISET DAN SUMBERDAYA MANUSIA KELAUTAN DAN PERIKANAN"/>
    <n v="41907800"/>
    <n v="99.999522764150043"/>
    <n v="200"/>
    <n v="4.7723584995704876E-4"/>
    <s v="WA.2378.EBD.952.301.C.524111"/>
    <s v="Non COVID"/>
    <s v="PERJALANAN DINAS"/>
    <x v="0"/>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s v="Perencanaan dan Evaluasi"/>
    <s v="Evaluasi"/>
    <x v="0"/>
    <s v="SEKRETARIAT BADAN RISET DAN SUMBERDAYA MANUSIA KELAUTAN DAN PERIKANAN"/>
    <n v="10196500"/>
    <n v="43.855913978494627"/>
    <n v="13053500"/>
    <n v="56.14408602150538"/>
    <s v="WA.2378.EBD.953.301.A.521211"/>
    <s v="Non COVID"/>
    <s v="BELANJA BAHAN"/>
    <x v="0"/>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s v="Perencanaan dan Evaluasi"/>
    <s v="Evaluasi"/>
    <x v="0"/>
    <s v="SEKRETARIAT BADAN RISET DAN SUMBERDAYA MANUSIA KELAUTAN DAN PERIKANAN"/>
    <n v="499528"/>
    <n v="24.976400000000002"/>
    <n v="1500472"/>
    <n v="75.023600000000002"/>
    <s v="WA.2378.EBD.953.301.A.521219"/>
    <s v="Non COVID"/>
    <s v="NON OPS LAINNYA"/>
    <x v="0"/>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s v="Perencanaan dan Evaluasi"/>
    <s v="Evaluasi"/>
    <x v="0"/>
    <s v="SEKRETARIAT BADAN RISET DAN SUMBERDAYA MANUSIA KELAUTAN DAN PERIKANAN"/>
    <n v="0"/>
    <n v="0"/>
    <n v="18539000"/>
    <n v="100"/>
    <s v="WA.2378.EBD.953.301.A.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s v="Perencanaan dan Evaluasi"/>
    <s v="Evaluasi"/>
    <x v="0"/>
    <s v="SEKRETARIAT BADAN RISET DAN SUMBERDAYA MANUSIA KELAUTAN DAN PERIKANAN"/>
    <n v="9519000"/>
    <n v="70.380776340110913"/>
    <n v="4006000"/>
    <n v="29.619223659889094"/>
    <s v="WA.2378.EBD.953.301.B.521211"/>
    <s v="Non COVID"/>
    <s v="BELANJA BAHAN"/>
    <x v="0"/>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s v="Perencanaan dan Evaluasi"/>
    <s v="Evaluasi"/>
    <x v="0"/>
    <s v="SEKRETARIAT BADAN RISET DAN SUMBERDAYA MANUSIA KELAUTAN DAN PERIKANAN"/>
    <n v="913673"/>
    <n v="45.68365"/>
    <n v="1086327"/>
    <n v="54.31635"/>
    <s v="WA.2378.EBD.953.301.B.521219"/>
    <s v="Non COVID"/>
    <s v="NON OPS LAINNYA"/>
    <x v="0"/>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s v="Perencanaan dan Evaluasi"/>
    <s v="Evaluasi"/>
    <x v="0"/>
    <s v="SEKRETARIAT BADAN RISET DAN SUMBERDAYA MANUSIA KELAUTAN DAN PERIKANAN"/>
    <n v="0"/>
    <n v="0"/>
    <n v="0"/>
    <n v="0"/>
    <s v="WA.2378.EBD.953.301.B.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s v="Perencanaan dan Evaluasi"/>
    <s v="Evaluasi"/>
    <x v="0"/>
    <s v="SEKRETARIAT BADAN RISET DAN SUMBERDAYA MANUSIA KELAUTAN DAN PERIKANAN"/>
    <n v="60414255"/>
    <n v="99.99876686253414"/>
    <n v="745"/>
    <n v="1.2331374658611273E-3"/>
    <s v="WA.2378.EBD.953.301.B.524111"/>
    <s v="Non COVID"/>
    <s v="PERJALANAN DINAS"/>
    <x v="0"/>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s v="Perencanaan dan Evaluasi"/>
    <s v="Evaluasi"/>
    <x v="0"/>
    <s v="SEKRETARIAT BADAN RISET DAN SUMBERDAYA MANUSIA KELAUTAN DAN PERIKANAN"/>
    <n v="0"/>
    <n v="0"/>
    <n v="0"/>
    <n v="0"/>
    <s v="WA.2378.EBD.953.301.B.524113"/>
    <s v="Non COVID"/>
    <s v="TRANSPORT LOKAL"/>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s v="Perencanaan dan Evaluasi"/>
    <s v="Evaluasi"/>
    <x v="0"/>
    <s v="SEKRETARIAT BADAN RISET DAN SUMBERDAYA MANUSIA KELAUTAN DAN PERIKANAN"/>
    <n v="11269000"/>
    <n v="62.955307262569839"/>
    <n v="6631000"/>
    <n v="37.044692737430168"/>
    <s v="WA.2378.EBD.953.302.A.521211"/>
    <s v="Non COVID"/>
    <s v="BELANJA BAHAN"/>
    <x v="0"/>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302663"/>
    <n v="0"/>
    <n v="0"/>
    <n v="0"/>
    <n v="0"/>
    <s v="Pusat Pendidikan KP"/>
    <s v="Perencanaan dan Evaluasi"/>
    <s v="Evaluasi"/>
    <x v="0"/>
    <s v="SEKRETARIAT BADAN RISET DAN SUMBERDAYA MANUSIA KELAUTAN DAN PERIKANAN"/>
    <n v="302663"/>
    <n v="15.133150000000001"/>
    <n v="1697337"/>
    <n v="84.866849999999999"/>
    <s v="WA.2378.EBD.953.302.A.521219"/>
    <s v="Non COVID"/>
    <s v="NON OPS LAINNYA"/>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s v="Perencanaan dan Evaluasi"/>
    <s v="Evaluasi"/>
    <x v="0"/>
    <s v="SEKRETARIAT BADAN RISET DAN SUMBERDAYA MANUSIA KELAUTAN DAN PERIKANAN"/>
    <n v="29579000"/>
    <n v="98.044350160761056"/>
    <n v="590000"/>
    <n v="1.9556498392389539"/>
    <s v="WA.2378.EBD.953.302.A.524111"/>
    <s v="Non COVID"/>
    <s v="PERJALANAN DINAS"/>
    <x v="0"/>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s v="Tata Usaha"/>
    <s v="Keuangan"/>
    <x v="0"/>
    <s v="SEKRETARIAT BADAN RISET DAN SUMBERDAYA MANUSIA KELAUTAN DAN PERIKANAN"/>
    <n v="16821000"/>
    <n v="91.418478260869563"/>
    <n v="1579000"/>
    <n v="8.5815217391304355"/>
    <s v="WA.2378.EBD.955.301.A.521211"/>
    <s v="Non COVID"/>
    <s v="BELANJA BAHAN"/>
    <x v="0"/>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s v="Tata Usaha"/>
    <s v="Keuangan"/>
    <x v="0"/>
    <s v="SEKRETARIAT BADAN RISET DAN SUMBERDAYA MANUSIA KELAUTAN DAN PERIKANAN"/>
    <n v="8701552"/>
    <n v="99.994851758216498"/>
    <n v="448"/>
    <n v="5.1482417834980464E-3"/>
    <s v="WA.2378.EBD.955.301.A.524111"/>
    <s v="Non COVID"/>
    <s v="PERJALANAN DINAS"/>
    <x v="0"/>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2420000"/>
    <n v="0"/>
    <n v="0"/>
    <n v="0"/>
    <n v="0"/>
    <s v="Pusat Pendidikan KP"/>
    <s v="Tata Usaha"/>
    <s v="Keuangan"/>
    <x v="0"/>
    <s v="SEKRETARIAT BADAN RISET DAN SUMBERDAYA MANUSIA KELAUTAN DAN PERIKANAN"/>
    <n v="7364000"/>
    <n v="98.186666666666667"/>
    <n v="136000"/>
    <n v="1.8133333333333335"/>
    <s v="WA.2378.EBD.955.301.B.521211"/>
    <s v="Non COVID"/>
    <s v="BELANJA BAHAN"/>
    <x v="0"/>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s v="Tata Usaha"/>
    <s v="Keuangan"/>
    <x v="0"/>
    <s v="SEKRETARIAT BADAN RISET DAN SUMBERDAYA MANUSIA KELAUTAN DAN PERIKANAN"/>
    <n v="2850000"/>
    <n v="53.271028037383175"/>
    <n v="2500000"/>
    <n v="46.728971962616825"/>
    <s v="WA.2378.EBD.955.301.B.524111"/>
    <s v="Non COVID"/>
    <s v="PERJALANAN DINAS"/>
    <x v="0"/>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s v="Tata Usaha"/>
    <s v="Keuangan"/>
    <x v="0"/>
    <s v="SEKRETARIAT BADAN RISET DAN SUMBERDAYA MANUSIA KELAUTAN DAN PERIKANAN"/>
    <n v="7467500"/>
    <n v="99.566666666666663"/>
    <n v="32500"/>
    <n v="0.43333333333333329"/>
    <s v="WA.2378.EBD.955.301.C.521211"/>
    <s v="Non COVID"/>
    <s v="BELANJA BAHAN"/>
    <x v="0"/>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s v="Tata Usaha"/>
    <s v="Keuangan"/>
    <x v="0"/>
    <s v="SEKRETARIAT BADAN RISET DAN SUMBERDAYA MANUSIA KELAUTAN DAN PERIKANAN"/>
    <n v="0"/>
    <n v="0"/>
    <n v="0"/>
    <n v="0"/>
    <s v="WA.2378.EBD.955.301.C.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s v="Tata Usaha"/>
    <s v="Keuangan"/>
    <x v="0"/>
    <s v="SEKRETARIAT BADAN RISET DAN SUMBERDAYA MANUSIA KELAUTAN DAN PERIKANAN"/>
    <n v="12465000"/>
    <n v="89.035714285714278"/>
    <n v="1535000"/>
    <n v="10.964285714285714"/>
    <s v="WA.2378.EBD.955.301.D.521211"/>
    <s v="Non COVID"/>
    <s v="BELANJA BAHAN"/>
    <x v="0"/>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s v="Tata Usaha"/>
    <s v="Keuangan"/>
    <x v="0"/>
    <s v="SEKRETARIAT BADAN RISET DAN SUMBERDAYA MANUSIA KELAUTAN DAN PERIKANAN"/>
    <n v="0"/>
    <n v="0"/>
    <n v="0"/>
    <n v="0"/>
    <s v="WA.2378.EBD.955.301.D.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s v="Tata Usaha"/>
    <s v="Keuangan"/>
    <x v="0"/>
    <s v="SEKRETARIAT BADAN RISET DAN SUMBERDAYA MANUSIA KELAUTAN DAN PERIKANAN"/>
    <n v="20634468"/>
    <n v="99.997421856069778"/>
    <n v="532"/>
    <n v="2.578143930215653E-3"/>
    <s v="WA.2378.EBD.955.301.D.524111"/>
    <s v="Non COVID"/>
    <s v="PERJALANAN DINAS"/>
    <x v="0"/>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s v="Tata Usaha"/>
    <s v="Keuangan"/>
    <x v="0"/>
    <s v="SEKRETARIAT BADAN RISET DAN SUMBERDAYA MANUSIA KELAUTAN DAN PERIKANAN"/>
    <n v="4944000"/>
    <n v="65.92"/>
    <n v="2556000"/>
    <n v="34.08"/>
    <s v="WA.2378.EBD.955.301.E.521211"/>
    <s v="Non COVID"/>
    <s v="BELANJA BAHAN"/>
    <x v="0"/>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s v="Tata Usaha"/>
    <s v="Keuangan"/>
    <x v="0"/>
    <s v="SEKRETARIAT BADAN RISET DAN SUMBERDAYA MANUSIA KELAUTAN DAN PERIKANAN"/>
    <n v="0"/>
    <n v="0"/>
    <n v="0"/>
    <n v="0"/>
    <s v="WA.2378.EBD.955.301.E.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s v="Tata Usaha"/>
    <s v="Keuangan"/>
    <x v="0"/>
    <s v="SEKRETARIAT BADAN RISET DAN SUMBERDAYA MANUSIA KELAUTAN DAN PERIKANAN"/>
    <n v="575000"/>
    <n v="11.979166666666668"/>
    <n v="4225000"/>
    <n v="88.020833333333343"/>
    <s v="WA.2378.EBD.955.301.F.521211"/>
    <s v="Non COVID"/>
    <s v="BELANJA BAHAN"/>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s v="Tata Usaha"/>
    <s v="Keuangan"/>
    <x v="0"/>
    <s v="SEKRETARIAT BADAN RISET DAN SUMBERDAYA MANUSIA KELAUTAN DAN PERIKANAN"/>
    <n v="14900000"/>
    <n v="54.181818181818187"/>
    <n v="12600000"/>
    <n v="45.81818181818182"/>
    <s v="WA.2378.EBD.955.301.F.521811"/>
    <s v="Non COVID"/>
    <s v="PERSEDIAAN"/>
    <x v="0"/>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s v="Tata Usaha"/>
    <s v="Keuangan"/>
    <x v="0"/>
    <s v="SEKRETARIAT BADAN RISET DAN SUMBERDAYA MANUSIA KELAUTAN DAN PERIKANAN"/>
    <n v="58380000"/>
    <n v="76.782449725776971"/>
    <n v="17653000"/>
    <n v="23.217550274223033"/>
    <s v="WA.2378.EBD.955.301.F.524111"/>
    <s v="Non COVID"/>
    <s v="PERJALANAN DINAS"/>
    <x v="0"/>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s v="Perencanaan dan Evaluasi"/>
    <s v="Perencanaan"/>
    <x v="0"/>
    <s v="SEKRETARIAT BADAN RISET DAN SUMBERDAYA MANUSIA KELAUTAN DAN PERIKANAN"/>
    <n v="0"/>
    <n v="0"/>
    <n v="99100000"/>
    <n v="100"/>
    <s v="WA.4345.EBC.996.301.A.521211"/>
    <s v="Non COVID"/>
    <s v="BELANJA BAHAN"/>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s v="Perencanaan dan Evaluasi"/>
    <s v="Perencanaan"/>
    <x v="0"/>
    <s v="SEKRETARIAT BADAN RISET DAN SUMBERDAYA MANUSIA KELAUTAN DAN PERIKANAN"/>
    <n v="0"/>
    <n v="0"/>
    <n v="1333864000"/>
    <n v="100"/>
    <s v="WA.4345.EBC.996.301.A.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s v="Perencanaan dan Evaluasi"/>
    <s v="Perencanaan"/>
    <x v="0"/>
    <s v="SEKRETARIAT BADAN RISET DAN SUMBERDAYA MANUSIA KELAUTAN DAN PERIKANAN"/>
    <n v="9690000"/>
    <n v="38.76"/>
    <n v="15310000"/>
    <n v="61.240000000000009"/>
    <s v="WA.4345.EBC.996.301.A.521811"/>
    <s v="Non COVID"/>
    <s v="PERSEDIAAN"/>
    <x v="0"/>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s v="Perencanaan dan Evaluasi"/>
    <s v="Perencanaan"/>
    <x v="0"/>
    <s v="SEKRETARIAT BADAN RISET DAN SUMBERDAYA MANUSIA KELAUTAN DAN PERIKANAN"/>
    <n v="0"/>
    <n v="0"/>
    <n v="15000000"/>
    <n v="100"/>
    <s v="WA.4345.EBC.996.301.A.52215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s v="Perencanaan dan Evaluasi"/>
    <s v="Perencanaan"/>
    <x v="0"/>
    <s v="SEKRETARIAT BADAN RISET DAN SUMBERDAYA MANUSIA KELAUTAN DAN PERIKANAN"/>
    <n v="0"/>
    <n v="0"/>
    <n v="102600000"/>
    <n v="100"/>
    <s v="WA.4345.EBC.996.301.A.52219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s v="Perencanaan dan Evaluasi"/>
    <s v="Perencanaan"/>
    <x v="0"/>
    <s v="SEKRETARIAT BADAN RISET DAN SUMBERDAYA MANUSIA KELAUTAN DAN PERIKANAN"/>
    <n v="20535000"/>
    <n v="14.880434782608695"/>
    <n v="117465000"/>
    <n v="85.119565217391298"/>
    <s v="WA.4345.EBC.996.301.A.524111"/>
    <s v="Non COVID"/>
    <s v="PERJALANAN DINAS"/>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4920050"/>
    <n v="0"/>
    <n v="0"/>
    <n v="0"/>
    <n v="0"/>
    <s v="Pusat Pendidikan KP"/>
    <s v="Perencanaan dan Evaluasi"/>
    <s v="Perencanaan"/>
    <x v="0"/>
    <s v="SEKRETARIAT BADAN RISET DAN SUMBERDAYA MANUSIA KELAUTAN DAN PERIKANAN"/>
    <n v="7837550"/>
    <n v="31.350200000000001"/>
    <n v="17162450"/>
    <n v="68.649799999999999"/>
    <s v="WA.4345.EBC.996.301.B.521211"/>
    <s v="Non COVID"/>
    <s v="BELANJA BAHAN"/>
    <x v="0"/>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17850000"/>
    <n v="0"/>
    <n v="0"/>
    <n v="0"/>
    <n v="0"/>
    <s v="Pusat Pendidikan KP"/>
    <s v="Perencanaan dan Evaluasi"/>
    <s v="Perencanaan"/>
    <x v="0"/>
    <s v="SEKRETARIAT BADAN RISET DAN SUMBERDAYA MANUSIA KELAUTAN DAN PERIKANAN"/>
    <n v="4825410092"/>
    <n v="76.488245064946085"/>
    <n v="1483284908"/>
    <n v="23.511754935053922"/>
    <s v="WA.4345.EBC.996.301.B.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s v="Perencanaan dan Evaluasi"/>
    <s v="Perencanaan"/>
    <x v="0"/>
    <s v="SEKRETARIAT BADAN RISET DAN SUMBERDAYA MANUSIA KELAUTAN DAN PERIKANAN"/>
    <n v="9678000"/>
    <n v="32.26"/>
    <n v="20322000"/>
    <n v="67.739999999999995"/>
    <s v="WA.4345.EBC.996.301.B.521811"/>
    <s v="Non COVID"/>
    <s v="PERSEDIAAN"/>
    <x v="0"/>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s v="Perencanaan dan Evaluasi"/>
    <s v="Perencanaan"/>
    <x v="0"/>
    <s v="SEKRETARIAT BADAN RISET DAN SUMBERDAYA MANUSIA KELAUTAN DAN PERIKANAN"/>
    <n v="0"/>
    <n v="0"/>
    <n v="6000000"/>
    <n v="100"/>
    <s v="WA.4345.EBC.996.301.B.52215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5906200"/>
    <n v="0"/>
    <n v="0"/>
    <n v="0"/>
    <n v="0"/>
    <s v="Pusat Pendidikan KP"/>
    <s v="Perencanaan dan Evaluasi"/>
    <s v="Perencanaan"/>
    <x v="0"/>
    <s v="SEKRETARIAT BADAN RISET DAN SUMBERDAYA MANUSIA KELAUTAN DAN PERIKANAN"/>
    <n v="61907706"/>
    <n v="28.660975000000001"/>
    <n v="154092294"/>
    <n v="71.339025000000007"/>
    <s v="WA.4345.EBC.996.301.B.524111"/>
    <s v="Non COVID"/>
    <s v="PERJALANAN DINAS"/>
    <x v="0"/>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s v="Perencanaan dan Evaluasi"/>
    <s v="Perencanaan"/>
    <x v="0"/>
    <s v="SEKRETARIAT BADAN RISET DAN SUMBERDAYA MANUSIA KELAUTAN DAN PERIKANAN"/>
    <n v="0"/>
    <n v="0"/>
    <n v="12000000"/>
    <n v="100"/>
    <s v="WA.4345.EBC.996.301.C.521211"/>
    <s v="Non COVID"/>
    <s v="BELANJA BAHAN"/>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s v="Perencanaan dan Evaluasi"/>
    <s v="Perencanaan"/>
    <x v="0"/>
    <s v="SEKRETARIAT BADAN RISET DAN SUMBERDAYA MANUSIA KELAUTAN DAN PERIKANAN"/>
    <n v="0"/>
    <n v="0"/>
    <n v="20000000"/>
    <n v="100"/>
    <s v="WA.4345.EBC.996.301.C.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s v="Perencanaan dan Evaluasi"/>
    <s v="Perencanaan"/>
    <x v="0"/>
    <s v="SEKRETARIAT BADAN RISET DAN SUMBERDAYA MANUSIA KELAUTAN DAN PERIKANAN"/>
    <n v="0"/>
    <n v="0"/>
    <n v="142041000"/>
    <n v="100"/>
    <s v="WA.4345.EBC.996.301.C.524211"/>
    <s v="Non COVID"/>
    <s v="PERJALANAN DINAS"/>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s v="Perencanaan dan Evaluasi"/>
    <s v="Perencanaan"/>
    <x v="0"/>
    <s v="SEKRETARIAT BADAN RISET DAN SUMBERDAYA MANUSIA KELAUTAN DAN PERIKANAN"/>
    <n v="0"/>
    <n v="0"/>
    <n v="0"/>
    <n v="0"/>
    <s v="WA.4345.EBC.996.301.D.522192"/>
    <s v="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s v="Perencanaan dan Evaluasi"/>
    <s v="Perencanaan"/>
    <x v="0"/>
    <s v="SEKRETARIAT BADAN RISET DAN SUMBERDAYA MANUSIA KELAUTAN DAN PERIKANAN"/>
    <n v="5920400"/>
    <n v="23.6816"/>
    <n v="19079600"/>
    <n v="76.318399999999997"/>
    <s v="WA.4345.EBC.996.302.A.521211"/>
    <s v="Non COVID"/>
    <s v="BELANJA BAHAN"/>
    <x v="0"/>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s v="Perencanaan dan Evaluasi"/>
    <s v="Perencanaan"/>
    <x v="0"/>
    <s v="SEKRETARIAT BADAN RISET DAN SUMBERDAYA MANUSIA KELAUTAN DAN PERIKANAN"/>
    <n v="8220000"/>
    <n v="27.400000000000002"/>
    <n v="21780000"/>
    <n v="72.599999999999994"/>
    <s v="WA.4345.EBC.996.302.A.521811"/>
    <s v="Non COVID"/>
    <s v="PERSEDIAAN"/>
    <x v="0"/>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s v="Perencanaan dan Evaluasi"/>
    <s v="Perencanaan"/>
    <x v="0"/>
    <s v="SEKRETARIAT BADAN RISET DAN SUMBERDAYA MANUSIA KELAUTAN DAN PERIKANAN"/>
    <n v="0"/>
    <n v="0"/>
    <n v="54200000"/>
    <n v="100"/>
    <s v="WA.4345.EBC.996.302.A.524111"/>
    <s v="Non COVID"/>
    <s v="PERJALANAN DINAS"/>
    <x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s v="Tata Usaha"/>
    <s v="Umum"/>
    <x v="1"/>
    <s v="SEKRETARIAT BADAN RISET DAN SUMBERDAYA MANUSIA KELAUTAN DAN PERIKANAN"/>
    <n v="0"/>
    <n v="0"/>
    <n v="800000"/>
    <n v="100"/>
    <s v="WA.2378.CAN.001.301.B.532111"/>
    <s v="Non COVID"/>
    <s v="MODAL"/>
    <x v="1"/>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s v="Perencanaan dan Evaluasi"/>
    <s v="Perencanaan"/>
    <x v="0"/>
    <s v="SEKRETARIAT BADAN RISET DAN SUMBERDAYA MANUSIA KELAUTAN DAN PERIKANAN"/>
    <n v="0"/>
    <n v="0"/>
    <n v="40434000"/>
    <n v="100"/>
    <s v="WA.2378.EBA.958.311.B.521219"/>
    <s v="Non COVID"/>
    <s v="NON OPS LAINNYA"/>
    <x v="0"/>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s v="Penyelenggaraan Pendidikan"/>
    <s v="Metode dan Kurikulum"/>
    <x v="0"/>
    <s v="SEKRETARIAT BADAN RISET DAN SUMBERDAYA MANUSIA KELAUTAN DAN PERIKANAN"/>
    <n v="0"/>
    <n v="0"/>
    <n v="266494000"/>
    <n v="100"/>
    <s v="WA.2378.EBA.962.301.G.521811"/>
    <s v="Non COVID"/>
    <s v="PERSEDIAAN"/>
    <x v="0"/>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s v="Tata Usaha"/>
    <s v="Umum"/>
    <x v="1"/>
    <s v="SEKRETARIAT BADAN RISET DAN SUMBERDAYA MANUSIA KELAUTAN DAN PERIKANAN"/>
    <n v="0"/>
    <n v="0"/>
    <n v="934000"/>
    <n v="100"/>
    <s v="WA.2378.EBB.951.301.B.532111"/>
    <s v="Non COVID"/>
    <s v="MODAL"/>
    <x v="1"/>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s v="Perencanaan dan Evaluasi"/>
    <s v="Perencanaan"/>
    <x v="0"/>
    <s v="SEKRETARIAT BADAN RISET DAN SUMBERDAYA MANUSIA KELAUTAN DAN PERIKANAN"/>
    <n v="0"/>
    <n v="0"/>
    <n v="434566000"/>
    <n v="100"/>
    <s v="WA.2378.EBD.952.301.D.524111"/>
    <s v="Non COVID"/>
    <s v="PERJALANAN DINAS"/>
    <x v="0"/>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s v="Perencanaan dan Evaluasi"/>
    <s v="Evaluasi"/>
    <x v="0"/>
    <s v="SEKRETARIAT BADAN RISET DAN SUMBERDAYA MANUSIA KELAUTAN DAN PERIKANAN"/>
    <n v="0"/>
    <n v="0"/>
    <n v="387471000"/>
    <n v="100"/>
    <s v="WA.2378.EBD.953.301.C.524111"/>
    <s v="Non COVID"/>
    <s v="PERJALANAN DINAS"/>
    <x v="0"/>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s v="Perencanaan dan Evaluasi"/>
    <s v="Evaluasi"/>
    <x v="0"/>
    <s v="SEKRETARIAT BADAN RISET DAN SUMBERDAYA MANUSIA KELAUTAN DAN PERIKANAN"/>
    <n v="0"/>
    <n v="0"/>
    <n v="76463000"/>
    <n v="100"/>
    <s v="WA.2378.EBD.953.302.B.521219"/>
    <s v="Non COVID"/>
    <s v="NON OPS LAINNYA"/>
    <x v="0"/>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s v="Tata Usaha"/>
    <s v="Keuangan"/>
    <x v="0"/>
    <s v="SEKRETARIAT BADAN RISET DAN SUMBERDAYA MANUSIA KELAUTAN DAN PERIKANAN"/>
    <n v="0"/>
    <n v="0"/>
    <n v="92000000"/>
    <n v="100"/>
    <s v="WA.2378.EBD.955.301.G.521219"/>
    <s v="Non COVID"/>
    <s v="NON OPS LAINNYA"/>
    <x v="0"/>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Belanja Barang"/>
    <s v="SEKRETARIAT BADAN RISET DAN SUMBERDAYA MANUSIA KELAUTAN DAN PERIKANAN"/>
    <n v="11431000"/>
    <n v="57.514465408805023"/>
    <n v="8444000"/>
    <n v="42.48553459119497"/>
    <s v="DL.2376.AFA.001.051.A.521211"/>
    <s v="Non COVID"/>
    <x v="0"/>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Belanja Barang"/>
    <s v="SEKRETARIAT BADAN RISET DAN SUMBERDAYA MANUSIA KELAUTAN DAN PERIKANAN"/>
    <n v="6300000"/>
    <n v="31.5"/>
    <n v="13700000"/>
    <n v="68.5"/>
    <s v="DL.2376.AFA.001.051.A.522151"/>
    <s v="Non COVID"/>
    <x v="1"/>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Belanja Barang"/>
    <s v="SEKRETARIAT BADAN RISET DAN SUMBERDAYA MANUSIA KELAUTAN DAN PERIKANAN"/>
    <n v="35476000"/>
    <n v="82.006472491909392"/>
    <n v="7784000"/>
    <n v="17.993527508090615"/>
    <s v="DL.2376.AFA.001.051.A.524111"/>
    <s v="Non COVID"/>
    <x v="2"/>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Belanja Barang"/>
    <s v="SEKRETARIAT BADAN RISET DAN SUMBERDAYA MANUSIA KELAUTAN DAN PERIKANAN"/>
    <n v="6511000"/>
    <n v="33.389743589743595"/>
    <n v="12989000"/>
    <n v="66.610256410256412"/>
    <s v="DL.2376.AFA.001.051.B.521211"/>
    <s v="Non COVID"/>
    <x v="0"/>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Belanja Barang"/>
    <s v="SEKRETARIAT BADAN RISET DAN SUMBERDAYA MANUSIA KELAUTAN DAN PERIKANAN"/>
    <n v="900000"/>
    <n v="22.5"/>
    <n v="3100000"/>
    <n v="77.5"/>
    <s v="DL.2376.AFA.001.051.B.522151"/>
    <s v="Non COVID"/>
    <x v="1"/>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Belanja Barang"/>
    <s v="SEKRETARIAT BADAN RISET DAN SUMBERDAYA MANUSIA KELAUTAN DAN PERIKANAN"/>
    <n v="17460000"/>
    <n v="99.971371314056682"/>
    <n v="5000"/>
    <n v="2.8628685943315198E-2"/>
    <s v="DL.2376.AFA.001.051.B.524111"/>
    <s v="Non COVID"/>
    <x v="2"/>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Belanja Barang"/>
    <s v="SEKRETARIAT BADAN RISET DAN SUMBERDAYA MANUSIA KELAUTAN DAN PERIKANAN"/>
    <n v="4620000"/>
    <n v="21.741176470588236"/>
    <n v="16630000"/>
    <n v="78.258823529411771"/>
    <s v="DL.2376.AFA.001.052.A.521211"/>
    <s v="Non COVID"/>
    <x v="0"/>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Belanja Barang"/>
    <s v="SEKRETARIAT BADAN RISET DAN SUMBERDAYA MANUSIA KELAUTAN DAN PERIKANAN"/>
    <n v="28355585"/>
    <n v="85.27995488721804"/>
    <n v="4894415"/>
    <n v="14.720045112781953"/>
    <s v="DL.2376.AFA.001.052.A.524111"/>
    <s v="Non COVID"/>
    <x v="2"/>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Belanja Barang"/>
    <s v="SEKRETARIAT BADAN RISET DAN SUMBERDAYA MANUSIA KELAUTAN DAN PERIKANAN"/>
    <n v="41367750"/>
    <n v="63.740755007704166"/>
    <n v="23532250"/>
    <n v="36.259244992295841"/>
    <s v="DL.2376.AFA.001.053.A.521211"/>
    <s v="Non COVID"/>
    <x v="0"/>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Belanja Barang"/>
    <s v="SEKRETARIAT BADAN RISET DAN SUMBERDAYA MANUSIA KELAUTAN DAN PERIKANAN"/>
    <n v="4043000"/>
    <n v="67.383333333333326"/>
    <n v="1957000"/>
    <n v="32.616666666666667"/>
    <s v="DL.2376.AFA.001.053.A.521219"/>
    <s v="Non COVID"/>
    <x v="3"/>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Belanja Barang"/>
    <s v="SEKRETARIAT BADAN RISET DAN SUMBERDAYA MANUSIA KELAUTAN DAN PERIKANAN"/>
    <n v="12006500"/>
    <n v="40.021666666666668"/>
    <n v="17993500"/>
    <n v="59.978333333333332"/>
    <s v="DL.2376.AFA.001.053.A.521811"/>
    <s v="Non COVID"/>
    <x v="4"/>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Belanja Barang"/>
    <s v="SEKRETARIAT BADAN RISET DAN SUMBERDAYA MANUSIA KELAUTAN DAN PERIKANAN"/>
    <n v="11700000"/>
    <n v="46.428571428571431"/>
    <n v="13500000"/>
    <n v="53.571428571428569"/>
    <s v="DL.2376.AFA.001.053.A.522151"/>
    <s v="Non COVID"/>
    <x v="1"/>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Belanja Barang"/>
    <s v="SEKRETARIAT BADAN RISET DAN SUMBERDAYA MANUSIA KELAUTAN DAN PERIKANAN"/>
    <n v="0"/>
    <n v="0"/>
    <n v="6000000"/>
    <n v="100"/>
    <s v="DL.2376.AFA.001.053.A.522192"/>
    <s v="COVID"/>
    <x v="1"/>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Belanja Barang"/>
    <s v="SEKRETARIAT BADAN RISET DAN SUMBERDAYA MANUSIA KELAUTAN DAN PERIKANAN"/>
    <n v="153581600"/>
    <n v="60.626549399188391"/>
    <n v="99742400"/>
    <n v="39.373450600811609"/>
    <s v="DL.2376.AFA.001.053.A.524111"/>
    <s v="Non COVID"/>
    <x v="2"/>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Belanja Barang"/>
    <s v="SEKRETARIAT BADAN RISET DAN SUMBERDAYA MANUSIA KELAUTAN DAN PERIKANAN"/>
    <n v="0"/>
    <n v="0"/>
    <n v="1500000"/>
    <n v="100"/>
    <s v="DL.2376.AFA.001.053.A.524113"/>
    <s v="Non COVID"/>
    <x v="5"/>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Belanja Barang"/>
    <s v="SEKRETARIAT BADAN RISET DAN SUMBERDAYA MANUSIA KELAUTAN DAN PERIKANAN"/>
    <n v="15898550"/>
    <n v="22.249426220331394"/>
    <n v="55557450"/>
    <n v="77.750573779668613"/>
    <s v="DL.2376.AFA.001.053.B.521211"/>
    <s v="Non COVID"/>
    <x v="0"/>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Belanja Barang"/>
    <s v="SEKRETARIAT BADAN RISET DAN SUMBERDAYA MANUSIA KELAUTAN DAN PERIKANAN"/>
    <n v="4596400"/>
    <n v="91.927999999999997"/>
    <n v="403600"/>
    <n v="8.0719999999999992"/>
    <s v="DL.2376.AFA.001.053.B.521219"/>
    <s v="Non COVID"/>
    <x v="3"/>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Belanja Barang"/>
    <s v="SEKRETARIAT BADAN RISET DAN SUMBERDAYA MANUSIA KELAUTAN DAN PERIKANAN"/>
    <n v="2453500"/>
    <n v="16.356666666666666"/>
    <n v="12546500"/>
    <n v="83.643333333333331"/>
    <s v="DL.2376.AFA.001.053.B.521811"/>
    <s v="Non COVID"/>
    <x v="4"/>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Belanja Barang"/>
    <s v="SEKRETARIAT BADAN RISET DAN SUMBERDAYA MANUSIA KELAUTAN DAN PERIKANAN"/>
    <n v="6300000"/>
    <n v="38.888888888888893"/>
    <n v="9900000"/>
    <n v="61.111111111111114"/>
    <s v="DL.2376.AFA.001.053.B.522151"/>
    <s v="Non COVID"/>
    <x v="1"/>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Belanja Barang"/>
    <s v="SEKRETARIAT BADAN RISET DAN SUMBERDAYA MANUSIA KELAUTAN DAN PERIKANAN"/>
    <n v="365000"/>
    <n v="18.25"/>
    <n v="1635000"/>
    <n v="81.75"/>
    <s v="DL.2376.AFA.001.053.B.522192"/>
    <s v="COVID"/>
    <x v="1"/>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Belanja Barang"/>
    <s v="SEKRETARIAT BADAN RISET DAN SUMBERDAYA MANUSIA KELAUTAN DAN PERIKANAN"/>
    <n v="131436690"/>
    <n v="95.133678343949043"/>
    <n v="6723310"/>
    <n v="4.866321656050955"/>
    <s v="DL.2376.AFA.001.053.B.524111"/>
    <s v="Non COVID"/>
    <x v="2"/>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Belanja Barang"/>
    <s v="SEKRETARIAT BADAN RISET DAN SUMBERDAYA MANUSIA KELAUTAN DAN PERIKANAN"/>
    <n v="2484000"/>
    <n v="11.925108017282765"/>
    <n v="18346000"/>
    <n v="88.074891982717233"/>
    <s v="DL.2376.AFA.001.053.C.521211"/>
    <s v="Non COVID"/>
    <x v="0"/>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Belanja Barang"/>
    <s v="SEKRETARIAT BADAN RISET DAN SUMBERDAYA MANUSIA KELAUTAN DAN PERIKANAN"/>
    <n v="0"/>
    <n v="0"/>
    <n v="500000"/>
    <n v="100"/>
    <s v="DL.2376.AFA.001.053.C.521219"/>
    <s v="Non COVID"/>
    <x v="3"/>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Belanja Barang"/>
    <s v="SEKRETARIAT BADAN RISET DAN SUMBERDAYA MANUSIA KELAUTAN DAN PERIKANAN"/>
    <n v="0"/>
    <n v="0"/>
    <n v="7200000"/>
    <n v="100"/>
    <s v="DL.2376.AFA.001.053.C.522151"/>
    <s v="Non COVID"/>
    <x v="1"/>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Belanja Barang"/>
    <s v="SEKRETARIAT BADAN RISET DAN SUMBERDAYA MANUSIA KELAUTAN DAN PERIKANAN"/>
    <n v="4820000"/>
    <n v="20.929222752930958"/>
    <n v="18210000"/>
    <n v="79.070777247069032"/>
    <s v="DL.2376.AFA.001.053.C.524111"/>
    <s v="Non COVID"/>
    <x v="2"/>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Belanja Barang"/>
    <s v="SEKRETARIAT BADAN RISET DAN SUMBERDAYA MANUSIA KELAUTAN DAN PERIKANAN"/>
    <n v="13489250"/>
    <n v="99.920370370370364"/>
    <n v="10750"/>
    <n v="7.962962962962962E-2"/>
    <s v="DL.2376.AFA.001.054.A.521211"/>
    <s v="Non COVID"/>
    <x v="0"/>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Belanja Barang"/>
    <s v="SEKRETARIAT BADAN RISET DAN SUMBERDAYA MANUSIA KELAUTAN DAN PERIKANAN"/>
    <n v="1100000"/>
    <n v="12.381809995497523"/>
    <n v="7784000"/>
    <n v="87.618190004502466"/>
    <s v="DL.2376.AFA.001.054.A.521219"/>
    <s v="Non COVID"/>
    <x v="3"/>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Belanja Barang"/>
    <s v="SEKRETARIAT BADAN RISET DAN SUMBERDAYA MANUSIA KELAUTAN DAN PERIKANAN"/>
    <n v="7200000"/>
    <n v="47.058823529411761"/>
    <n v="8100000"/>
    <n v="52.941176470588239"/>
    <s v="DL.2376.AFA.001.054.A.522151"/>
    <s v="Non COVID"/>
    <x v="1"/>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Belanja Barang"/>
    <s v="SEKRETARIAT BADAN RISET DAN SUMBERDAYA MANUSIA KELAUTAN DAN PERIKANAN"/>
    <n v="0"/>
    <n v="0"/>
    <n v="0"/>
    <n v="0"/>
    <s v="DL.2376.AFA.001.054.A.522192"/>
    <s v="COVID"/>
    <x v="1"/>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Belanja Barang"/>
    <s v="SEKRETARIAT BADAN RISET DAN SUMBERDAYA MANUSIA KELAUTAN DAN PERIKANAN"/>
    <n v="60912610"/>
    <n v="62.528342366757009"/>
    <n v="36503390"/>
    <n v="37.471657633242998"/>
    <s v="DL.2376.AFA.001.054.A.524111"/>
    <s v="Non COVID"/>
    <x v="2"/>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Belanja Modal"/>
    <s v="SEKRETARIAT BADAN RISET DAN SUMBERDAYA MANUSIA KELAUTAN DAN PERIKANAN"/>
    <n v="114200000"/>
    <n v="100"/>
    <n v="0"/>
    <n v="0"/>
    <s v="WA.2378.CAN.001.301.A.532111"/>
    <s v="Non COVID"/>
    <x v="6"/>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Belanja Barang"/>
    <s v="SEKRETARIAT BADAN RISET DAN SUMBERDAYA MANUSIA KELAUTAN DAN PERIKANAN"/>
    <n v="11255400"/>
    <n v="90.769354838709688"/>
    <n v="1144600"/>
    <n v="9.2306451612903224"/>
    <s v="WA.2378.EBA.958.311.A.521211"/>
    <s v="Non COVID"/>
    <x v="0"/>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Belanja Barang"/>
    <s v="SEKRETARIAT BADAN RISET DAN SUMBERDAYA MANUSIA KELAUTAN DAN PERIKANAN"/>
    <n v="0"/>
    <n v="0"/>
    <n v="0"/>
    <n v="0"/>
    <s v="WA.2378.EBA.958.311.A.521219"/>
    <s v="Non COVID"/>
    <x v="3"/>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Belanja Barang"/>
    <s v="SEKRETARIAT BADAN RISET DAN SUMBERDAYA MANUSIA KELAUTAN DAN PERIKANAN"/>
    <n v="5329750"/>
    <n v="53.297499999999999"/>
    <n v="4670250"/>
    <n v="46.702500000000001"/>
    <s v="WA.2378.EBA.958.311.A.521811"/>
    <s v="Non COVID"/>
    <x v="4"/>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Belanja Barang"/>
    <s v="SEKRETARIAT BADAN RISET DAN SUMBERDAYA MANUSIA KELAUTAN DAN PERIKANAN"/>
    <n v="0"/>
    <n v="0"/>
    <n v="0"/>
    <n v="0"/>
    <s v="WA.2378.EBA.958.311.A.522151"/>
    <s v="Non COVID"/>
    <x v="1"/>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Belanja Barang"/>
    <s v="SEKRETARIAT BADAN RISET DAN SUMBERDAYA MANUSIA KELAUTAN DAN PERIKANAN"/>
    <n v="23997800"/>
    <n v="26.386866932025598"/>
    <n v="66948200"/>
    <n v="73.613133067974402"/>
    <s v="WA.2378.EBA.958.311.A.524111"/>
    <s v="Non COVID"/>
    <x v="2"/>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Belanja Barang"/>
    <s v="SEKRETARIAT BADAN RISET DAN SUMBERDAYA MANUSIA KELAUTAN DAN PERIKANAN"/>
    <n v="4998800"/>
    <n v="99.975999999999999"/>
    <n v="1200"/>
    <n v="2.4E-2"/>
    <s v="WA.2378.EBA.962.301.A.521211"/>
    <s v="Non COVID"/>
    <x v="0"/>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Belanja Barang"/>
    <s v="SEKRETARIAT BADAN RISET DAN SUMBERDAYA MANUSIA KELAUTAN DAN PERIKANAN"/>
    <n v="12688500"/>
    <n v="97.686503964893362"/>
    <n v="300500"/>
    <n v="2.3134960351066285"/>
    <s v="WA.2378.EBA.962.301.A.524111"/>
    <s v="Non COVID"/>
    <x v="2"/>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Belanja Barang"/>
    <s v="SEKRETARIAT BADAN RISET DAN SUMBERDAYA MANUSIA KELAUTAN DAN PERIKANAN"/>
    <n v="750000"/>
    <n v="100"/>
    <n v="0"/>
    <n v="0"/>
    <s v="WA.2378.EBA.962.301.A.524113"/>
    <s v="Non COVID"/>
    <x v="5"/>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Belanja Barang"/>
    <s v="SEKRETARIAT BADAN RISET DAN SUMBERDAYA MANUSIA KELAUTAN DAN PERIKANAN"/>
    <n v="7425000"/>
    <n v="74.25"/>
    <n v="2575000"/>
    <n v="25.75"/>
    <s v="WA.2378.EBA.962.301.B.521211"/>
    <s v="Non COVID"/>
    <x v="0"/>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Belanja Barang"/>
    <s v="SEKRETARIAT BADAN RISET DAN SUMBERDAYA MANUSIA KELAUTAN DAN PERIKANAN"/>
    <n v="2031000"/>
    <n v="100"/>
    <n v="0"/>
    <n v="0"/>
    <s v="WA.2378.EBA.962.301.B.522192"/>
    <s v="COVID"/>
    <x v="1"/>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Belanja Barang"/>
    <s v="SEKRETARIAT BADAN RISET DAN SUMBERDAYA MANUSIA KELAUTAN DAN PERIKANAN"/>
    <n v="263521871"/>
    <n v="70.529414079018508"/>
    <n v="110112129"/>
    <n v="29.470585920981495"/>
    <s v="WA.2378.EBA.962.301.B.524111"/>
    <s v="Non COVID"/>
    <x v="2"/>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Belanja Barang"/>
    <s v="SEKRETARIAT BADAN RISET DAN SUMBERDAYA MANUSIA KELAUTAN DAN PERIKANAN"/>
    <n v="33371740"/>
    <n v="99.617134328358219"/>
    <n v="128260"/>
    <n v="0.38286567164179103"/>
    <s v="WA.2378.EBA.962.301.C.521211"/>
    <s v="Non COVID"/>
    <x v="0"/>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Belanja Barang"/>
    <s v="SEKRETARIAT BADAN RISET DAN SUMBERDAYA MANUSIA KELAUTAN DAN PERIKANAN"/>
    <n v="0"/>
    <n v="0"/>
    <n v="3000000"/>
    <n v="100"/>
    <s v="WA.2378.EBA.962.301.C.522141"/>
    <s v="Non COVID"/>
    <x v="7"/>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Belanja Barang"/>
    <s v="SEKRETARIAT BADAN RISET DAN SUMBERDAYA MANUSIA KELAUTAN DAN PERIKANAN"/>
    <n v="8980000"/>
    <n v="49.888888888888886"/>
    <n v="9020000"/>
    <n v="50.111111111111107"/>
    <s v="WA.2378.EBA.962.301.C.524111"/>
    <s v="Non COVID"/>
    <x v="2"/>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Belanja Barang"/>
    <s v="SEKRETARIAT BADAN RISET DAN SUMBERDAYA MANUSIA KELAUTAN DAN PERIKANAN"/>
    <n v="600000"/>
    <n v="26.666666666666668"/>
    <n v="1650000"/>
    <n v="73.333333333333329"/>
    <s v="WA.2378.EBA.962.301.C.524113"/>
    <s v="Non COVID"/>
    <x v="5"/>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Belanja Barang"/>
    <s v="SEKRETARIAT BADAN RISET DAN SUMBERDAYA MANUSIA KELAUTAN DAN PERIKANAN"/>
    <n v="9448500"/>
    <n v="69.988888888888894"/>
    <n v="4051500"/>
    <n v="30.011111111111109"/>
    <s v="WA.2378.EBA.962.301.D.521211"/>
    <s v="Non COVID"/>
    <x v="0"/>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Belanja Barang"/>
    <s v="SEKRETARIAT BADAN RISET DAN SUMBERDAYA MANUSIA KELAUTAN DAN PERIKANAN"/>
    <n v="29769738"/>
    <n v="62.419512297402136"/>
    <n v="17923262"/>
    <n v="37.580487702597864"/>
    <s v="WA.2378.EBA.962.301.D.524111"/>
    <s v="Non COVID"/>
    <x v="2"/>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Belanja Barang"/>
    <s v="SEKRETARIAT BADAN RISET DAN SUMBERDAYA MANUSIA KELAUTAN DAN PERIKANAN"/>
    <n v="0"/>
    <n v="0"/>
    <n v="0"/>
    <n v="0"/>
    <s v="WA.2378.EBA.962.301.D.524113"/>
    <s v="Non COVID"/>
    <x v="5"/>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Belanja Barang"/>
    <s v="SEKRETARIAT BADAN RISET DAN SUMBERDAYA MANUSIA KELAUTAN DAN PERIKANAN"/>
    <n v="38095000"/>
    <n v="99.98687664041995"/>
    <n v="5000"/>
    <n v="1.3123359580052493E-2"/>
    <s v="WA.2378.EBA.962.301.E.521211"/>
    <s v="Non COVID"/>
    <x v="0"/>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Belanja Barang"/>
    <s v="SEKRETARIAT BADAN RISET DAN SUMBERDAYA MANUSIA KELAUTAN DAN PERIKANAN"/>
    <n v="82534280"/>
    <n v="99.999127642818195"/>
    <n v="720"/>
    <n v="8.7235718180165981E-4"/>
    <s v="WA.2378.EBA.962.301.E.521241"/>
    <s v="COVID"/>
    <x v="3"/>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Belanja Barang"/>
    <s v="SEKRETARIAT BADAN RISET DAN SUMBERDAYA MANUSIA KELAUTAN DAN PERIKANAN"/>
    <n v="1600000"/>
    <n v="99.688473520249218"/>
    <n v="5000"/>
    <n v="0.3115264797507788"/>
    <s v="WA.2378.EBA.962.301.E.522191"/>
    <s v="Non COVID"/>
    <x v="1"/>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Belanja Barang"/>
    <s v="SEKRETARIAT BADAN RISET DAN SUMBERDAYA MANUSIA KELAUTAN DAN PERIKANAN"/>
    <n v="4246000"/>
    <n v="100"/>
    <n v="0"/>
    <n v="0"/>
    <s v="WA.2378.EBA.962.301.E.522192"/>
    <s v="COVID"/>
    <x v="1"/>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Belanja Barang"/>
    <s v="SEKRETARIAT BADAN RISET DAN SUMBERDAYA MANUSIA KELAUTAN DAN PERIKANAN"/>
    <n v="21850700"/>
    <n v="99.998627065122875"/>
    <n v="300"/>
    <n v="1.3729348771223285E-3"/>
    <s v="WA.2378.EBA.962.301.E.524111"/>
    <s v="Non COVID"/>
    <x v="2"/>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Belanja Barang"/>
    <s v="SEKRETARIAT BADAN RISET DAN SUMBERDAYA MANUSIA KELAUTAN DAN PERIKANAN"/>
    <n v="0"/>
    <n v="0"/>
    <n v="515818000"/>
    <n v="100"/>
    <s v="WA.2378.EBA.962.301.E.524113"/>
    <s v="Non COVID"/>
    <x v="5"/>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Belanja Barang"/>
    <s v="SEKRETARIAT BADAN RISET DAN SUMBERDAYA MANUSIA KELAUTAN DAN PERIKANAN"/>
    <n v="3999200"/>
    <n v="99.98"/>
    <n v="800"/>
    <n v="0.02"/>
    <s v="WA.2378.EBA.962.301.F.521211"/>
    <s v="Non COVID"/>
    <x v="0"/>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Belanja Barang"/>
    <s v="SEKRETARIAT BADAN RISET DAN SUMBERDAYA MANUSIA KELAUTAN DAN PERIKANAN"/>
    <n v="4297458"/>
    <n v="99.987389483480698"/>
    <n v="542"/>
    <n v="1.2610516519311306E-2"/>
    <s v="WA.2378.EBA.962.301.F.521219"/>
    <s v="Non COVID"/>
    <x v="3"/>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Belanja Barang"/>
    <s v="SEKRETARIAT BADAN RISET DAN SUMBERDAYA MANUSIA KELAUTAN DAN PERIKANAN"/>
    <n v="0"/>
    <n v="0"/>
    <n v="432643000"/>
    <n v="100"/>
    <s v="WA.2378.EBA.962.301.F.522151"/>
    <s v="Non COVID"/>
    <x v="1"/>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Belanja Barang"/>
    <s v="SEKRETARIAT BADAN RISET DAN SUMBERDAYA MANUSIA KELAUTAN DAN PERIKANAN"/>
    <n v="0"/>
    <n v="0"/>
    <n v="0"/>
    <n v="0"/>
    <s v="WA.2378.EBA.962.301.F.522192"/>
    <s v="COVID"/>
    <x v="1"/>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Belanja Barang"/>
    <s v="SEKRETARIAT BADAN RISET DAN SUMBERDAYA MANUSIA KELAUTAN DAN PERIKANAN"/>
    <n v="5350700"/>
    <n v="59.065018213930898"/>
    <n v="3708300"/>
    <n v="40.934981786069102"/>
    <s v="WA.2378.EBA.962.301.F.524111"/>
    <s v="Non COVID"/>
    <x v="2"/>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Belanja Barang"/>
    <s v="SEKRETARIAT BADAN RISET DAN SUMBERDAYA MANUSIA KELAUTAN DAN PERIKANAN"/>
    <n v="12517500"/>
    <n v="99.741035856573703"/>
    <n v="32500"/>
    <n v="0.25896414342629481"/>
    <s v="WA.2378.EBA.962.301.G.521211"/>
    <s v="Non COVID"/>
    <x v="0"/>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Belanja Barang"/>
    <s v="SEKRETARIAT BADAN RISET DAN SUMBERDAYA MANUSIA KELAUTAN DAN PERIKANAN"/>
    <n v="1191418"/>
    <n v="99.951174496644285"/>
    <n v="582"/>
    <n v="4.8825503355704701E-2"/>
    <s v="WA.2378.EBA.962.301.G.521219"/>
    <s v="Non COVID"/>
    <x v="3"/>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Belanja Barang"/>
    <s v="SEKRETARIAT BADAN RISET DAN SUMBERDAYA MANUSIA KELAUTAN DAN PERIKANAN"/>
    <n v="6000000"/>
    <n v="66.666666666666657"/>
    <n v="3000000"/>
    <n v="33.333333333333329"/>
    <s v="WA.2378.EBA.962.301.G.522151"/>
    <s v="Non COVID"/>
    <x v="1"/>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Belanja Barang"/>
    <s v="SEKRETARIAT BADAN RISET DAN SUMBERDAYA MANUSIA KELAUTAN DAN PERIKANAN"/>
    <n v="60763672"/>
    <n v="99.999460206701343"/>
    <n v="328"/>
    <n v="5.3979329866368244E-4"/>
    <s v="WA.2378.EBA.962.301.G.524111"/>
    <s v="Non COVID"/>
    <x v="2"/>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Belanja Barang"/>
    <s v="SEKRETARIAT BADAN RISET DAN SUMBERDAYA MANUSIA KELAUTAN DAN PERIKANAN"/>
    <n v="0"/>
    <n v="0"/>
    <n v="118575000"/>
    <n v="100"/>
    <s v="WA.2378.EBA.962.301.H.521211"/>
    <s v="Non COVID"/>
    <x v="0"/>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Belanja Barang"/>
    <s v="SEKRETARIAT BADAN RISET DAN SUMBERDAYA MANUSIA KELAUTAN DAN PERIKANAN"/>
    <n v="0"/>
    <n v="0"/>
    <n v="393200000"/>
    <n v="100"/>
    <s v="WA.2378.EBA.962.301.H.521219"/>
    <s v="Non COVID"/>
    <x v="3"/>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Belanja Barang"/>
    <s v="SEKRETARIAT BADAN RISET DAN SUMBERDAYA MANUSIA KELAUTAN DAN PERIKANAN"/>
    <n v="0"/>
    <n v="0"/>
    <n v="120000000"/>
    <n v="100"/>
    <s v="WA.2378.EBA.962.301.H.522141"/>
    <s v="Non COVID"/>
    <x v="7"/>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Belanja Barang"/>
    <s v="SEKRETARIAT BADAN RISET DAN SUMBERDAYA MANUSIA KELAUTAN DAN PERIKANAN"/>
    <n v="0"/>
    <n v="0"/>
    <n v="7962000"/>
    <n v="100"/>
    <s v="WA.2378.EBA.962.301.H.524111"/>
    <s v="Non COVID"/>
    <x v="2"/>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Belanja Barang"/>
    <s v="SEKRETARIAT BADAN RISET DAN SUMBERDAYA MANUSIA KELAUTAN DAN PERIKANAN"/>
    <n v="10269000"/>
    <n v="58.512820512820518"/>
    <n v="7281000"/>
    <n v="41.487179487179489"/>
    <s v="WA.2378.EBA.962.301.I.521211"/>
    <s v="Non COVID"/>
    <x v="0"/>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Belanja Barang"/>
    <s v="SEKRETARIAT BADAN RISET DAN SUMBERDAYA MANUSIA KELAUTAN DAN PERIKANAN"/>
    <n v="620000"/>
    <n v="2.2422335539401832"/>
    <n v="27031000"/>
    <n v="97.757766446059819"/>
    <s v="WA.2378.EBA.962.301.I.521219"/>
    <s v="Non COVID"/>
    <x v="3"/>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Belanja Barang"/>
    <s v="SEKRETARIAT BADAN RISET DAN SUMBERDAYA MANUSIA KELAUTAN DAN PERIKANAN"/>
    <n v="40000000"/>
    <n v="100"/>
    <n v="0"/>
    <n v="0"/>
    <s v="WA.2378.EBA.962.301.I.522151"/>
    <s v="Non COVID"/>
    <x v="1"/>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Belanja Barang"/>
    <s v="SEKRETARIAT BADAN RISET DAN SUMBERDAYA MANUSIA KELAUTAN DAN PERIKANAN"/>
    <n v="25062000"/>
    <n v="100"/>
    <n v="0"/>
    <n v="0"/>
    <s v="WA.2378.EBA.962.301.I.524111"/>
    <s v="Non COVID"/>
    <x v="2"/>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63640000"/>
    <n v="0"/>
    <n v="0"/>
    <n v="0"/>
    <x v="0"/>
    <x v="2"/>
    <x v="4"/>
    <s v="52"/>
    <s v="Belanja Barang"/>
    <s v="SEKRETARIAT BADAN RISET DAN SUMBERDAYA MANUSIA KELAUTAN DAN PERIKANAN"/>
    <n v="643043906"/>
    <n v="59.750228206128867"/>
    <n v="433176094"/>
    <n v="40.24977179387114"/>
    <s v="WA.2378.EBA.994.002.GA.521111"/>
    <s v="Non COVID"/>
    <x v="8"/>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Belanja Barang"/>
    <s v="SEKRETARIAT BADAN RISET DAN SUMBERDAYA MANUSIA KELAUTAN DAN PERIKANAN"/>
    <n v="69183000"/>
    <n v="38.831948810058378"/>
    <n v="108977000"/>
    <n v="61.168051189941629"/>
    <s v="WA.2378.EBA.994.002.GA.521811"/>
    <s v="Non COVID"/>
    <x v="4"/>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Belanja Barang"/>
    <s v="SEKRETARIAT BADAN RISET DAN SUMBERDAYA MANUSIA KELAUTAN DAN PERIKANAN"/>
    <n v="2777050"/>
    <n v="9.2568333333333328"/>
    <n v="27222950"/>
    <n v="90.743166666666667"/>
    <s v="WA.2378.EBA.994.002.GB.521114"/>
    <s v="Non COVID"/>
    <x v="9"/>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Belanja Barang"/>
    <s v="SEKRETARIAT BADAN RISET DAN SUMBERDAYA MANUSIA KELAUTAN DAN PERIKANAN"/>
    <n v="79700000"/>
    <n v="67.058190017837319"/>
    <n v="39152000"/>
    <n v="32.941809982162688"/>
    <s v="WA.2378.EBA.994.002.GB.522141"/>
    <s v="Non COVID"/>
    <x v="7"/>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Belanja Barang"/>
    <s v="SEKRETARIAT BADAN RISET DAN SUMBERDAYA MANUSIA KELAUTAN DAN PERIKANAN"/>
    <n v="176897560"/>
    <n v="35.589489990946582"/>
    <n v="320152440"/>
    <n v="64.410510009053411"/>
    <s v="WA.2378.EBA.994.002.GC.523121"/>
    <s v="Non COVID"/>
    <x v="10"/>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Belanja Barang"/>
    <s v="SEKRETARIAT BADAN RISET DAN SUMBERDAYA MANUSIA KELAUTAN DAN PERIKANAN"/>
    <n v="12000000"/>
    <n v="33.333333333333329"/>
    <n v="24000000"/>
    <n v="66.666666666666657"/>
    <s v="WA.2378.EBA.994.002.GC.523199"/>
    <s v="Non COVID"/>
    <x v="10"/>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Belanja Barang"/>
    <s v="SEKRETARIAT BADAN RISET DAN SUMBERDAYA MANUSIA KELAUTAN DAN PERIKANAN"/>
    <n v="44410000"/>
    <n v="43.963332541379586"/>
    <n v="56606000"/>
    <n v="56.036667458620414"/>
    <s v="WA.2378.EBA.994.002.GD.521111"/>
    <s v="Non COVID"/>
    <x v="8"/>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Belanja Barang"/>
    <s v="SEKRETARIAT BADAN RISET DAN SUMBERDAYA MANUSIA KELAUTAN DAN PERIKANAN"/>
    <n v="28368000"/>
    <n v="48.608636052090468"/>
    <n v="29992000"/>
    <n v="51.391363947909532"/>
    <s v="WA.2378.EBA.994.002.GD.521115"/>
    <s v="Non COVID"/>
    <x v="11"/>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Belanja Barang"/>
    <s v="SEKRETARIAT BADAN RISET DAN SUMBERDAYA MANUSIA KELAUTAN DAN PERIKANAN"/>
    <n v="0"/>
    <n v="0"/>
    <n v="45000000"/>
    <n v="100"/>
    <s v="WA.2378.EBA.994.002.GE.521111"/>
    <s v="Non COVID"/>
    <x v="8"/>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Belanja Barang"/>
    <s v="SEKRETARIAT BADAN RISET DAN SUMBERDAYA MANUSIA KELAUTAN DAN PERIKANAN"/>
    <n v="0"/>
    <n v="0"/>
    <n v="26000000"/>
    <n v="100"/>
    <s v="WA.2378.EBA.994.002.GE.521811"/>
    <s v="Non COVID"/>
    <x v="4"/>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Belanja Barang"/>
    <s v="SEKRETARIAT BADAN RISET DAN SUMBERDAYA MANUSIA KELAUTAN DAN PERIKANAN"/>
    <n v="0"/>
    <n v="0"/>
    <n v="29000000"/>
    <n v="100"/>
    <s v="WA.2378.EBA.994.002.GE.523121"/>
    <s v="Non COVID"/>
    <x v="10"/>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Belanja Modal"/>
    <s v="SEKRETARIAT BADAN RISET DAN SUMBERDAYA MANUSIA KELAUTAN DAN PERIKANAN"/>
    <n v="540000000"/>
    <n v="100"/>
    <n v="0"/>
    <n v="0"/>
    <s v="WA.2378.EBB.951.301.A.532111"/>
    <s v="Non COVID"/>
    <x v="6"/>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Belanja Barang"/>
    <s v="SEKRETARIAT BADAN RISET DAN SUMBERDAYA MANUSIA KELAUTAN DAN PERIKANAN"/>
    <n v="4448550"/>
    <n v="74.142499999999998"/>
    <n v="1551450"/>
    <n v="25.857500000000002"/>
    <s v="WA.2378.EBD.952.301.A.521211"/>
    <s v="Non COVID"/>
    <x v="0"/>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Belanja Barang"/>
    <s v="SEKRETARIAT BADAN RISET DAN SUMBERDAYA MANUSIA KELAUTAN DAN PERIKANAN"/>
    <n v="876329"/>
    <n v="87.632900000000006"/>
    <n v="123671"/>
    <n v="12.367100000000001"/>
    <s v="WA.2378.EBD.952.301.A.521219"/>
    <s v="Non COVID"/>
    <x v="3"/>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Belanja Barang"/>
    <s v="SEKRETARIAT BADAN RISET DAN SUMBERDAYA MANUSIA KELAUTAN DAN PERIKANAN"/>
    <n v="6344000"/>
    <n v="63.44"/>
    <n v="3656000"/>
    <n v="36.559999999999995"/>
    <s v="WA.2378.EBD.952.301.A.521811"/>
    <s v="Non COVID"/>
    <x v="4"/>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Belanja Barang"/>
    <s v="SEKRETARIAT BADAN RISET DAN SUMBERDAYA MANUSIA KELAUTAN DAN PERIKANAN"/>
    <n v="5163500"/>
    <n v="99.990317583268791"/>
    <n v="500"/>
    <n v="9.6824167312161129E-3"/>
    <s v="WA.2378.EBD.952.301.A.524111"/>
    <s v="Non COVID"/>
    <x v="2"/>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Belanja Barang"/>
    <s v="SEKRETARIAT BADAN RISET DAN SUMBERDAYA MANUSIA KELAUTAN DAN PERIKANAN"/>
    <n v="7434850"/>
    <n v="61.95708333333333"/>
    <n v="4565150"/>
    <n v="38.042916666666663"/>
    <s v="WA.2378.EBD.952.301.B.521211"/>
    <s v="Non COVID"/>
    <x v="0"/>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Belanja Barang"/>
    <s v="SEKRETARIAT BADAN RISET DAN SUMBERDAYA MANUSIA KELAUTAN DAN PERIKANAN"/>
    <n v="358831"/>
    <n v="35.883099999999999"/>
    <n v="641169"/>
    <n v="64.116900000000001"/>
    <s v="WA.2378.EBD.952.301.B.521219"/>
    <s v="Non COVID"/>
    <x v="3"/>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Belanja Barang"/>
    <s v="SEKRETARIAT BADAN RISET DAN SUMBERDAYA MANUSIA KELAUTAN DAN PERIKANAN"/>
    <n v="12648000"/>
    <n v="63.239999999999995"/>
    <n v="7352000"/>
    <n v="36.76"/>
    <s v="WA.2378.EBD.952.301.B.521811"/>
    <s v="Non COVID"/>
    <x v="4"/>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Belanja Barang"/>
    <s v="SEKRETARIAT BADAN RISET DAN SUMBERDAYA MANUSIA KELAUTAN DAN PERIKANAN"/>
    <n v="0"/>
    <n v="0"/>
    <n v="0"/>
    <n v="0"/>
    <s v="WA.2378.EBD.952.301.B.522151"/>
    <s v="Non COVID"/>
    <x v="1"/>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Belanja Barang"/>
    <s v="SEKRETARIAT BADAN RISET DAN SUMBERDAYA MANUSIA KELAUTAN DAN PERIKANAN"/>
    <n v="19577850"/>
    <n v="43.506333333333338"/>
    <n v="25422150"/>
    <n v="56.493666666666662"/>
    <s v="WA.2378.EBD.952.301.B.524111"/>
    <s v="Non COVID"/>
    <x v="2"/>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Belanja Barang"/>
    <s v="SEKRETARIAT BADAN RISET DAN SUMBERDAYA MANUSIA KELAUTAN DAN PERIKANAN"/>
    <n v="19309350"/>
    <n v="91.949285714285708"/>
    <n v="1690650"/>
    <n v="8.0507142857142853"/>
    <s v="WA.2378.EBD.952.301.C.521211"/>
    <s v="Non COVID"/>
    <x v="0"/>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Belanja Barang"/>
    <s v="SEKRETARIAT BADAN RISET DAN SUMBERDAYA MANUSIA KELAUTAN DAN PERIKANAN"/>
    <n v="11275750"/>
    <n v="64.432857142857145"/>
    <n v="6224250"/>
    <n v="35.567142857142855"/>
    <s v="WA.2378.EBD.952.301.C.521811"/>
    <s v="Non COVID"/>
    <x v="4"/>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Belanja Barang"/>
    <s v="SEKRETARIAT BADAN RISET DAN SUMBERDAYA MANUSIA KELAUTAN DAN PERIKANAN"/>
    <n v="0"/>
    <n v="0"/>
    <n v="0"/>
    <n v="0"/>
    <s v="WA.2378.EBD.952.301.C.522151"/>
    <s v="Non COVID"/>
    <x v="1"/>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Belanja Barang"/>
    <s v="SEKRETARIAT BADAN RISET DAN SUMBERDAYA MANUSIA KELAUTAN DAN PERIKANAN"/>
    <n v="41907800"/>
    <n v="99.999522764150043"/>
    <n v="200"/>
    <n v="4.7723584995704876E-4"/>
    <s v="WA.2378.EBD.952.301.C.524111"/>
    <s v="Non COVID"/>
    <x v="2"/>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Belanja Barang"/>
    <s v="SEKRETARIAT BADAN RISET DAN SUMBERDAYA MANUSIA KELAUTAN DAN PERIKANAN"/>
    <n v="10196500"/>
    <n v="43.855913978494627"/>
    <n v="13053500"/>
    <n v="56.14408602150538"/>
    <s v="WA.2378.EBD.953.301.A.521211"/>
    <s v="Non COVID"/>
    <x v="0"/>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Belanja Barang"/>
    <s v="SEKRETARIAT BADAN RISET DAN SUMBERDAYA MANUSIA KELAUTAN DAN PERIKANAN"/>
    <n v="499528"/>
    <n v="24.976400000000002"/>
    <n v="1500472"/>
    <n v="75.023600000000002"/>
    <s v="WA.2378.EBD.953.301.A.521219"/>
    <s v="Non COVID"/>
    <x v="3"/>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Belanja Barang"/>
    <s v="SEKRETARIAT BADAN RISET DAN SUMBERDAYA MANUSIA KELAUTAN DAN PERIKANAN"/>
    <n v="0"/>
    <n v="0"/>
    <n v="18539000"/>
    <n v="100"/>
    <s v="WA.2378.EBD.953.301.A.524111"/>
    <s v="Non COVID"/>
    <x v="2"/>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Belanja Barang"/>
    <s v="SEKRETARIAT BADAN RISET DAN SUMBERDAYA MANUSIA KELAUTAN DAN PERIKANAN"/>
    <n v="9519000"/>
    <n v="70.380776340110913"/>
    <n v="4006000"/>
    <n v="29.619223659889094"/>
    <s v="WA.2378.EBD.953.301.B.521211"/>
    <s v="Non COVID"/>
    <x v="0"/>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Belanja Barang"/>
    <s v="SEKRETARIAT BADAN RISET DAN SUMBERDAYA MANUSIA KELAUTAN DAN PERIKANAN"/>
    <n v="913673"/>
    <n v="45.68365"/>
    <n v="1086327"/>
    <n v="54.31635"/>
    <s v="WA.2378.EBD.953.301.B.521219"/>
    <s v="Non COVID"/>
    <x v="3"/>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Belanja Barang"/>
    <s v="SEKRETARIAT BADAN RISET DAN SUMBERDAYA MANUSIA KELAUTAN DAN PERIKANAN"/>
    <n v="0"/>
    <n v="0"/>
    <n v="0"/>
    <n v="0"/>
    <s v="WA.2378.EBD.953.301.B.522151"/>
    <s v="Non COVID"/>
    <x v="1"/>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Belanja Barang"/>
    <s v="SEKRETARIAT BADAN RISET DAN SUMBERDAYA MANUSIA KELAUTAN DAN PERIKANAN"/>
    <n v="60414255"/>
    <n v="99.99876686253414"/>
    <n v="745"/>
    <n v="1.2331374658611273E-3"/>
    <s v="WA.2378.EBD.953.301.B.524111"/>
    <s v="Non COVID"/>
    <x v="2"/>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Belanja Barang"/>
    <s v="SEKRETARIAT BADAN RISET DAN SUMBERDAYA MANUSIA KELAUTAN DAN PERIKANAN"/>
    <n v="0"/>
    <n v="0"/>
    <n v="0"/>
    <n v="0"/>
    <s v="WA.2378.EBD.953.301.B.524113"/>
    <s v="Non COVID"/>
    <x v="5"/>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Belanja Barang"/>
    <s v="SEKRETARIAT BADAN RISET DAN SUMBERDAYA MANUSIA KELAUTAN DAN PERIKANAN"/>
    <n v="11269000"/>
    <n v="62.955307262569839"/>
    <n v="6631000"/>
    <n v="37.044692737430168"/>
    <s v="WA.2378.EBD.953.302.A.521211"/>
    <s v="Non COVID"/>
    <x v="0"/>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Belanja Barang"/>
    <s v="SEKRETARIAT BADAN RISET DAN SUMBERDAYA MANUSIA KELAUTAN DAN PERIKANAN"/>
    <n v="302663"/>
    <n v="15.133150000000001"/>
    <n v="1697337"/>
    <n v="84.866849999999999"/>
    <s v="WA.2378.EBD.953.302.A.521219"/>
    <s v="Non COVID"/>
    <x v="3"/>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Belanja Barang"/>
    <s v="SEKRETARIAT BADAN RISET DAN SUMBERDAYA MANUSIA KELAUTAN DAN PERIKANAN"/>
    <n v="29579000"/>
    <n v="98.044350160761056"/>
    <n v="590000"/>
    <n v="1.9556498392389539"/>
    <s v="WA.2378.EBD.953.302.A.524111"/>
    <s v="Non COVID"/>
    <x v="2"/>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Belanja Barang"/>
    <s v="SEKRETARIAT BADAN RISET DAN SUMBERDAYA MANUSIA KELAUTAN DAN PERIKANAN"/>
    <n v="16821000"/>
    <n v="91.418478260869563"/>
    <n v="1579000"/>
    <n v="8.5815217391304355"/>
    <s v="WA.2378.EBD.955.301.A.521211"/>
    <s v="Non COVID"/>
    <x v="0"/>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Belanja Barang"/>
    <s v="SEKRETARIAT BADAN RISET DAN SUMBERDAYA MANUSIA KELAUTAN DAN PERIKANAN"/>
    <n v="8701552"/>
    <n v="99.994851758216498"/>
    <n v="448"/>
    <n v="5.1482417834980464E-3"/>
    <s v="WA.2378.EBD.955.301.A.524111"/>
    <s v="Non COVID"/>
    <x v="2"/>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Belanja Barang"/>
    <s v="SEKRETARIAT BADAN RISET DAN SUMBERDAYA MANUSIA KELAUTAN DAN PERIKANAN"/>
    <n v="7364000"/>
    <n v="98.186666666666667"/>
    <n v="136000"/>
    <n v="1.8133333333333335"/>
    <s v="WA.2378.EBD.955.301.B.521211"/>
    <s v="Non COVID"/>
    <x v="0"/>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Belanja Barang"/>
    <s v="SEKRETARIAT BADAN RISET DAN SUMBERDAYA MANUSIA KELAUTAN DAN PERIKANAN"/>
    <n v="2850000"/>
    <n v="53.271028037383175"/>
    <n v="2500000"/>
    <n v="46.728971962616825"/>
    <s v="WA.2378.EBD.955.301.B.524111"/>
    <s v="Non COVID"/>
    <x v="2"/>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Belanja Barang"/>
    <s v="SEKRETARIAT BADAN RISET DAN SUMBERDAYA MANUSIA KELAUTAN DAN PERIKANAN"/>
    <n v="7467500"/>
    <n v="99.566666666666663"/>
    <n v="32500"/>
    <n v="0.43333333333333329"/>
    <s v="WA.2378.EBD.955.301.C.521211"/>
    <s v="Non COVID"/>
    <x v="0"/>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Belanja Barang"/>
    <s v="SEKRETARIAT BADAN RISET DAN SUMBERDAYA MANUSIA KELAUTAN DAN PERIKANAN"/>
    <n v="0"/>
    <n v="0"/>
    <n v="0"/>
    <n v="0"/>
    <s v="WA.2378.EBD.955.301.C.524111"/>
    <s v="Non COVID"/>
    <x v="2"/>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Belanja Barang"/>
    <s v="SEKRETARIAT BADAN RISET DAN SUMBERDAYA MANUSIA KELAUTAN DAN PERIKANAN"/>
    <n v="12465000"/>
    <n v="89.035714285714278"/>
    <n v="1535000"/>
    <n v="10.964285714285714"/>
    <s v="WA.2378.EBD.955.301.D.521211"/>
    <s v="Non COVID"/>
    <x v="0"/>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Belanja Barang"/>
    <s v="SEKRETARIAT BADAN RISET DAN SUMBERDAYA MANUSIA KELAUTAN DAN PERIKANAN"/>
    <n v="0"/>
    <n v="0"/>
    <n v="0"/>
    <n v="0"/>
    <s v="WA.2378.EBD.955.301.D.522151"/>
    <s v="Non COVID"/>
    <x v="1"/>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Belanja Barang"/>
    <s v="SEKRETARIAT BADAN RISET DAN SUMBERDAYA MANUSIA KELAUTAN DAN PERIKANAN"/>
    <n v="20634468"/>
    <n v="99.997421856069778"/>
    <n v="532"/>
    <n v="2.578143930215653E-3"/>
    <s v="WA.2378.EBD.955.301.D.524111"/>
    <s v="Non COVID"/>
    <x v="2"/>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Belanja Barang"/>
    <s v="SEKRETARIAT BADAN RISET DAN SUMBERDAYA MANUSIA KELAUTAN DAN PERIKANAN"/>
    <n v="4944000"/>
    <n v="65.92"/>
    <n v="2556000"/>
    <n v="34.08"/>
    <s v="WA.2378.EBD.955.301.E.521211"/>
    <s v="Non COVID"/>
    <x v="0"/>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Belanja Barang"/>
    <s v="SEKRETARIAT BADAN RISET DAN SUMBERDAYA MANUSIA KELAUTAN DAN PERIKANAN"/>
    <n v="0"/>
    <n v="0"/>
    <n v="0"/>
    <n v="0"/>
    <s v="WA.2378.EBD.955.301.E.524111"/>
    <s v="Non COVID"/>
    <x v="2"/>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Belanja Barang"/>
    <s v="SEKRETARIAT BADAN RISET DAN SUMBERDAYA MANUSIA KELAUTAN DAN PERIKANAN"/>
    <n v="575000"/>
    <n v="11.979166666666668"/>
    <n v="4225000"/>
    <n v="88.020833333333343"/>
    <s v="WA.2378.EBD.955.301.F.521211"/>
    <s v="Non COVID"/>
    <x v="0"/>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Belanja Barang"/>
    <s v="SEKRETARIAT BADAN RISET DAN SUMBERDAYA MANUSIA KELAUTAN DAN PERIKANAN"/>
    <n v="14900000"/>
    <n v="54.181818181818187"/>
    <n v="12600000"/>
    <n v="45.81818181818182"/>
    <s v="WA.2378.EBD.955.301.F.521811"/>
    <s v="Non COVID"/>
    <x v="4"/>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Belanja Barang"/>
    <s v="SEKRETARIAT BADAN RISET DAN SUMBERDAYA MANUSIA KELAUTAN DAN PERIKANAN"/>
    <n v="58380000"/>
    <n v="76.782449725776971"/>
    <n v="17653000"/>
    <n v="23.217550274223033"/>
    <s v="WA.2378.EBD.955.301.F.524111"/>
    <s v="Non COVID"/>
    <x v="2"/>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Belanja Barang"/>
    <s v="SEKRETARIAT BADAN RISET DAN SUMBERDAYA MANUSIA KELAUTAN DAN PERIKANAN"/>
    <n v="0"/>
    <n v="0"/>
    <n v="99100000"/>
    <n v="100"/>
    <s v="WA.4345.EBC.996.301.A.521211"/>
    <s v="Non COVID"/>
    <x v="0"/>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Belanja Barang"/>
    <s v="SEKRETARIAT BADAN RISET DAN SUMBERDAYA MANUSIA KELAUTAN DAN PERIKANAN"/>
    <n v="0"/>
    <n v="0"/>
    <n v="1333864000"/>
    <n v="100"/>
    <s v="WA.4345.EBC.996.301.A.521219"/>
    <s v="Non COVID"/>
    <x v="3"/>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Belanja Barang"/>
    <s v="SEKRETARIAT BADAN RISET DAN SUMBERDAYA MANUSIA KELAUTAN DAN PERIKANAN"/>
    <n v="9690000"/>
    <n v="38.76"/>
    <n v="15310000"/>
    <n v="61.240000000000009"/>
    <s v="WA.4345.EBC.996.301.A.521811"/>
    <s v="Non COVID"/>
    <x v="4"/>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Belanja Barang"/>
    <s v="SEKRETARIAT BADAN RISET DAN SUMBERDAYA MANUSIA KELAUTAN DAN PERIKANAN"/>
    <n v="0"/>
    <n v="0"/>
    <n v="15000000"/>
    <n v="100"/>
    <s v="WA.4345.EBC.996.301.A.522151"/>
    <s v="Non COVID"/>
    <x v="1"/>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Belanja Barang"/>
    <s v="SEKRETARIAT BADAN RISET DAN SUMBERDAYA MANUSIA KELAUTAN DAN PERIKANAN"/>
    <n v="0"/>
    <n v="0"/>
    <n v="102600000"/>
    <n v="100"/>
    <s v="WA.4345.EBC.996.301.A.522191"/>
    <s v="Non COVID"/>
    <x v="1"/>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Belanja Barang"/>
    <s v="SEKRETARIAT BADAN RISET DAN SUMBERDAYA MANUSIA KELAUTAN DAN PERIKANAN"/>
    <n v="20535000"/>
    <n v="14.880434782608695"/>
    <n v="117465000"/>
    <n v="85.119565217391298"/>
    <s v="WA.4345.EBC.996.301.A.524111"/>
    <s v="Non COVID"/>
    <x v="2"/>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Belanja Barang"/>
    <s v="SEKRETARIAT BADAN RISET DAN SUMBERDAYA MANUSIA KELAUTAN DAN PERIKANAN"/>
    <n v="7837550"/>
    <n v="31.350200000000001"/>
    <n v="17162450"/>
    <n v="68.649799999999999"/>
    <s v="WA.4345.EBC.996.301.B.521211"/>
    <s v="Non COVID"/>
    <x v="0"/>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Belanja Barang"/>
    <s v="SEKRETARIAT BADAN RISET DAN SUMBERDAYA MANUSIA KELAUTAN DAN PERIKANAN"/>
    <n v="4825410092"/>
    <n v="76.488245064946085"/>
    <n v="1483284908"/>
    <n v="23.511754935053922"/>
    <s v="WA.4345.EBC.996.301.B.521219"/>
    <s v="Non COVID"/>
    <x v="3"/>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Belanja Barang"/>
    <s v="SEKRETARIAT BADAN RISET DAN SUMBERDAYA MANUSIA KELAUTAN DAN PERIKANAN"/>
    <n v="9678000"/>
    <n v="32.26"/>
    <n v="20322000"/>
    <n v="67.739999999999995"/>
    <s v="WA.4345.EBC.996.301.B.521811"/>
    <s v="Non COVID"/>
    <x v="4"/>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Belanja Barang"/>
    <s v="SEKRETARIAT BADAN RISET DAN SUMBERDAYA MANUSIA KELAUTAN DAN PERIKANAN"/>
    <n v="0"/>
    <n v="0"/>
    <n v="6000000"/>
    <n v="100"/>
    <s v="WA.4345.EBC.996.301.B.522151"/>
    <s v="Non COVID"/>
    <x v="1"/>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Belanja Barang"/>
    <s v="SEKRETARIAT BADAN RISET DAN SUMBERDAYA MANUSIA KELAUTAN DAN PERIKANAN"/>
    <n v="61907706"/>
    <n v="28.660975000000001"/>
    <n v="154092294"/>
    <n v="71.339025000000007"/>
    <s v="WA.4345.EBC.996.301.B.524111"/>
    <s v="Non COVID"/>
    <x v="2"/>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Belanja Barang"/>
    <s v="SEKRETARIAT BADAN RISET DAN SUMBERDAYA MANUSIA KELAUTAN DAN PERIKANAN"/>
    <n v="0"/>
    <n v="0"/>
    <n v="12000000"/>
    <n v="100"/>
    <s v="WA.4345.EBC.996.301.C.521211"/>
    <s v="Non COVID"/>
    <x v="0"/>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Belanja Barang"/>
    <s v="SEKRETARIAT BADAN RISET DAN SUMBERDAYA MANUSIA KELAUTAN DAN PERIKANAN"/>
    <n v="0"/>
    <n v="0"/>
    <n v="20000000"/>
    <n v="100"/>
    <s v="WA.4345.EBC.996.301.C.521219"/>
    <s v="Non COVID"/>
    <x v="3"/>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Belanja Barang"/>
    <s v="SEKRETARIAT BADAN RISET DAN SUMBERDAYA MANUSIA KELAUTAN DAN PERIKANAN"/>
    <n v="0"/>
    <n v="0"/>
    <n v="142041000"/>
    <n v="100"/>
    <s v="WA.4345.EBC.996.301.C.524211"/>
    <s v="Non COVID"/>
    <x v="2"/>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Belanja Barang"/>
    <s v="SEKRETARIAT BADAN RISET DAN SUMBERDAYA MANUSIA KELAUTAN DAN PERIKANAN"/>
    <n v="0"/>
    <n v="0"/>
    <n v="0"/>
    <n v="0"/>
    <s v="WA.4345.EBC.996.301.D.522192"/>
    <s v="COVID"/>
    <x v="1"/>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Belanja Barang"/>
    <s v="SEKRETARIAT BADAN RISET DAN SUMBERDAYA MANUSIA KELAUTAN DAN PERIKANAN"/>
    <n v="5920400"/>
    <n v="23.6816"/>
    <n v="19079600"/>
    <n v="76.318399999999997"/>
    <s v="WA.4345.EBC.996.302.A.521211"/>
    <s v="Non COVID"/>
    <x v="0"/>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Belanja Barang"/>
    <s v="SEKRETARIAT BADAN RISET DAN SUMBERDAYA MANUSIA KELAUTAN DAN PERIKANAN"/>
    <n v="8220000"/>
    <n v="27.400000000000002"/>
    <n v="21780000"/>
    <n v="72.599999999999994"/>
    <s v="WA.4345.EBC.996.302.A.521811"/>
    <s v="Non COVID"/>
    <x v="4"/>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Belanja Barang"/>
    <s v="SEKRETARIAT BADAN RISET DAN SUMBERDAYA MANUSIA KELAUTAN DAN PERIKANAN"/>
    <n v="0"/>
    <n v="0"/>
    <n v="54200000"/>
    <n v="100"/>
    <s v="WA.4345.EBC.996.302.A.524111"/>
    <s v="Non COVID"/>
    <x v="2"/>
    <s v="Belanja Barang Non Operasional"/>
  </r>
  <r>
    <s v="032"/>
    <s v="12"/>
    <s v="WA"/>
    <x v="1"/>
    <s v="2378"/>
    <x v="1"/>
    <s v="CAN"/>
    <s v="2378.CAN. Sarana Bidang Teknologi Informasi dan Komunikasi"/>
    <s v="001"/>
    <x v="1"/>
    <n v="301"/>
    <x v="4"/>
    <s v="B"/>
    <x v="41"/>
    <n v="532111"/>
    <x v="7"/>
    <n v="800000"/>
    <n v="800000"/>
    <m/>
    <n v="800000"/>
    <x v="27"/>
    <m/>
    <m/>
    <m/>
    <m/>
    <m/>
    <m/>
    <m/>
    <m/>
    <m/>
    <m/>
    <m/>
    <m/>
    <x v="0"/>
    <x v="2"/>
    <x v="4"/>
    <n v="53"/>
    <s v="Belanja Modal"/>
    <s v="SEKRETARIAT BADAN RISET DAN SUMBERDAYA MANUSIA KELAUTAN DAN PERIKANAN"/>
    <n v="0"/>
    <n v="0"/>
    <n v="800000"/>
    <n v="100"/>
    <s v="WA.2378.CAN.001.301.B.532111"/>
    <s v="Non COVID"/>
    <x v="6"/>
    <s v="Belanja Modal"/>
  </r>
  <r>
    <s v="032"/>
    <s v="12"/>
    <s v="WA"/>
    <x v="1"/>
    <s v="2378"/>
    <x v="1"/>
    <s v="EBA"/>
    <s v="2378.EBA. Layanan Dukungan Manajemen Internal"/>
    <n v="958"/>
    <x v="2"/>
    <n v="311"/>
    <x v="5"/>
    <s v="B"/>
    <x v="41"/>
    <n v="521219"/>
    <x v="3"/>
    <n v="40434000"/>
    <n v="40434000"/>
    <m/>
    <n v="40434000"/>
    <x v="27"/>
    <m/>
    <m/>
    <m/>
    <m/>
    <m/>
    <m/>
    <m/>
    <m/>
    <m/>
    <m/>
    <m/>
    <m/>
    <x v="0"/>
    <x v="3"/>
    <x v="5"/>
    <s v="52"/>
    <s v="Belanja Barang"/>
    <s v="SEKRETARIAT BADAN RISET DAN SUMBERDAYA MANUSIA KELAUTAN DAN PERIKANAN"/>
    <n v="0"/>
    <n v="0"/>
    <n v="40434000"/>
    <n v="100"/>
    <s v="WA.2378.EBA.958.311.B.521219"/>
    <s v="Non COVID"/>
    <x v="3"/>
    <s v="Belanja Barang Non Operasional"/>
  </r>
  <r>
    <s v="032"/>
    <s v="12"/>
    <s v="WA"/>
    <x v="1"/>
    <s v="2378"/>
    <x v="1"/>
    <s v="EBA"/>
    <s v="2378.EBA. Layanan Dukungan Manajemen Internal"/>
    <n v="962"/>
    <x v="3"/>
    <n v="301"/>
    <x v="6"/>
    <s v="G"/>
    <x v="15"/>
    <n v="521811"/>
    <x v="4"/>
    <n v="266494000"/>
    <n v="266494000"/>
    <m/>
    <n v="266494000"/>
    <x v="27"/>
    <m/>
    <m/>
    <m/>
    <m/>
    <m/>
    <m/>
    <m/>
    <m/>
    <m/>
    <m/>
    <m/>
    <m/>
    <x v="0"/>
    <x v="0"/>
    <x v="0"/>
    <s v="52"/>
    <s v="Belanja Barang"/>
    <s v="SEKRETARIAT BADAN RISET DAN SUMBERDAYA MANUSIA KELAUTAN DAN PERIKANAN"/>
    <n v="0"/>
    <n v="0"/>
    <n v="266494000"/>
    <n v="100"/>
    <s v="WA.2378.EBA.962.301.G.521811"/>
    <s v="Non COVID"/>
    <x v="4"/>
    <s v="Belanja Barang Non Operasional"/>
  </r>
  <r>
    <s v="032"/>
    <s v="12"/>
    <s v="WA"/>
    <x v="1"/>
    <s v="2378"/>
    <x v="1"/>
    <s v="EBB"/>
    <s v="2378.EBB. Layanan Sarana dan Prasarana Internal"/>
    <n v="951"/>
    <x v="5"/>
    <n v="301"/>
    <x v="8"/>
    <s v="B"/>
    <x v="41"/>
    <n v="532111"/>
    <x v="7"/>
    <n v="934000"/>
    <n v="934000"/>
    <m/>
    <n v="934000"/>
    <x v="27"/>
    <m/>
    <m/>
    <m/>
    <m/>
    <m/>
    <m/>
    <m/>
    <m/>
    <m/>
    <m/>
    <m/>
    <m/>
    <x v="0"/>
    <x v="2"/>
    <x v="4"/>
    <n v="53"/>
    <s v="Belanja Modal"/>
    <s v="SEKRETARIAT BADAN RISET DAN SUMBERDAYA MANUSIA KELAUTAN DAN PERIKANAN"/>
    <n v="0"/>
    <n v="0"/>
    <n v="934000"/>
    <n v="100"/>
    <s v="WA.2378.EBB.951.301.B.532111"/>
    <s v="Non COVID"/>
    <x v="6"/>
    <s v="Belanja Modal"/>
  </r>
  <r>
    <s v="032"/>
    <s v="12"/>
    <s v="WA"/>
    <x v="1"/>
    <s v="2378"/>
    <x v="1"/>
    <s v="EBD"/>
    <s v="2378.EBD. Layanan Manajemen Kinerja Internal"/>
    <n v="952"/>
    <x v="6"/>
    <n v="301"/>
    <x v="9"/>
    <s v="D"/>
    <x v="42"/>
    <n v="524111"/>
    <x v="2"/>
    <n v="434566000"/>
    <n v="434566000"/>
    <m/>
    <n v="434566000"/>
    <x v="27"/>
    <m/>
    <m/>
    <m/>
    <m/>
    <m/>
    <m/>
    <m/>
    <m/>
    <m/>
    <m/>
    <m/>
    <m/>
    <x v="0"/>
    <x v="3"/>
    <x v="5"/>
    <s v="52"/>
    <s v="Belanja Barang"/>
    <s v="SEKRETARIAT BADAN RISET DAN SUMBERDAYA MANUSIA KELAUTAN DAN PERIKANAN"/>
    <n v="0"/>
    <n v="0"/>
    <n v="434566000"/>
    <n v="100"/>
    <s v="WA.2378.EBD.952.301.D.524111"/>
    <s v="Non COVID"/>
    <x v="2"/>
    <s v="Belanja Barang Non Operasional"/>
  </r>
  <r>
    <s v="032"/>
    <s v="12"/>
    <s v="WA"/>
    <x v="1"/>
    <s v="2378"/>
    <x v="1"/>
    <s v="EBD"/>
    <s v="2378.EBD. Layanan Manajemen Kinerja Internal"/>
    <n v="953"/>
    <x v="7"/>
    <n v="301"/>
    <x v="10"/>
    <s v="C"/>
    <x v="43"/>
    <n v="524111"/>
    <x v="2"/>
    <n v="387471000"/>
    <n v="387471000"/>
    <m/>
    <n v="387471000"/>
    <x v="27"/>
    <m/>
    <m/>
    <m/>
    <m/>
    <m/>
    <m/>
    <m/>
    <m/>
    <m/>
    <m/>
    <m/>
    <m/>
    <x v="0"/>
    <x v="3"/>
    <x v="6"/>
    <s v="52"/>
    <s v="Belanja Barang"/>
    <s v="SEKRETARIAT BADAN RISET DAN SUMBERDAYA MANUSIA KELAUTAN DAN PERIKANAN"/>
    <n v="0"/>
    <n v="0"/>
    <n v="387471000"/>
    <n v="100"/>
    <s v="WA.2378.EBD.953.301.C.524111"/>
    <s v="Non COVID"/>
    <x v="2"/>
    <s v="Belanja Barang Non Operasional"/>
  </r>
  <r>
    <s v="032"/>
    <s v="12"/>
    <s v="WA"/>
    <x v="1"/>
    <s v="2378"/>
    <x v="1"/>
    <s v="EBD"/>
    <s v="2378.EBD. Layanan Manajemen Kinerja Internal"/>
    <n v="953"/>
    <x v="7"/>
    <n v="302"/>
    <x v="11"/>
    <s v="B"/>
    <x v="41"/>
    <n v="521219"/>
    <x v="3"/>
    <n v="76463000"/>
    <n v="76463000"/>
    <m/>
    <n v="76463000"/>
    <x v="27"/>
    <m/>
    <m/>
    <m/>
    <m/>
    <m/>
    <m/>
    <m/>
    <m/>
    <m/>
    <m/>
    <m/>
    <m/>
    <x v="0"/>
    <x v="3"/>
    <x v="6"/>
    <s v="52"/>
    <s v="Belanja Barang"/>
    <s v="SEKRETARIAT BADAN RISET DAN SUMBERDAYA MANUSIA KELAUTAN DAN PERIKANAN"/>
    <n v="0"/>
    <n v="0"/>
    <n v="76463000"/>
    <n v="100"/>
    <s v="WA.2378.EBD.953.302.B.521219"/>
    <s v="Non COVID"/>
    <x v="3"/>
    <s v="Belanja Barang Non Operasional"/>
  </r>
  <r>
    <s v="032"/>
    <s v="12"/>
    <s v="WA"/>
    <x v="1"/>
    <s v="2378"/>
    <x v="1"/>
    <s v="EBD"/>
    <s v="2378.EBD. Layanan Manajemen Kinerja Internal"/>
    <n v="955"/>
    <x v="8"/>
    <n v="301"/>
    <x v="12"/>
    <s v="G"/>
    <x v="44"/>
    <n v="521219"/>
    <x v="3"/>
    <n v="92000000"/>
    <n v="92000000"/>
    <m/>
    <n v="92000000"/>
    <x v="27"/>
    <m/>
    <m/>
    <m/>
    <m/>
    <m/>
    <m/>
    <m/>
    <m/>
    <m/>
    <m/>
    <m/>
    <m/>
    <x v="0"/>
    <x v="2"/>
    <x v="7"/>
    <s v="52"/>
    <s v="Belanja Barang"/>
    <s v="SEKRETARIAT BADAN RISET DAN SUMBERDAYA MANUSIA KELAUTAN DAN PERIKANAN"/>
    <n v="0"/>
    <n v="0"/>
    <n v="92000000"/>
    <n v="100"/>
    <s v="WA.2378.EBD.955.301.G.521219"/>
    <s v="Non COVID"/>
    <x v="3"/>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043912-46A0-4906-A88B-512ECA16BEFC}" name="PivotTable1" cacheId="15"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L21" firstHeaderRow="1" firstDataRow="3" firstDataCol="1"/>
  <pivotFields count="5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Col" showAll="0" defaultSubtotal="0">
      <items count="5">
        <item x="1"/>
        <item x="0"/>
        <item x="3"/>
        <item x="2"/>
        <item m="1" x="4"/>
      </items>
    </pivotField>
    <pivotField axis="axisCol" showAll="0">
      <items count="10">
        <item x="6"/>
        <item x="2"/>
        <item x="3"/>
        <item x="7"/>
        <item x="0"/>
        <item x="5"/>
        <item x="1"/>
        <item x="4"/>
        <item m="1" x="8"/>
        <item t="default"/>
      </items>
    </pivotField>
    <pivotField showAll="0"/>
    <pivotField showAll="0"/>
    <pivotField showAll="0"/>
    <pivotField showAll="0"/>
    <pivotField numFmtId="43" showAll="0"/>
    <pivotField showAll="0"/>
    <pivotField numFmtId="43" showAll="0"/>
    <pivotField showAll="0"/>
    <pivotField showAll="0"/>
    <pivotField axis="axisRow"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2">
    <field x="33"/>
    <field x="45"/>
  </rowFields>
  <rowItems count="14">
    <i>
      <x/>
    </i>
    <i r="1">
      <x/>
    </i>
    <i r="1">
      <x v="1"/>
    </i>
    <i r="1">
      <x v="2"/>
    </i>
    <i r="1">
      <x v="3"/>
    </i>
    <i r="1">
      <x v="4"/>
    </i>
    <i r="1">
      <x v="5"/>
    </i>
    <i r="1">
      <x v="6"/>
    </i>
    <i r="1">
      <x v="7"/>
    </i>
    <i r="1">
      <x v="8"/>
    </i>
    <i r="1">
      <x v="9"/>
    </i>
    <i r="1">
      <x v="10"/>
    </i>
    <i r="1">
      <x v="11"/>
    </i>
    <i t="grand">
      <x/>
    </i>
  </rowItems>
  <colFields count="2">
    <field x="34"/>
    <field x="35"/>
  </colFields>
  <colItems count="9">
    <i>
      <x/>
      <x v="1"/>
    </i>
    <i r="1">
      <x v="2"/>
    </i>
    <i>
      <x v="1"/>
      <x v="4"/>
    </i>
    <i r="1">
      <x v="6"/>
    </i>
    <i>
      <x v="2"/>
      <x/>
    </i>
    <i r="1">
      <x v="5"/>
    </i>
    <i>
      <x v="3"/>
      <x v="3"/>
    </i>
    <i r="1">
      <x v="7"/>
    </i>
    <i t="grand">
      <x/>
    </i>
  </colItems>
  <dataFields count="1">
    <dataField name="Pagu-Blokir " fld="20" baseField="44" baseItem="4" numFmtId="41"/>
  </dataFields>
  <formats count="57">
    <format dxfId="4003">
      <pivotArea type="all" dataOnly="0" outline="0" fieldPosition="0"/>
    </format>
    <format dxfId="4002">
      <pivotArea outline="0" collapsedLevelsAreSubtotals="1" fieldPosition="0"/>
    </format>
    <format dxfId="4001">
      <pivotArea field="3" type="button" dataOnly="0" labelOnly="1" outline="0"/>
    </format>
    <format dxfId="4000">
      <pivotArea dataOnly="0" labelOnly="1" grandRow="1" outline="0" fieldPosition="0"/>
    </format>
    <format dxfId="3999">
      <pivotArea type="all" dataOnly="0" outline="0" fieldPosition="0"/>
    </format>
    <format dxfId="3998">
      <pivotArea outline="0" collapsedLevelsAreSubtotals="1" fieldPosition="0"/>
    </format>
    <format dxfId="3997">
      <pivotArea field="3" type="button" dataOnly="0" labelOnly="1" outline="0"/>
    </format>
    <format dxfId="3996">
      <pivotArea dataOnly="0" labelOnly="1" grandRow="1" outline="0" fieldPosition="0"/>
    </format>
    <format dxfId="3995">
      <pivotArea field="3" type="button" dataOnly="0" labelOnly="1" outline="0"/>
    </format>
    <format dxfId="3994">
      <pivotArea field="3" type="button" dataOnly="0" labelOnly="1" outline="0"/>
    </format>
    <format dxfId="3993">
      <pivotArea field="3" type="button" dataOnly="0" labelOnly="1" outline="0"/>
    </format>
    <format dxfId="3992">
      <pivotArea field="3" type="button" dataOnly="0" labelOnly="1" outline="0"/>
    </format>
    <format dxfId="3991">
      <pivotArea dataOnly="0" labelOnly="1" grandRow="1" outline="0" fieldPosition="0"/>
    </format>
    <format dxfId="3990">
      <pivotArea type="all" dataOnly="0" outline="0" fieldPosition="0"/>
    </format>
    <format dxfId="3989">
      <pivotArea outline="0" collapsedLevelsAreSubtotals="1" fieldPosition="0"/>
    </format>
    <format dxfId="3988">
      <pivotArea field="33" type="button" dataOnly="0" labelOnly="1" outline="0" axis="axisRow" fieldPosition="0"/>
    </format>
    <format dxfId="3987">
      <pivotArea dataOnly="0" labelOnly="1" grandRow="1" outline="0" fieldPosition="0"/>
    </format>
    <format dxfId="3986">
      <pivotArea dataOnly="0" labelOnly="1" fieldPosition="0">
        <references count="1">
          <reference field="35" count="0"/>
        </references>
      </pivotArea>
    </format>
    <format dxfId="3985">
      <pivotArea dataOnly="0" labelOnly="1" fieldPosition="0">
        <references count="1">
          <reference field="35" count="0"/>
        </references>
      </pivotArea>
    </format>
    <format dxfId="3984">
      <pivotArea dataOnly="0" labelOnly="1" fieldPosition="0">
        <references count="1">
          <reference field="35" count="0"/>
        </references>
      </pivotArea>
    </format>
    <format dxfId="3983">
      <pivotArea dataOnly="0" labelOnly="1" fieldPosition="0">
        <references count="1">
          <reference field="35" count="0"/>
        </references>
      </pivotArea>
    </format>
    <format dxfId="3982">
      <pivotArea dataOnly="0" labelOnly="1" fieldPosition="0">
        <references count="1">
          <reference field="35" count="0"/>
        </references>
      </pivotArea>
    </format>
    <format dxfId="3981">
      <pivotArea dataOnly="0" labelOnly="1" fieldPosition="0">
        <references count="1">
          <reference field="35" count="0"/>
        </references>
      </pivotArea>
    </format>
    <format dxfId="3980">
      <pivotArea dataOnly="0" labelOnly="1" grandRow="1" outline="0" fieldPosition="0"/>
    </format>
    <format dxfId="3979">
      <pivotArea field="33" type="button" dataOnly="0" labelOnly="1" outline="0" axis="axisRow" fieldPosition="0"/>
    </format>
    <format dxfId="3978">
      <pivotArea field="33" type="button" dataOnly="0" labelOnly="1" outline="0" axis="axisRow" fieldPosition="0"/>
    </format>
    <format dxfId="3977">
      <pivotArea field="33" type="button" dataOnly="0" labelOnly="1" outline="0" axis="axisRow" fieldPosition="0"/>
    </format>
    <format dxfId="3976">
      <pivotArea field="33" type="button" dataOnly="0" labelOnly="1" outline="0" axis="axisRow" fieldPosition="0"/>
    </format>
    <format dxfId="3975">
      <pivotArea type="all" dataOnly="0" outline="0" fieldPosition="0"/>
    </format>
    <format dxfId="3974">
      <pivotArea outline="0" collapsedLevelsAreSubtotals="1" fieldPosition="0"/>
    </format>
    <format dxfId="3973">
      <pivotArea field="33" type="button" dataOnly="0" labelOnly="1" outline="0" axis="axisRow" fieldPosition="0"/>
    </format>
    <format dxfId="3972">
      <pivotArea dataOnly="0" labelOnly="1" grandRow="1" outline="0" fieldPosition="0"/>
    </format>
    <format dxfId="3971">
      <pivotArea type="all" dataOnly="0" outline="0" fieldPosition="0"/>
    </format>
    <format dxfId="3970">
      <pivotArea outline="0" collapsedLevelsAreSubtotals="1" fieldPosition="0"/>
    </format>
    <format dxfId="3969">
      <pivotArea field="33" type="button" dataOnly="0" labelOnly="1" outline="0" axis="axisRow" fieldPosition="0"/>
    </format>
    <format dxfId="3968">
      <pivotArea dataOnly="0" labelOnly="1" grandRow="1" outline="0" fieldPosition="0"/>
    </format>
    <format dxfId="3967">
      <pivotArea field="33" type="button" dataOnly="0" labelOnly="1" outline="0" axis="axisRow" fieldPosition="0"/>
    </format>
    <format dxfId="3966">
      <pivotArea dataOnly="0" labelOnly="1" grandRow="1" outline="0" fieldPosition="0"/>
    </format>
    <format dxfId="3965">
      <pivotArea field="33" type="button" dataOnly="0" labelOnly="1" outline="0" axis="axisRow" fieldPosition="0"/>
    </format>
    <format dxfId="3964">
      <pivotArea dataOnly="0" labelOnly="1" grandRow="1" outline="0" fieldPosition="0"/>
    </format>
    <format dxfId="3963">
      <pivotArea type="all" dataOnly="0" outline="0" fieldPosition="0"/>
    </format>
    <format dxfId="3962">
      <pivotArea outline="0" collapsedLevelsAreSubtotals="1" fieldPosition="0"/>
    </format>
    <format dxfId="3961">
      <pivotArea field="33" type="button" dataOnly="0" labelOnly="1" outline="0" axis="axisRow" fieldPosition="0"/>
    </format>
    <format dxfId="3960">
      <pivotArea dataOnly="0" labelOnly="1" grandRow="1" outline="0" fieldPosition="0"/>
    </format>
    <format dxfId="3959">
      <pivotArea outline="0" fieldPosition="0">
        <references count="1">
          <reference field="4294967294" count="1">
            <x v="0"/>
          </reference>
        </references>
      </pivotArea>
    </format>
    <format dxfId="3958">
      <pivotArea dataOnly="0" labelOnly="1" fieldPosition="0">
        <references count="2">
          <reference field="33" count="0" selected="0"/>
          <reference field="45" count="0"/>
        </references>
      </pivotArea>
    </format>
    <format dxfId="3957">
      <pivotArea dataOnly="0" labelOnly="1" fieldPosition="0">
        <references count="2">
          <reference field="33" count="0" selected="0"/>
          <reference field="45" count="0"/>
        </references>
      </pivotArea>
    </format>
    <format dxfId="3956">
      <pivotArea field="33" type="button" dataOnly="0" labelOnly="1" outline="0" axis="axisRow" fieldPosition="0"/>
    </format>
    <format dxfId="3955">
      <pivotArea dataOnly="0" labelOnly="1" fieldPosition="0">
        <references count="1">
          <reference field="35" count="0"/>
        </references>
      </pivotArea>
    </format>
    <format dxfId="3954">
      <pivotArea dataOnly="0" labelOnly="1" grandCol="1" outline="0" fieldPosition="0"/>
    </format>
    <format dxfId="3953">
      <pivotArea field="33" type="button" dataOnly="0" labelOnly="1" outline="0" axis="axisRow" fieldPosition="0"/>
    </format>
    <format dxfId="3952">
      <pivotArea dataOnly="0" labelOnly="1" fieldPosition="0">
        <references count="1">
          <reference field="35" count="0"/>
        </references>
      </pivotArea>
    </format>
    <format dxfId="3951">
      <pivotArea dataOnly="0" labelOnly="1" grandCol="1" outline="0" fieldPosition="0"/>
    </format>
    <format dxfId="3950">
      <pivotArea dataOnly="0" labelOnly="1" fieldPosition="0">
        <references count="1">
          <reference field="34" count="1">
            <x v="0"/>
          </reference>
        </references>
      </pivotArea>
    </format>
    <format dxfId="3949">
      <pivotArea dataOnly="0" labelOnly="1" fieldPosition="0">
        <references count="1">
          <reference field="34" count="1">
            <x v="1"/>
          </reference>
        </references>
      </pivotArea>
    </format>
    <format dxfId="3948">
      <pivotArea dataOnly="0" labelOnly="1" fieldPosition="0">
        <references count="1">
          <reference field="34" count="1">
            <x v="2"/>
          </reference>
        </references>
      </pivotArea>
    </format>
    <format dxfId="3947">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00C5D-3C56-4E9C-8BA5-29D613CACA5B}" name="PivotTable1" cacheId="15"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P88" firstHeaderRow="1" firstDataRow="2" firstDataCol="1"/>
  <pivotFields count="50">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5"/>
  </colFields>
  <colItems count="13">
    <i>
      <x/>
    </i>
    <i>
      <x v="1"/>
    </i>
    <i>
      <x v="2"/>
    </i>
    <i>
      <x v="3"/>
    </i>
    <i>
      <x v="4"/>
    </i>
    <i>
      <x v="5"/>
    </i>
    <i>
      <x v="6"/>
    </i>
    <i>
      <x v="7"/>
    </i>
    <i>
      <x v="8"/>
    </i>
    <i>
      <x v="9"/>
    </i>
    <i>
      <x v="10"/>
    </i>
    <i>
      <x v="11"/>
    </i>
    <i t="grand">
      <x/>
    </i>
  </colItems>
  <dataFields count="1">
    <dataField name="Pagu-Blokir " fld="20" baseField="34" baseItem="1" numFmtId="41"/>
  </dataFields>
  <formats count="310">
    <format dxfId="3945">
      <pivotArea dataOnly="0" labelOnly="1" fieldPosition="0">
        <references count="1">
          <reference field="3" count="0"/>
        </references>
      </pivotArea>
    </format>
    <format dxfId="3944">
      <pivotArea dataOnly="0" labelOnly="1" fieldPosition="0">
        <references count="1">
          <reference field="5" count="0"/>
        </references>
      </pivotArea>
    </format>
    <format dxfId="3943">
      <pivotArea dataOnly="0" labelOnly="1" fieldPosition="0">
        <references count="1">
          <reference field="11" count="0"/>
        </references>
      </pivotArea>
    </format>
    <format dxfId="3942">
      <pivotArea dataOnly="0" labelOnly="1" fieldPosition="0">
        <references count="1">
          <reference field="13" count="0"/>
        </references>
      </pivotArea>
    </format>
    <format dxfId="3941">
      <pivotArea type="all" dataOnly="0" outline="0" fieldPosition="0"/>
    </format>
    <format dxfId="3940">
      <pivotArea outline="0" collapsedLevelsAreSubtotals="1" fieldPosition="0"/>
    </format>
    <format dxfId="3939">
      <pivotArea field="3" type="button" dataOnly="0" labelOnly="1" outline="0" axis="axisRow" fieldPosition="1"/>
    </format>
    <format dxfId="3938">
      <pivotArea dataOnly="0" labelOnly="1" fieldPosition="0">
        <references count="1">
          <reference field="3" count="0"/>
        </references>
      </pivotArea>
    </format>
    <format dxfId="3937">
      <pivotArea dataOnly="0" labelOnly="1" grandRow="1" outline="0" fieldPosition="0"/>
    </format>
    <format dxfId="3936">
      <pivotArea dataOnly="0" labelOnly="1" fieldPosition="0">
        <references count="2">
          <reference field="3" count="1" selected="0">
            <x v="0"/>
          </reference>
          <reference field="5" count="1">
            <x v="0"/>
          </reference>
        </references>
      </pivotArea>
    </format>
    <format dxfId="3935">
      <pivotArea dataOnly="0" labelOnly="1" fieldPosition="0">
        <references count="2">
          <reference field="3" count="1" selected="0">
            <x v="1"/>
          </reference>
          <reference field="5" count="2">
            <x v="1"/>
            <x v="2"/>
          </reference>
        </references>
      </pivotArea>
    </format>
    <format dxfId="3934">
      <pivotArea type="all" dataOnly="0" outline="0" fieldPosition="0"/>
    </format>
    <format dxfId="3933">
      <pivotArea outline="0" collapsedLevelsAreSubtotals="1" fieldPosition="0"/>
    </format>
    <format dxfId="3932">
      <pivotArea field="3" type="button" dataOnly="0" labelOnly="1" outline="0" axis="axisRow" fieldPosition="1"/>
    </format>
    <format dxfId="3931">
      <pivotArea dataOnly="0" labelOnly="1" fieldPosition="0">
        <references count="1">
          <reference field="3" count="0"/>
        </references>
      </pivotArea>
    </format>
    <format dxfId="3930">
      <pivotArea dataOnly="0" labelOnly="1" grandRow="1" outline="0" fieldPosition="0"/>
    </format>
    <format dxfId="3929">
      <pivotArea dataOnly="0" labelOnly="1" fieldPosition="0">
        <references count="2">
          <reference field="3" count="1" selected="0">
            <x v="0"/>
          </reference>
          <reference field="5" count="1">
            <x v="0"/>
          </reference>
        </references>
      </pivotArea>
    </format>
    <format dxfId="3928">
      <pivotArea dataOnly="0" labelOnly="1" fieldPosition="0">
        <references count="2">
          <reference field="3" count="1" selected="0">
            <x v="1"/>
          </reference>
          <reference field="5" count="2">
            <x v="1"/>
            <x v="2"/>
          </reference>
        </references>
      </pivotArea>
    </format>
    <format dxfId="3927">
      <pivotArea collapsedLevelsAreSubtotals="1" fieldPosition="0">
        <references count="1">
          <reference field="3" count="1">
            <x v="0"/>
          </reference>
        </references>
      </pivotArea>
    </format>
    <format dxfId="3926">
      <pivotArea collapsedLevelsAreSubtotals="1" fieldPosition="0">
        <references count="1">
          <reference field="3" count="1">
            <x v="1"/>
          </reference>
        </references>
      </pivotArea>
    </format>
    <format dxfId="3925">
      <pivotArea collapsedLevelsAreSubtotals="1" fieldPosition="0">
        <references count="2">
          <reference field="3" count="1" selected="0">
            <x v="1"/>
          </reference>
          <reference field="5" count="1">
            <x v="1"/>
          </reference>
        </references>
      </pivotArea>
    </format>
    <format dxfId="3924">
      <pivotArea field="3" type="button" dataOnly="0" labelOnly="1" outline="0" axis="axisRow" fieldPosition="1"/>
    </format>
    <format dxfId="3923">
      <pivotArea collapsedLevelsAreSubtotals="1" fieldPosition="0">
        <references count="2">
          <reference field="3" count="1" selected="0">
            <x v="1"/>
          </reference>
          <reference field="5" count="1">
            <x v="2"/>
          </reference>
        </references>
      </pivotArea>
    </format>
    <format dxfId="3922">
      <pivotArea collapsedLevelsAreSubtotals="1" fieldPosition="0">
        <references count="2">
          <reference field="3" count="1" selected="0">
            <x v="0"/>
          </reference>
          <reference field="5" count="1">
            <x v="0"/>
          </reference>
        </references>
      </pivotArea>
    </format>
    <format dxfId="3921">
      <pivotArea field="3" type="button" dataOnly="0" labelOnly="1" outline="0" axis="axisRow" fieldPosition="1"/>
    </format>
    <format dxfId="3920">
      <pivotArea field="3" type="button" dataOnly="0" labelOnly="1" outline="0" axis="axisRow" fieldPosition="1"/>
    </format>
    <format dxfId="3919">
      <pivotArea field="3" type="button" dataOnly="0" labelOnly="1" outline="0" axis="axisRow" fieldPosition="1"/>
    </format>
    <format dxfId="3918">
      <pivotArea dataOnly="0" labelOnly="1" fieldPosition="0">
        <references count="1">
          <reference field="3" count="0"/>
        </references>
      </pivotArea>
    </format>
    <format dxfId="3917">
      <pivotArea dataOnly="0" labelOnly="1" grandRow="1" outline="0" fieldPosition="0"/>
    </format>
    <format dxfId="3916">
      <pivotArea dataOnly="0" labelOnly="1" fieldPosition="0">
        <references count="2">
          <reference field="3" count="1" selected="0">
            <x v="0"/>
          </reference>
          <reference field="5" count="1">
            <x v="0"/>
          </reference>
        </references>
      </pivotArea>
    </format>
    <format dxfId="3915">
      <pivotArea dataOnly="0" labelOnly="1" fieldPosition="0">
        <references count="2">
          <reference field="3" count="1" selected="0">
            <x v="1"/>
          </reference>
          <reference field="5" count="2">
            <x v="1"/>
            <x v="2"/>
          </reference>
        </references>
      </pivotArea>
    </format>
    <format dxfId="3914">
      <pivotArea dataOnly="0" labelOnly="1" fieldPosition="0">
        <references count="1">
          <reference field="13" count="0"/>
        </references>
      </pivotArea>
    </format>
    <format dxfId="3913">
      <pivotArea dataOnly="0" labelOnly="1" fieldPosition="0">
        <references count="1">
          <reference field="13" count="0"/>
        </references>
      </pivotArea>
    </format>
    <format dxfId="3912">
      <pivotArea type="all" dataOnly="0" outline="0" fieldPosition="0"/>
    </format>
    <format dxfId="3911">
      <pivotArea outline="0" collapsedLevelsAreSubtotals="1" fieldPosition="0"/>
    </format>
    <format dxfId="3910">
      <pivotArea field="33" type="button" dataOnly="0" labelOnly="1" outline="0" axis="axisRow" fieldPosition="0"/>
    </format>
    <format dxfId="3909">
      <pivotArea dataOnly="0" labelOnly="1" grandRow="1" outline="0" fieldPosition="0"/>
    </format>
    <format dxfId="3908">
      <pivotArea dataOnly="0" labelOnly="1" fieldPosition="0">
        <references count="2">
          <reference field="3" count="0"/>
          <reference field="33" count="0" selected="0"/>
        </references>
      </pivotArea>
    </format>
    <format dxfId="3907">
      <pivotArea dataOnly="0" labelOnly="1" fieldPosition="0">
        <references count="3">
          <reference field="3" count="1" selected="0">
            <x v="0"/>
          </reference>
          <reference field="5" count="1">
            <x v="0"/>
          </reference>
          <reference field="33" count="0" selected="0"/>
        </references>
      </pivotArea>
    </format>
    <format dxfId="3906">
      <pivotArea dataOnly="0" labelOnly="1" fieldPosition="0">
        <references count="3">
          <reference field="3" count="1" selected="0">
            <x v="1"/>
          </reference>
          <reference field="5" count="2">
            <x v="1"/>
            <x v="2"/>
          </reference>
          <reference field="33" count="0" selected="0"/>
        </references>
      </pivotArea>
    </format>
    <format dxfId="3905">
      <pivotArea dataOnly="0" labelOnly="1" fieldPosition="0">
        <references count="1">
          <reference field="34" count="0"/>
        </references>
      </pivotArea>
    </format>
    <format dxfId="3904">
      <pivotArea dataOnly="0" labelOnly="1" fieldPosition="0">
        <references count="1">
          <reference field="35" count="0"/>
        </references>
      </pivotArea>
    </format>
    <format dxfId="3903">
      <pivotArea dataOnly="0" labelOnly="1" fieldPosition="0">
        <references count="1">
          <reference field="35" count="0"/>
        </references>
      </pivotArea>
    </format>
    <format dxfId="3902">
      <pivotArea dataOnly="0" labelOnly="1" fieldPosition="0">
        <references count="1">
          <reference field="35" count="0"/>
        </references>
      </pivotArea>
    </format>
    <format dxfId="3901">
      <pivotArea dataOnly="0" labelOnly="1" fieldPosition="0">
        <references count="1">
          <reference field="35" count="0"/>
        </references>
      </pivotArea>
    </format>
    <format dxfId="3900">
      <pivotArea dataOnly="0" labelOnly="1" fieldPosition="0">
        <references count="1">
          <reference field="34" count="0"/>
        </references>
      </pivotArea>
    </format>
    <format dxfId="3899">
      <pivotArea dataOnly="0" labelOnly="1" fieldPosition="0">
        <references count="1">
          <reference field="34" count="0"/>
        </references>
      </pivotArea>
    </format>
    <format dxfId="3898">
      <pivotArea dataOnly="0" labelOnly="1" fieldPosition="0">
        <references count="1">
          <reference field="34" count="0"/>
        </references>
      </pivotArea>
    </format>
    <format dxfId="3897">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3896">
      <pivotArea dataOnly="0" labelOnly="1" fieldPosition="0">
        <references count="4">
          <reference field="3" count="1" selected="0">
            <x v="0"/>
          </reference>
          <reference field="5" count="1" selected="0">
            <x v="0"/>
          </reference>
          <reference field="33" count="0" selected="0"/>
          <reference field="34" count="1">
            <x v="0"/>
          </reference>
        </references>
      </pivotArea>
    </format>
    <format dxfId="3895">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3894">
      <pivotArea dataOnly="0" labelOnly="1" fieldPosition="0">
        <references count="4">
          <reference field="3" count="1" selected="0">
            <x v="0"/>
          </reference>
          <reference field="5" count="1" selected="0">
            <x v="0"/>
          </reference>
          <reference field="33" count="0" selected="0"/>
          <reference field="34" count="1">
            <x v="1"/>
          </reference>
        </references>
      </pivotArea>
    </format>
    <format dxfId="3893">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3892">
      <pivotArea dataOnly="0" labelOnly="1" fieldPosition="0">
        <references count="4">
          <reference field="3" count="1" selected="0">
            <x v="1"/>
          </reference>
          <reference field="5" count="1" selected="0">
            <x v="1"/>
          </reference>
          <reference field="33" count="0" selected="0"/>
          <reference field="34" count="1">
            <x v="0"/>
          </reference>
        </references>
      </pivotArea>
    </format>
    <format dxfId="3891">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3890">
      <pivotArea dataOnly="0" labelOnly="1" fieldPosition="0">
        <references count="4">
          <reference field="3" count="1" selected="0">
            <x v="1"/>
          </reference>
          <reference field="5" count="1" selected="0">
            <x v="1"/>
          </reference>
          <reference field="33" count="0" selected="0"/>
          <reference field="34" count="1">
            <x v="1"/>
          </reference>
        </references>
      </pivotArea>
    </format>
    <format dxfId="3889">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3888">
      <pivotArea dataOnly="0" labelOnly="1" fieldPosition="0">
        <references count="4">
          <reference field="3" count="1" selected="0">
            <x v="1"/>
          </reference>
          <reference field="5" count="1" selected="0">
            <x v="1"/>
          </reference>
          <reference field="33" count="0" selected="0"/>
          <reference field="34" count="1">
            <x v="2"/>
          </reference>
        </references>
      </pivotArea>
    </format>
    <format dxfId="3887">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3886">
      <pivotArea dataOnly="0" labelOnly="1" fieldPosition="0">
        <references count="4">
          <reference field="3" count="1" selected="0">
            <x v="1"/>
          </reference>
          <reference field="5" count="1" selected="0">
            <x v="1"/>
          </reference>
          <reference field="33" count="0" selected="0"/>
          <reference field="34" count="1">
            <x v="3"/>
          </reference>
        </references>
      </pivotArea>
    </format>
    <format dxfId="3885">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388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883">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882">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88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880">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87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878">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87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876">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875">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87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873">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872">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87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870">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86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868">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86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866">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86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864">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86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862">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861">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86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859">
      <pivotArea dataOnly="0" labelOnly="1" fieldPosition="0">
        <references count="1">
          <reference field="33" count="0"/>
        </references>
      </pivotArea>
    </format>
    <format dxfId="3858">
      <pivotArea collapsedLevelsAreSubtotals="1" fieldPosition="0">
        <references count="1">
          <reference field="33" count="0"/>
        </references>
      </pivotArea>
    </format>
    <format dxfId="3857">
      <pivotArea dataOnly="0" labelOnly="1" fieldPosition="0">
        <references count="1">
          <reference field="33" count="0"/>
        </references>
      </pivotArea>
    </format>
    <format dxfId="3856">
      <pivotArea dataOnly="0" labelOnly="1" fieldPosition="0">
        <references count="1">
          <reference field="13" count="0"/>
        </references>
      </pivotArea>
    </format>
    <format dxfId="3855">
      <pivotArea dataOnly="0" labelOnly="1" fieldPosition="0">
        <references count="1">
          <reference field="11" count="0"/>
        </references>
      </pivotArea>
    </format>
    <format dxfId="3854">
      <pivotArea dataOnly="0" labelOnly="1" fieldPosition="0">
        <references count="1">
          <reference field="11" count="0"/>
        </references>
      </pivotArea>
    </format>
    <format dxfId="3853">
      <pivotArea dataOnly="0" labelOnly="1" fieldPosition="0">
        <references count="1">
          <reference field="13" count="0"/>
        </references>
      </pivotArea>
    </format>
    <format dxfId="3852">
      <pivotArea dataOnly="0" labelOnly="1" fieldPosition="0">
        <references count="1">
          <reference field="13" count="0"/>
        </references>
      </pivotArea>
    </format>
    <format dxfId="3851">
      <pivotArea dataOnly="0" labelOnly="1" fieldPosition="0">
        <references count="1">
          <reference field="35" count="0"/>
        </references>
      </pivotArea>
    </format>
    <format dxfId="3850">
      <pivotArea dataOnly="0" labelOnly="1" fieldPosition="0">
        <references count="1">
          <reference field="35" count="0"/>
        </references>
      </pivotArea>
    </format>
    <format dxfId="3849">
      <pivotArea dataOnly="0" labelOnly="1" fieldPosition="0">
        <references count="1">
          <reference field="11" count="0"/>
        </references>
      </pivotArea>
    </format>
    <format dxfId="3848">
      <pivotArea dataOnly="0" labelOnly="1" grandRow="1" outline="0" fieldPosition="0"/>
    </format>
    <format dxfId="3847">
      <pivotArea field="33" type="button" dataOnly="0" labelOnly="1" outline="0" axis="axisRow" fieldPosition="0"/>
    </format>
    <format dxfId="3846">
      <pivotArea field="33" type="button" dataOnly="0" labelOnly="1" outline="0" axis="axisRow" fieldPosition="0"/>
    </format>
    <format dxfId="3845">
      <pivotArea field="33" type="button" dataOnly="0" labelOnly="1" outline="0" axis="axisRow" fieldPosition="0"/>
    </format>
    <format dxfId="3844">
      <pivotArea field="33" type="button" dataOnly="0" labelOnly="1" outline="0" axis="axisRow" fieldPosition="0"/>
    </format>
    <format dxfId="3843">
      <pivotArea type="all" dataOnly="0" outline="0" fieldPosition="0"/>
    </format>
    <format dxfId="3842">
      <pivotArea outline="0" collapsedLevelsAreSubtotals="1" fieldPosition="0"/>
    </format>
    <format dxfId="3841">
      <pivotArea field="33" type="button" dataOnly="0" labelOnly="1" outline="0" axis="axisRow" fieldPosition="0"/>
    </format>
    <format dxfId="3840">
      <pivotArea dataOnly="0" labelOnly="1" fieldPosition="0">
        <references count="1">
          <reference field="33" count="0"/>
        </references>
      </pivotArea>
    </format>
    <format dxfId="3839">
      <pivotArea dataOnly="0" labelOnly="1" grandRow="1" outline="0" fieldPosition="0"/>
    </format>
    <format dxfId="3838">
      <pivotArea dataOnly="0" labelOnly="1" fieldPosition="0">
        <references count="2">
          <reference field="3" count="0"/>
          <reference field="33" count="0" selected="0"/>
        </references>
      </pivotArea>
    </format>
    <format dxfId="3837">
      <pivotArea dataOnly="0" labelOnly="1" fieldPosition="0">
        <references count="3">
          <reference field="3" count="1" selected="0">
            <x v="0"/>
          </reference>
          <reference field="5" count="1">
            <x v="0"/>
          </reference>
          <reference field="33" count="0" selected="0"/>
        </references>
      </pivotArea>
    </format>
    <format dxfId="3836">
      <pivotArea dataOnly="0" labelOnly="1" fieldPosition="0">
        <references count="3">
          <reference field="3" count="1" selected="0">
            <x v="1"/>
          </reference>
          <reference field="5" count="2">
            <x v="1"/>
            <x v="2"/>
          </reference>
          <reference field="33" count="0" selected="0"/>
        </references>
      </pivotArea>
    </format>
    <format dxfId="383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834">
      <pivotArea dataOnly="0" labelOnly="1" fieldPosition="0">
        <references count="4">
          <reference field="3" count="1" selected="0">
            <x v="1"/>
          </reference>
          <reference field="5" count="1" selected="0">
            <x v="1"/>
          </reference>
          <reference field="33" count="0" selected="0"/>
          <reference field="34" count="0"/>
        </references>
      </pivotArea>
    </format>
    <format dxfId="3833">
      <pivotArea dataOnly="0" labelOnly="1" fieldPosition="0">
        <references count="4">
          <reference field="3" count="1" selected="0">
            <x v="1"/>
          </reference>
          <reference field="5" count="1" selected="0">
            <x v="2"/>
          </reference>
          <reference field="33" count="0" selected="0"/>
          <reference field="34" count="1">
            <x v="2"/>
          </reference>
        </references>
      </pivotArea>
    </format>
    <format dxfId="383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83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83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82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82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82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82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825">
      <pivotArea type="all" dataOnly="0" outline="0" fieldPosition="0"/>
    </format>
    <format dxfId="3824">
      <pivotArea outline="0" collapsedLevelsAreSubtotals="1" fieldPosition="0"/>
    </format>
    <format dxfId="3823">
      <pivotArea field="33" type="button" dataOnly="0" labelOnly="1" outline="0" axis="axisRow" fieldPosition="0"/>
    </format>
    <format dxfId="3822">
      <pivotArea dataOnly="0" labelOnly="1" fieldPosition="0">
        <references count="1">
          <reference field="33" count="0"/>
        </references>
      </pivotArea>
    </format>
    <format dxfId="3821">
      <pivotArea dataOnly="0" labelOnly="1" grandRow="1" outline="0" fieldPosition="0"/>
    </format>
    <format dxfId="3820">
      <pivotArea dataOnly="0" labelOnly="1" fieldPosition="0">
        <references count="2">
          <reference field="3" count="0"/>
          <reference field="33" count="0" selected="0"/>
        </references>
      </pivotArea>
    </format>
    <format dxfId="3819">
      <pivotArea dataOnly="0" labelOnly="1" fieldPosition="0">
        <references count="3">
          <reference field="3" count="1" selected="0">
            <x v="0"/>
          </reference>
          <reference field="5" count="1">
            <x v="0"/>
          </reference>
          <reference field="33" count="0" selected="0"/>
        </references>
      </pivotArea>
    </format>
    <format dxfId="3818">
      <pivotArea dataOnly="0" labelOnly="1" fieldPosition="0">
        <references count="3">
          <reference field="3" count="1" selected="0">
            <x v="1"/>
          </reference>
          <reference field="5" count="2">
            <x v="1"/>
            <x v="2"/>
          </reference>
          <reference field="33" count="0" selected="0"/>
        </references>
      </pivotArea>
    </format>
    <format dxfId="381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816">
      <pivotArea dataOnly="0" labelOnly="1" fieldPosition="0">
        <references count="4">
          <reference field="3" count="1" selected="0">
            <x v="1"/>
          </reference>
          <reference field="5" count="1" selected="0">
            <x v="1"/>
          </reference>
          <reference field="33" count="0" selected="0"/>
          <reference field="34" count="0"/>
        </references>
      </pivotArea>
    </format>
    <format dxfId="381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81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81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81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81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81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80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80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807">
      <pivotArea dataOnly="0" labelOnly="1" fieldPosition="0">
        <references count="1">
          <reference field="11" count="0"/>
        </references>
      </pivotArea>
    </format>
    <format dxfId="3806">
      <pivotArea dataOnly="0" labelOnly="1" fieldPosition="0">
        <references count="1">
          <reference field="11" count="0"/>
        </references>
      </pivotArea>
    </format>
    <format dxfId="3805">
      <pivotArea dataOnly="0" labelOnly="1" fieldPosition="0">
        <references count="1">
          <reference field="13" count="0"/>
        </references>
      </pivotArea>
    </format>
    <format dxfId="3804">
      <pivotArea dataOnly="0" labelOnly="1" fieldPosition="0">
        <references count="1">
          <reference field="13" count="0"/>
        </references>
      </pivotArea>
    </format>
    <format dxfId="3803">
      <pivotArea dataOnly="0" labelOnly="1" fieldPosition="0">
        <references count="1">
          <reference field="13" count="0"/>
        </references>
      </pivotArea>
    </format>
    <format dxfId="3802">
      <pivotArea dataOnly="0" labelOnly="1" fieldPosition="0">
        <references count="1">
          <reference field="15" count="0"/>
        </references>
      </pivotArea>
    </format>
    <format dxfId="3801">
      <pivotArea dataOnly="0" labelOnly="1" fieldPosition="0">
        <references count="1">
          <reference field="15" count="0"/>
        </references>
      </pivotArea>
    </format>
    <format dxfId="3800">
      <pivotArea dataOnly="0" labelOnly="1" fieldPosition="0">
        <references count="1">
          <reference field="15" count="0"/>
        </references>
      </pivotArea>
    </format>
    <format dxfId="3799">
      <pivotArea dataOnly="0" labelOnly="1" fieldPosition="0">
        <references count="1">
          <reference field="15" count="0"/>
        </references>
      </pivotArea>
    </format>
    <format dxfId="3798">
      <pivotArea dataOnly="0" labelOnly="1" fieldPosition="0">
        <references count="1">
          <reference field="15" count="0"/>
        </references>
      </pivotArea>
    </format>
    <format dxfId="3797">
      <pivotArea field="33" type="button" dataOnly="0" labelOnly="1" outline="0" axis="axisRow" fieldPosition="0"/>
    </format>
    <format dxfId="3796">
      <pivotArea dataOnly="0" labelOnly="1" fieldPosition="0">
        <references count="1">
          <reference field="33" count="0"/>
        </references>
      </pivotArea>
    </format>
    <format dxfId="3795">
      <pivotArea dataOnly="0" labelOnly="1" grandRow="1" outline="0" fieldPosition="0"/>
    </format>
    <format dxfId="3794">
      <pivotArea dataOnly="0" labelOnly="1" fieldPosition="0">
        <references count="2">
          <reference field="3" count="0"/>
          <reference field="33" count="0" selected="0"/>
        </references>
      </pivotArea>
    </format>
    <format dxfId="3793">
      <pivotArea dataOnly="0" labelOnly="1" fieldPosition="0">
        <references count="3">
          <reference field="3" count="1" selected="0">
            <x v="0"/>
          </reference>
          <reference field="5" count="1">
            <x v="0"/>
          </reference>
          <reference field="33" count="0" selected="0"/>
        </references>
      </pivotArea>
    </format>
    <format dxfId="3792">
      <pivotArea dataOnly="0" labelOnly="1" fieldPosition="0">
        <references count="3">
          <reference field="3" count="1" selected="0">
            <x v="1"/>
          </reference>
          <reference field="5" count="2">
            <x v="1"/>
            <x v="2"/>
          </reference>
          <reference field="33" count="0" selected="0"/>
        </references>
      </pivotArea>
    </format>
    <format dxfId="379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790">
      <pivotArea dataOnly="0" labelOnly="1" fieldPosition="0">
        <references count="4">
          <reference field="3" count="1" selected="0">
            <x v="1"/>
          </reference>
          <reference field="5" count="1" selected="0">
            <x v="1"/>
          </reference>
          <reference field="33" count="0" selected="0"/>
          <reference field="34" count="0"/>
        </references>
      </pivotArea>
    </format>
    <format dxfId="3789">
      <pivotArea dataOnly="0" labelOnly="1" fieldPosition="0">
        <references count="4">
          <reference field="3" count="1" selected="0">
            <x v="1"/>
          </reference>
          <reference field="5" count="1" selected="0">
            <x v="2"/>
          </reference>
          <reference field="33" count="0" selected="0"/>
          <reference field="34" count="1">
            <x v="2"/>
          </reference>
        </references>
      </pivotArea>
    </format>
    <format dxfId="378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78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78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78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78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78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78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781">
      <pivotArea field="33" type="button" dataOnly="0" labelOnly="1" outline="0" axis="axisRow" fieldPosition="0"/>
    </format>
    <format dxfId="3780">
      <pivotArea dataOnly="0" labelOnly="1" fieldPosition="0">
        <references count="1">
          <reference field="33" count="0"/>
        </references>
      </pivotArea>
    </format>
    <format dxfId="3779">
      <pivotArea dataOnly="0" labelOnly="1" grandRow="1" outline="0" fieldPosition="0"/>
    </format>
    <format dxfId="3778">
      <pivotArea dataOnly="0" labelOnly="1" fieldPosition="0">
        <references count="2">
          <reference field="3" count="0"/>
          <reference field="33" count="0" selected="0"/>
        </references>
      </pivotArea>
    </format>
    <format dxfId="3777">
      <pivotArea dataOnly="0" labelOnly="1" fieldPosition="0">
        <references count="3">
          <reference field="3" count="1" selected="0">
            <x v="0"/>
          </reference>
          <reference field="5" count="1">
            <x v="0"/>
          </reference>
          <reference field="33" count="0" selected="0"/>
        </references>
      </pivotArea>
    </format>
    <format dxfId="3776">
      <pivotArea dataOnly="0" labelOnly="1" fieldPosition="0">
        <references count="3">
          <reference field="3" count="1" selected="0">
            <x v="1"/>
          </reference>
          <reference field="5" count="2">
            <x v="1"/>
            <x v="2"/>
          </reference>
          <reference field="33" count="0" selected="0"/>
        </references>
      </pivotArea>
    </format>
    <format dxfId="377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774">
      <pivotArea dataOnly="0" labelOnly="1" fieldPosition="0">
        <references count="4">
          <reference field="3" count="1" selected="0">
            <x v="1"/>
          </reference>
          <reference field="5" count="1" selected="0">
            <x v="1"/>
          </reference>
          <reference field="33" count="0" selected="0"/>
          <reference field="34" count="0"/>
        </references>
      </pivotArea>
    </format>
    <format dxfId="37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377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77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77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76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76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76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76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765">
      <pivotArea dataOnly="0" labelOnly="1" fieldPosition="0">
        <references count="1">
          <reference field="11" count="0"/>
        </references>
      </pivotArea>
    </format>
    <format dxfId="3764">
      <pivotArea dataOnly="0" labelOnly="1" fieldPosition="0">
        <references count="1">
          <reference field="11" count="0"/>
        </references>
      </pivotArea>
    </format>
    <format dxfId="3763">
      <pivotArea dataOnly="0" labelOnly="1" fieldPosition="0">
        <references count="1">
          <reference field="13" count="0"/>
        </references>
      </pivotArea>
    </format>
    <format dxfId="3762">
      <pivotArea dataOnly="0" labelOnly="1" fieldPosition="0">
        <references count="1">
          <reference field="13" count="0"/>
        </references>
      </pivotArea>
    </format>
    <format dxfId="3761">
      <pivotArea dataOnly="0" labelOnly="1" fieldPosition="0">
        <references count="1">
          <reference field="13" count="0"/>
        </references>
      </pivotArea>
    </format>
    <format dxfId="3760">
      <pivotArea dataOnly="0" labelOnly="1" fieldPosition="0">
        <references count="1">
          <reference field="15" count="0"/>
        </references>
      </pivotArea>
    </format>
    <format dxfId="3759">
      <pivotArea dataOnly="0" labelOnly="1" fieldPosition="0">
        <references count="1">
          <reference field="15" count="0"/>
        </references>
      </pivotArea>
    </format>
    <format dxfId="3758">
      <pivotArea dataOnly="0" labelOnly="1" fieldPosition="0">
        <references count="1">
          <reference field="15" count="0"/>
        </references>
      </pivotArea>
    </format>
    <format dxfId="3757">
      <pivotArea dataOnly="0" labelOnly="1" fieldPosition="0">
        <references count="1">
          <reference field="15" count="0"/>
        </references>
      </pivotArea>
    </format>
    <format dxfId="3756">
      <pivotArea dataOnly="0" labelOnly="1" fieldPosition="0">
        <references count="1">
          <reference field="15" count="0"/>
        </references>
      </pivotArea>
    </format>
    <format dxfId="3755">
      <pivotArea type="all" dataOnly="0" outline="0" fieldPosition="0"/>
    </format>
    <format dxfId="3754">
      <pivotArea outline="0" collapsedLevelsAreSubtotals="1" fieldPosition="0"/>
    </format>
    <format dxfId="3753">
      <pivotArea field="33" type="button" dataOnly="0" labelOnly="1" outline="0" axis="axisRow" fieldPosition="0"/>
    </format>
    <format dxfId="3752">
      <pivotArea dataOnly="0" labelOnly="1" fieldPosition="0">
        <references count="1">
          <reference field="33" count="0"/>
        </references>
      </pivotArea>
    </format>
    <format dxfId="3751">
      <pivotArea dataOnly="0" labelOnly="1" grandRow="1" outline="0" fieldPosition="0"/>
    </format>
    <format dxfId="3750">
      <pivotArea dataOnly="0" labelOnly="1" fieldPosition="0">
        <references count="2">
          <reference field="3" count="0"/>
          <reference field="33" count="0" selected="0"/>
        </references>
      </pivotArea>
    </format>
    <format dxfId="3749">
      <pivotArea dataOnly="0" labelOnly="1" fieldPosition="0">
        <references count="3">
          <reference field="3" count="1" selected="0">
            <x v="0"/>
          </reference>
          <reference field="5" count="1">
            <x v="0"/>
          </reference>
          <reference field="33" count="0" selected="0"/>
        </references>
      </pivotArea>
    </format>
    <format dxfId="3748">
      <pivotArea dataOnly="0" labelOnly="1" fieldPosition="0">
        <references count="3">
          <reference field="3" count="1" selected="0">
            <x v="1"/>
          </reference>
          <reference field="5" count="2">
            <x v="1"/>
            <x v="2"/>
          </reference>
          <reference field="33" count="0" selected="0"/>
        </references>
      </pivotArea>
    </format>
    <format dxfId="374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746">
      <pivotArea dataOnly="0" labelOnly="1" fieldPosition="0">
        <references count="4">
          <reference field="3" count="1" selected="0">
            <x v="1"/>
          </reference>
          <reference field="5" count="1" selected="0">
            <x v="1"/>
          </reference>
          <reference field="33" count="0" selected="0"/>
          <reference field="34" count="0"/>
        </references>
      </pivotArea>
    </format>
    <format dxfId="374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74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74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74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74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74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73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73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737">
      <pivotArea field="33" type="button" dataOnly="0" labelOnly="1" outline="0" axis="axisRow" fieldPosition="0"/>
    </format>
    <format dxfId="3736">
      <pivotArea dataOnly="0" labelOnly="1" fieldPosition="0">
        <references count="1">
          <reference field="45" count="0"/>
        </references>
      </pivotArea>
    </format>
    <format dxfId="3735">
      <pivotArea dataOnly="0" labelOnly="1" grandCol="1" outline="0" fieldPosition="0"/>
    </format>
    <format dxfId="3734">
      <pivotArea field="33" type="button" dataOnly="0" labelOnly="1" outline="0" axis="axisRow" fieldPosition="0"/>
    </format>
    <format dxfId="3733">
      <pivotArea dataOnly="0" labelOnly="1" fieldPosition="0">
        <references count="1">
          <reference field="45" count="0"/>
        </references>
      </pivotArea>
    </format>
    <format dxfId="3732">
      <pivotArea dataOnly="0" labelOnly="1" grandCol="1" outline="0" fieldPosition="0"/>
    </format>
    <format dxfId="3731">
      <pivotArea field="33" type="button" dataOnly="0" labelOnly="1" outline="0" axis="axisRow" fieldPosition="0"/>
    </format>
    <format dxfId="3730">
      <pivotArea dataOnly="0" labelOnly="1" fieldPosition="0">
        <references count="1">
          <reference field="45" count="0"/>
        </references>
      </pivotArea>
    </format>
    <format dxfId="3729">
      <pivotArea dataOnly="0" labelOnly="1" grandCol="1" outline="0" fieldPosition="0"/>
    </format>
    <format dxfId="3728">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727">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726">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725">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724">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723">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722">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721">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3720">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3719">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3718">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3717">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3716">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3715">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3714">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3713">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3712">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3711">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3710">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3709">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3708">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3707">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3706">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3705">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3704">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3703">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3702">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3701">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3700">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3699">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698">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3697">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3696">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3695">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3694">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3693">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3692">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3691">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3690">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5" count="4" selected="0">
            <x v="8"/>
            <x v="9"/>
            <x v="10"/>
            <x v="11"/>
          </reference>
        </references>
      </pivotArea>
    </format>
    <format dxfId="3689">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3688">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5" count="4" selected="0">
            <x v="8"/>
            <x v="9"/>
            <x v="10"/>
            <x v="11"/>
          </reference>
        </references>
      </pivotArea>
    </format>
    <format dxfId="3687">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3686">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5" count="4" selected="0">
            <x v="8"/>
            <x v="9"/>
            <x v="10"/>
            <x v="11"/>
          </reference>
        </references>
      </pivotArea>
    </format>
    <format dxfId="3685">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3684">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5" count="4" selected="0">
            <x v="8"/>
            <x v="9"/>
            <x v="10"/>
            <x v="11"/>
          </reference>
        </references>
      </pivotArea>
    </format>
    <format dxfId="3683">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3682">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5" count="4" selected="0">
            <x v="8"/>
            <x v="9"/>
            <x v="10"/>
            <x v="11"/>
          </reference>
        </references>
      </pivotArea>
    </format>
    <format dxfId="3681">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3680">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5" count="4" selected="0">
            <x v="8"/>
            <x v="9"/>
            <x v="10"/>
            <x v="11"/>
          </reference>
        </references>
      </pivotArea>
    </format>
    <format dxfId="3679">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367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5" count="4" selected="0">
            <x v="8"/>
            <x v="9"/>
            <x v="10"/>
            <x v="11"/>
          </reference>
        </references>
      </pivotArea>
    </format>
    <format dxfId="367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3676">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5" count="4" selected="0">
            <x v="8"/>
            <x v="9"/>
            <x v="10"/>
            <x v="11"/>
          </reference>
        </references>
      </pivotArea>
    </format>
    <format dxfId="3675">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3674">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5" count="4" selected="0">
            <x v="8"/>
            <x v="9"/>
            <x v="10"/>
            <x v="11"/>
          </reference>
        </references>
      </pivotArea>
    </format>
    <format dxfId="3673">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3672">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5" count="4" selected="0">
            <x v="8"/>
            <x v="9"/>
            <x v="10"/>
            <x v="11"/>
          </reference>
        </references>
      </pivotArea>
    </format>
    <format dxfId="3671">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3670">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5" count="4" selected="0">
            <x v="8"/>
            <x v="9"/>
            <x v="10"/>
            <x v="11"/>
          </reference>
        </references>
      </pivotArea>
    </format>
    <format dxfId="3669">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3668">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5" count="4" selected="0">
            <x v="8"/>
            <x v="9"/>
            <x v="10"/>
            <x v="11"/>
          </reference>
        </references>
      </pivotArea>
    </format>
    <format dxfId="3667">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3666">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5" count="4" selected="0">
            <x v="8"/>
            <x v="9"/>
            <x v="10"/>
            <x v="11"/>
          </reference>
        </references>
      </pivotArea>
    </format>
    <format dxfId="3665">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664">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5" count="4" selected="0">
            <x v="8"/>
            <x v="9"/>
            <x v="10"/>
            <x v="11"/>
          </reference>
        </references>
      </pivotArea>
    </format>
    <format dxfId="3663">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662">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5" count="4" selected="0">
            <x v="8"/>
            <x v="9"/>
            <x v="10"/>
            <x v="11"/>
          </reference>
        </references>
      </pivotArea>
    </format>
    <format dxfId="3661">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660">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5" count="4" selected="0">
            <x v="8"/>
            <x v="9"/>
            <x v="10"/>
            <x v="11"/>
          </reference>
        </references>
      </pivotArea>
    </format>
    <format dxfId="3659">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658">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5" count="4" selected="0">
            <x v="8"/>
            <x v="9"/>
            <x v="10"/>
            <x v="11"/>
          </reference>
        </references>
      </pivotArea>
    </format>
    <format dxfId="3657">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656">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5" count="4" selected="0">
            <x v="8"/>
            <x v="9"/>
            <x v="10"/>
            <x v="11"/>
          </reference>
        </references>
      </pivotArea>
    </format>
    <format dxfId="3655">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3654">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3653">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3652">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3651">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3650">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3649">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3648">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3647">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3646">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3645">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3644">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3643">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3642">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641">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640">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639">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638">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637">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36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54055-936A-4CA7-893C-8CD01C9A218F}" name="PivotTable1" cacheId="1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Kegiatan  ">
  <location ref="C5:P88" firstHeaderRow="1" firstDataRow="2" firstDataCol="1"/>
  <pivotFields count="50">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ataField="1"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5"/>
  </colFields>
  <colItems count="13">
    <i>
      <x/>
    </i>
    <i>
      <x v="1"/>
    </i>
    <i>
      <x v="2"/>
    </i>
    <i>
      <x v="3"/>
    </i>
    <i>
      <x v="4"/>
    </i>
    <i>
      <x v="5"/>
    </i>
    <i>
      <x v="6"/>
    </i>
    <i>
      <x v="7"/>
    </i>
    <i>
      <x v="8"/>
    </i>
    <i>
      <x v="9"/>
    </i>
    <i>
      <x v="10"/>
    </i>
    <i>
      <x v="11"/>
    </i>
    <i t="grand">
      <x/>
    </i>
  </colItems>
  <dataFields count="1">
    <dataField name="Sisa " fld="49" baseField="32" baseItem="0" numFmtId="41"/>
  </dataFields>
  <formats count="318">
    <format dxfId="3632">
      <pivotArea dataOnly="0" labelOnly="1" fieldPosition="0">
        <references count="1">
          <reference field="3" count="0"/>
        </references>
      </pivotArea>
    </format>
    <format dxfId="3631">
      <pivotArea dataOnly="0" labelOnly="1" fieldPosition="0">
        <references count="1">
          <reference field="5" count="0"/>
        </references>
      </pivotArea>
    </format>
    <format dxfId="3630">
      <pivotArea dataOnly="0" labelOnly="1" fieldPosition="0">
        <references count="1">
          <reference field="11" count="0"/>
        </references>
      </pivotArea>
    </format>
    <format dxfId="3629">
      <pivotArea dataOnly="0" labelOnly="1" fieldPosition="0">
        <references count="1">
          <reference field="13" count="0"/>
        </references>
      </pivotArea>
    </format>
    <format dxfId="3628">
      <pivotArea type="all" dataOnly="0" outline="0" fieldPosition="0"/>
    </format>
    <format dxfId="3627">
      <pivotArea outline="0" collapsedLevelsAreSubtotals="1" fieldPosition="0"/>
    </format>
    <format dxfId="3626">
      <pivotArea field="3" type="button" dataOnly="0" labelOnly="1" outline="0" axis="axisRow" fieldPosition="1"/>
    </format>
    <format dxfId="3625">
      <pivotArea dataOnly="0" labelOnly="1" fieldPosition="0">
        <references count="1">
          <reference field="3" count="0"/>
        </references>
      </pivotArea>
    </format>
    <format dxfId="3624">
      <pivotArea dataOnly="0" labelOnly="1" grandRow="1" outline="0" fieldPosition="0"/>
    </format>
    <format dxfId="3623">
      <pivotArea dataOnly="0" labelOnly="1" fieldPosition="0">
        <references count="2">
          <reference field="3" count="1" selected="0">
            <x v="0"/>
          </reference>
          <reference field="5" count="1">
            <x v="0"/>
          </reference>
        </references>
      </pivotArea>
    </format>
    <format dxfId="3622">
      <pivotArea dataOnly="0" labelOnly="1" fieldPosition="0">
        <references count="2">
          <reference field="3" count="1" selected="0">
            <x v="1"/>
          </reference>
          <reference field="5" count="2">
            <x v="1"/>
            <x v="2"/>
          </reference>
        </references>
      </pivotArea>
    </format>
    <format dxfId="3621">
      <pivotArea type="all" dataOnly="0" outline="0" fieldPosition="0"/>
    </format>
    <format dxfId="3620">
      <pivotArea outline="0" collapsedLevelsAreSubtotals="1" fieldPosition="0"/>
    </format>
    <format dxfId="3619">
      <pivotArea field="3" type="button" dataOnly="0" labelOnly="1" outline="0" axis="axisRow" fieldPosition="1"/>
    </format>
    <format dxfId="3618">
      <pivotArea dataOnly="0" labelOnly="1" fieldPosition="0">
        <references count="1">
          <reference field="3" count="0"/>
        </references>
      </pivotArea>
    </format>
    <format dxfId="3617">
      <pivotArea dataOnly="0" labelOnly="1" grandRow="1" outline="0" fieldPosition="0"/>
    </format>
    <format dxfId="3616">
      <pivotArea dataOnly="0" labelOnly="1" fieldPosition="0">
        <references count="2">
          <reference field="3" count="1" selected="0">
            <x v="0"/>
          </reference>
          <reference field="5" count="1">
            <x v="0"/>
          </reference>
        </references>
      </pivotArea>
    </format>
    <format dxfId="3615">
      <pivotArea dataOnly="0" labelOnly="1" fieldPosition="0">
        <references count="2">
          <reference field="3" count="1" selected="0">
            <x v="1"/>
          </reference>
          <reference field="5" count="2">
            <x v="1"/>
            <x v="2"/>
          </reference>
        </references>
      </pivotArea>
    </format>
    <format dxfId="3614">
      <pivotArea collapsedLevelsAreSubtotals="1" fieldPosition="0">
        <references count="1">
          <reference field="3" count="1">
            <x v="0"/>
          </reference>
        </references>
      </pivotArea>
    </format>
    <format dxfId="3613">
      <pivotArea collapsedLevelsAreSubtotals="1" fieldPosition="0">
        <references count="1">
          <reference field="3" count="1">
            <x v="1"/>
          </reference>
        </references>
      </pivotArea>
    </format>
    <format dxfId="3612">
      <pivotArea collapsedLevelsAreSubtotals="1" fieldPosition="0">
        <references count="2">
          <reference field="3" count="1" selected="0">
            <x v="1"/>
          </reference>
          <reference field="5" count="1">
            <x v="1"/>
          </reference>
        </references>
      </pivotArea>
    </format>
    <format dxfId="3611">
      <pivotArea field="3" type="button" dataOnly="0" labelOnly="1" outline="0" axis="axisRow" fieldPosition="1"/>
    </format>
    <format dxfId="3610">
      <pivotArea collapsedLevelsAreSubtotals="1" fieldPosition="0">
        <references count="2">
          <reference field="3" count="1" selected="0">
            <x v="1"/>
          </reference>
          <reference field="5" count="1">
            <x v="2"/>
          </reference>
        </references>
      </pivotArea>
    </format>
    <format dxfId="3609">
      <pivotArea collapsedLevelsAreSubtotals="1" fieldPosition="0">
        <references count="2">
          <reference field="3" count="1" selected="0">
            <x v="0"/>
          </reference>
          <reference field="5" count="1">
            <x v="0"/>
          </reference>
        </references>
      </pivotArea>
    </format>
    <format dxfId="3608">
      <pivotArea field="3" type="button" dataOnly="0" labelOnly="1" outline="0" axis="axisRow" fieldPosition="1"/>
    </format>
    <format dxfId="3607">
      <pivotArea field="3" type="button" dataOnly="0" labelOnly="1" outline="0" axis="axisRow" fieldPosition="1"/>
    </format>
    <format dxfId="3606">
      <pivotArea field="3" type="button" dataOnly="0" labelOnly="1" outline="0" axis="axisRow" fieldPosition="1"/>
    </format>
    <format dxfId="3605">
      <pivotArea dataOnly="0" labelOnly="1" fieldPosition="0">
        <references count="1">
          <reference field="3" count="0"/>
        </references>
      </pivotArea>
    </format>
    <format dxfId="3604">
      <pivotArea dataOnly="0" labelOnly="1" grandRow="1" outline="0" fieldPosition="0"/>
    </format>
    <format dxfId="3603">
      <pivotArea dataOnly="0" labelOnly="1" fieldPosition="0">
        <references count="2">
          <reference field="3" count="1" selected="0">
            <x v="0"/>
          </reference>
          <reference field="5" count="1">
            <x v="0"/>
          </reference>
        </references>
      </pivotArea>
    </format>
    <format dxfId="3602">
      <pivotArea dataOnly="0" labelOnly="1" fieldPosition="0">
        <references count="2">
          <reference field="3" count="1" selected="0">
            <x v="1"/>
          </reference>
          <reference field="5" count="2">
            <x v="1"/>
            <x v="2"/>
          </reference>
        </references>
      </pivotArea>
    </format>
    <format dxfId="3601">
      <pivotArea dataOnly="0" labelOnly="1" fieldPosition="0">
        <references count="1">
          <reference field="13" count="0"/>
        </references>
      </pivotArea>
    </format>
    <format dxfId="3600">
      <pivotArea dataOnly="0" labelOnly="1" fieldPosition="0">
        <references count="1">
          <reference field="13" count="0"/>
        </references>
      </pivotArea>
    </format>
    <format dxfId="3599">
      <pivotArea type="all" dataOnly="0" outline="0" fieldPosition="0"/>
    </format>
    <format dxfId="3598">
      <pivotArea outline="0" collapsedLevelsAreSubtotals="1" fieldPosition="0"/>
    </format>
    <format dxfId="3597">
      <pivotArea field="33" type="button" dataOnly="0" labelOnly="1" outline="0" axis="axisRow" fieldPosition="0"/>
    </format>
    <format dxfId="3596">
      <pivotArea dataOnly="0" labelOnly="1" grandRow="1" outline="0" fieldPosition="0"/>
    </format>
    <format dxfId="3595">
      <pivotArea dataOnly="0" labelOnly="1" fieldPosition="0">
        <references count="2">
          <reference field="3" count="0"/>
          <reference field="33" count="0" selected="0"/>
        </references>
      </pivotArea>
    </format>
    <format dxfId="3594">
      <pivotArea dataOnly="0" labelOnly="1" fieldPosition="0">
        <references count="3">
          <reference field="3" count="1" selected="0">
            <x v="0"/>
          </reference>
          <reference field="5" count="1">
            <x v="0"/>
          </reference>
          <reference field="33" count="0" selected="0"/>
        </references>
      </pivotArea>
    </format>
    <format dxfId="3593">
      <pivotArea dataOnly="0" labelOnly="1" fieldPosition="0">
        <references count="3">
          <reference field="3" count="1" selected="0">
            <x v="1"/>
          </reference>
          <reference field="5" count="2">
            <x v="1"/>
            <x v="2"/>
          </reference>
          <reference field="33" count="0" selected="0"/>
        </references>
      </pivotArea>
    </format>
    <format dxfId="3592">
      <pivotArea dataOnly="0" labelOnly="1" fieldPosition="0">
        <references count="1">
          <reference field="34" count="0"/>
        </references>
      </pivotArea>
    </format>
    <format dxfId="3591">
      <pivotArea dataOnly="0" labelOnly="1" fieldPosition="0">
        <references count="1">
          <reference field="35" count="0"/>
        </references>
      </pivotArea>
    </format>
    <format dxfId="3590">
      <pivotArea dataOnly="0" labelOnly="1" fieldPosition="0">
        <references count="1">
          <reference field="35" count="0"/>
        </references>
      </pivotArea>
    </format>
    <format dxfId="3589">
      <pivotArea dataOnly="0" labelOnly="1" fieldPosition="0">
        <references count="1">
          <reference field="35" count="0"/>
        </references>
      </pivotArea>
    </format>
    <format dxfId="3588">
      <pivotArea dataOnly="0" labelOnly="1" fieldPosition="0">
        <references count="1">
          <reference field="35" count="0"/>
        </references>
      </pivotArea>
    </format>
    <format dxfId="3587">
      <pivotArea dataOnly="0" labelOnly="1" fieldPosition="0">
        <references count="1">
          <reference field="34" count="0"/>
        </references>
      </pivotArea>
    </format>
    <format dxfId="3586">
      <pivotArea dataOnly="0" labelOnly="1" fieldPosition="0">
        <references count="1">
          <reference field="34" count="0"/>
        </references>
      </pivotArea>
    </format>
    <format dxfId="3585">
      <pivotArea dataOnly="0" labelOnly="1" fieldPosition="0">
        <references count="1">
          <reference field="34" count="0"/>
        </references>
      </pivotArea>
    </format>
    <format dxfId="3584">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3583">
      <pivotArea dataOnly="0" labelOnly="1" fieldPosition="0">
        <references count="4">
          <reference field="3" count="1" selected="0">
            <x v="0"/>
          </reference>
          <reference field="5" count="1" selected="0">
            <x v="0"/>
          </reference>
          <reference field="33" count="0" selected="0"/>
          <reference field="34" count="1">
            <x v="0"/>
          </reference>
        </references>
      </pivotArea>
    </format>
    <format dxfId="3582">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3581">
      <pivotArea dataOnly="0" labelOnly="1" fieldPosition="0">
        <references count="4">
          <reference field="3" count="1" selected="0">
            <x v="0"/>
          </reference>
          <reference field="5" count="1" selected="0">
            <x v="0"/>
          </reference>
          <reference field="33" count="0" selected="0"/>
          <reference field="34" count="1">
            <x v="1"/>
          </reference>
        </references>
      </pivotArea>
    </format>
    <format dxfId="3580">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3579">
      <pivotArea dataOnly="0" labelOnly="1" fieldPosition="0">
        <references count="4">
          <reference field="3" count="1" selected="0">
            <x v="1"/>
          </reference>
          <reference field="5" count="1" selected="0">
            <x v="1"/>
          </reference>
          <reference field="33" count="0" selected="0"/>
          <reference field="34" count="1">
            <x v="0"/>
          </reference>
        </references>
      </pivotArea>
    </format>
    <format dxfId="3578">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3577">
      <pivotArea dataOnly="0" labelOnly="1" fieldPosition="0">
        <references count="4">
          <reference field="3" count="1" selected="0">
            <x v="1"/>
          </reference>
          <reference field="5" count="1" selected="0">
            <x v="1"/>
          </reference>
          <reference field="33" count="0" selected="0"/>
          <reference field="34" count="1">
            <x v="1"/>
          </reference>
        </references>
      </pivotArea>
    </format>
    <format dxfId="3576">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3575">
      <pivotArea dataOnly="0" labelOnly="1" fieldPosition="0">
        <references count="4">
          <reference field="3" count="1" selected="0">
            <x v="1"/>
          </reference>
          <reference field="5" count="1" selected="0">
            <x v="1"/>
          </reference>
          <reference field="33" count="0" selected="0"/>
          <reference field="34" count="1">
            <x v="2"/>
          </reference>
        </references>
      </pivotArea>
    </format>
    <format dxfId="3574">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3573">
      <pivotArea dataOnly="0" labelOnly="1" fieldPosition="0">
        <references count="4">
          <reference field="3" count="1" selected="0">
            <x v="1"/>
          </reference>
          <reference field="5" count="1" selected="0">
            <x v="1"/>
          </reference>
          <reference field="33" count="0" selected="0"/>
          <reference field="34" count="1">
            <x v="3"/>
          </reference>
        </references>
      </pivotArea>
    </format>
    <format dxfId="3572">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3571">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7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569">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56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567">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56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565">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56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563">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562">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6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6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559">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55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557">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55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555">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55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553">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55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551">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55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549">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548">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4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46">
      <pivotArea dataOnly="0" labelOnly="1" fieldPosition="0">
        <references count="1">
          <reference field="33" count="0"/>
        </references>
      </pivotArea>
    </format>
    <format dxfId="3545">
      <pivotArea collapsedLevelsAreSubtotals="1" fieldPosition="0">
        <references count="1">
          <reference field="33" count="0"/>
        </references>
      </pivotArea>
    </format>
    <format dxfId="3544">
      <pivotArea dataOnly="0" labelOnly="1" fieldPosition="0">
        <references count="1">
          <reference field="33" count="0"/>
        </references>
      </pivotArea>
    </format>
    <format dxfId="3543">
      <pivotArea dataOnly="0" labelOnly="1" fieldPosition="0">
        <references count="1">
          <reference field="13" count="0"/>
        </references>
      </pivotArea>
    </format>
    <format dxfId="3542">
      <pivotArea dataOnly="0" labelOnly="1" fieldPosition="0">
        <references count="1">
          <reference field="11" count="0"/>
        </references>
      </pivotArea>
    </format>
    <format dxfId="3541">
      <pivotArea dataOnly="0" labelOnly="1" fieldPosition="0">
        <references count="1">
          <reference field="11" count="0"/>
        </references>
      </pivotArea>
    </format>
    <format dxfId="3540">
      <pivotArea dataOnly="0" labelOnly="1" fieldPosition="0">
        <references count="1">
          <reference field="13" count="0"/>
        </references>
      </pivotArea>
    </format>
    <format dxfId="3539">
      <pivotArea dataOnly="0" labelOnly="1" fieldPosition="0">
        <references count="1">
          <reference field="13" count="0"/>
        </references>
      </pivotArea>
    </format>
    <format dxfId="3538">
      <pivotArea dataOnly="0" labelOnly="1" fieldPosition="0">
        <references count="1">
          <reference field="35" count="0"/>
        </references>
      </pivotArea>
    </format>
    <format dxfId="3537">
      <pivotArea dataOnly="0" labelOnly="1" fieldPosition="0">
        <references count="1">
          <reference field="35" count="0"/>
        </references>
      </pivotArea>
    </format>
    <format dxfId="3536">
      <pivotArea dataOnly="0" labelOnly="1" fieldPosition="0">
        <references count="1">
          <reference field="11" count="0"/>
        </references>
      </pivotArea>
    </format>
    <format dxfId="3535">
      <pivotArea dataOnly="0" labelOnly="1" grandRow="1" outline="0" fieldPosition="0"/>
    </format>
    <format dxfId="3534">
      <pivotArea dataOnly="0" labelOnly="1" outline="0" fieldPosition="0">
        <references count="1">
          <reference field="4294967294" count="1">
            <x v="0"/>
          </reference>
        </references>
      </pivotArea>
    </format>
    <format dxfId="3533">
      <pivotArea dataOnly="0" labelOnly="1" outline="0" fieldPosition="0">
        <references count="1">
          <reference field="4294967294" count="1">
            <x v="0"/>
          </reference>
        </references>
      </pivotArea>
    </format>
    <format dxfId="3532">
      <pivotArea field="33" type="button" dataOnly="0" labelOnly="1" outline="0" axis="axisRow" fieldPosition="0"/>
    </format>
    <format dxfId="3531">
      <pivotArea dataOnly="0" labelOnly="1" outline="0" fieldPosition="0">
        <references count="1">
          <reference field="4294967294" count="1">
            <x v="0"/>
          </reference>
        </references>
      </pivotArea>
    </format>
    <format dxfId="3530">
      <pivotArea field="33" type="button" dataOnly="0" labelOnly="1" outline="0" axis="axisRow" fieldPosition="0"/>
    </format>
    <format dxfId="3529">
      <pivotArea dataOnly="0" labelOnly="1" outline="0" fieldPosition="0">
        <references count="1">
          <reference field="4294967294" count="1">
            <x v="0"/>
          </reference>
        </references>
      </pivotArea>
    </format>
    <format dxfId="3528">
      <pivotArea field="33" type="button" dataOnly="0" labelOnly="1" outline="0" axis="axisRow" fieldPosition="0"/>
    </format>
    <format dxfId="3527">
      <pivotArea dataOnly="0" labelOnly="1" outline="0" fieldPosition="0">
        <references count="1">
          <reference field="4294967294" count="1">
            <x v="0"/>
          </reference>
        </references>
      </pivotArea>
    </format>
    <format dxfId="3526">
      <pivotArea field="33" type="button" dataOnly="0" labelOnly="1" outline="0" axis="axisRow" fieldPosition="0"/>
    </format>
    <format dxfId="3525">
      <pivotArea dataOnly="0" labelOnly="1" outline="0" fieldPosition="0">
        <references count="1">
          <reference field="4294967294" count="1">
            <x v="0"/>
          </reference>
        </references>
      </pivotArea>
    </format>
    <format dxfId="3524">
      <pivotArea type="all" dataOnly="0" outline="0" fieldPosition="0"/>
    </format>
    <format dxfId="3523">
      <pivotArea outline="0" collapsedLevelsAreSubtotals="1" fieldPosition="0"/>
    </format>
    <format dxfId="3522">
      <pivotArea field="33" type="button" dataOnly="0" labelOnly="1" outline="0" axis="axisRow" fieldPosition="0"/>
    </format>
    <format dxfId="3521">
      <pivotArea dataOnly="0" labelOnly="1" fieldPosition="0">
        <references count="1">
          <reference field="33" count="0"/>
        </references>
      </pivotArea>
    </format>
    <format dxfId="3520">
      <pivotArea dataOnly="0" labelOnly="1" grandRow="1" outline="0" fieldPosition="0"/>
    </format>
    <format dxfId="3519">
      <pivotArea dataOnly="0" labelOnly="1" fieldPosition="0">
        <references count="2">
          <reference field="3" count="0"/>
          <reference field="33" count="0" selected="0"/>
        </references>
      </pivotArea>
    </format>
    <format dxfId="3518">
      <pivotArea dataOnly="0" labelOnly="1" fieldPosition="0">
        <references count="3">
          <reference field="3" count="1" selected="0">
            <x v="0"/>
          </reference>
          <reference field="5" count="1">
            <x v="0"/>
          </reference>
          <reference field="33" count="0" selected="0"/>
        </references>
      </pivotArea>
    </format>
    <format dxfId="3517">
      <pivotArea dataOnly="0" labelOnly="1" fieldPosition="0">
        <references count="3">
          <reference field="3" count="1" selected="0">
            <x v="1"/>
          </reference>
          <reference field="5" count="2">
            <x v="1"/>
            <x v="2"/>
          </reference>
          <reference field="33" count="0" selected="0"/>
        </references>
      </pivotArea>
    </format>
    <format dxfId="351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515">
      <pivotArea dataOnly="0" labelOnly="1" fieldPosition="0">
        <references count="4">
          <reference field="3" count="1" selected="0">
            <x v="1"/>
          </reference>
          <reference field="5" count="1" selected="0">
            <x v="1"/>
          </reference>
          <reference field="33" count="0" selected="0"/>
          <reference field="34" count="0"/>
        </references>
      </pivotArea>
    </format>
    <format dxfId="351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1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51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51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1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50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50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50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06">
      <pivotArea dataOnly="0" labelOnly="1" outline="0" fieldPosition="0">
        <references count="1">
          <reference field="4294967294" count="1">
            <x v="0"/>
          </reference>
        </references>
      </pivotArea>
    </format>
    <format dxfId="3505">
      <pivotArea type="all" dataOnly="0" outline="0" fieldPosition="0"/>
    </format>
    <format dxfId="3504">
      <pivotArea outline="0" collapsedLevelsAreSubtotals="1" fieldPosition="0"/>
    </format>
    <format dxfId="3503">
      <pivotArea field="33" type="button" dataOnly="0" labelOnly="1" outline="0" axis="axisRow" fieldPosition="0"/>
    </format>
    <format dxfId="3502">
      <pivotArea dataOnly="0" labelOnly="1" fieldPosition="0">
        <references count="1">
          <reference field="33" count="0"/>
        </references>
      </pivotArea>
    </format>
    <format dxfId="3501">
      <pivotArea dataOnly="0" labelOnly="1" grandRow="1" outline="0" fieldPosition="0"/>
    </format>
    <format dxfId="3500">
      <pivotArea dataOnly="0" labelOnly="1" fieldPosition="0">
        <references count="2">
          <reference field="3" count="0"/>
          <reference field="33" count="0" selected="0"/>
        </references>
      </pivotArea>
    </format>
    <format dxfId="3499">
      <pivotArea dataOnly="0" labelOnly="1" fieldPosition="0">
        <references count="3">
          <reference field="3" count="1" selected="0">
            <x v="0"/>
          </reference>
          <reference field="5" count="1">
            <x v="0"/>
          </reference>
          <reference field="33" count="0" selected="0"/>
        </references>
      </pivotArea>
    </format>
    <format dxfId="3498">
      <pivotArea dataOnly="0" labelOnly="1" fieldPosition="0">
        <references count="3">
          <reference field="3" count="1" selected="0">
            <x v="1"/>
          </reference>
          <reference field="5" count="2">
            <x v="1"/>
            <x v="2"/>
          </reference>
          <reference field="33" count="0" selected="0"/>
        </references>
      </pivotArea>
    </format>
    <format dxfId="349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96">
      <pivotArea dataOnly="0" labelOnly="1" fieldPosition="0">
        <references count="4">
          <reference field="3" count="1" selected="0">
            <x v="1"/>
          </reference>
          <reference field="5" count="1" selected="0">
            <x v="1"/>
          </reference>
          <reference field="33" count="0" selected="0"/>
          <reference field="34" count="0"/>
        </references>
      </pivotArea>
    </format>
    <format dxfId="349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9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9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9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9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9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8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8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87">
      <pivotArea dataOnly="0" labelOnly="1" outline="0" fieldPosition="0">
        <references count="1">
          <reference field="4294967294" count="1">
            <x v="0"/>
          </reference>
        </references>
      </pivotArea>
    </format>
    <format dxfId="3486">
      <pivotArea dataOnly="0" labelOnly="1" fieldPosition="0">
        <references count="1">
          <reference field="11" count="0"/>
        </references>
      </pivotArea>
    </format>
    <format dxfId="3485">
      <pivotArea dataOnly="0" labelOnly="1" fieldPosition="0">
        <references count="1">
          <reference field="11" count="0"/>
        </references>
      </pivotArea>
    </format>
    <format dxfId="3484">
      <pivotArea dataOnly="0" labelOnly="1" fieldPosition="0">
        <references count="1">
          <reference field="13" count="0"/>
        </references>
      </pivotArea>
    </format>
    <format dxfId="3483">
      <pivotArea dataOnly="0" labelOnly="1" fieldPosition="0">
        <references count="1">
          <reference field="13" count="0"/>
        </references>
      </pivotArea>
    </format>
    <format dxfId="3482">
      <pivotArea dataOnly="0" labelOnly="1" fieldPosition="0">
        <references count="1">
          <reference field="13" count="0"/>
        </references>
      </pivotArea>
    </format>
    <format dxfId="3481">
      <pivotArea dataOnly="0" labelOnly="1" fieldPosition="0">
        <references count="1">
          <reference field="15" count="0"/>
        </references>
      </pivotArea>
    </format>
    <format dxfId="3480">
      <pivotArea dataOnly="0" labelOnly="1" fieldPosition="0">
        <references count="1">
          <reference field="15" count="0"/>
        </references>
      </pivotArea>
    </format>
    <format dxfId="3479">
      <pivotArea dataOnly="0" labelOnly="1" fieldPosition="0">
        <references count="1">
          <reference field="15" count="0"/>
        </references>
      </pivotArea>
    </format>
    <format dxfId="3478">
      <pivotArea dataOnly="0" labelOnly="1" fieldPosition="0">
        <references count="1">
          <reference field="15" count="0"/>
        </references>
      </pivotArea>
    </format>
    <format dxfId="3477">
      <pivotArea dataOnly="0" labelOnly="1" fieldPosition="0">
        <references count="1">
          <reference field="15" count="0"/>
        </references>
      </pivotArea>
    </format>
    <format dxfId="3476">
      <pivotArea field="33" type="button" dataOnly="0" labelOnly="1" outline="0" axis="axisRow" fieldPosition="0"/>
    </format>
    <format dxfId="3475">
      <pivotArea dataOnly="0" labelOnly="1" fieldPosition="0">
        <references count="1">
          <reference field="33" count="0"/>
        </references>
      </pivotArea>
    </format>
    <format dxfId="3474">
      <pivotArea dataOnly="0" labelOnly="1" grandRow="1" outline="0" fieldPosition="0"/>
    </format>
    <format dxfId="3473">
      <pivotArea dataOnly="0" labelOnly="1" fieldPosition="0">
        <references count="2">
          <reference field="3" count="0"/>
          <reference field="33" count="0" selected="0"/>
        </references>
      </pivotArea>
    </format>
    <format dxfId="3472">
      <pivotArea dataOnly="0" labelOnly="1" fieldPosition="0">
        <references count="3">
          <reference field="3" count="1" selected="0">
            <x v="0"/>
          </reference>
          <reference field="5" count="1">
            <x v="0"/>
          </reference>
          <reference field="33" count="0" selected="0"/>
        </references>
      </pivotArea>
    </format>
    <format dxfId="3471">
      <pivotArea dataOnly="0" labelOnly="1" fieldPosition="0">
        <references count="3">
          <reference field="3" count="1" selected="0">
            <x v="1"/>
          </reference>
          <reference field="5" count="2">
            <x v="1"/>
            <x v="2"/>
          </reference>
          <reference field="33" count="0" selected="0"/>
        </references>
      </pivotArea>
    </format>
    <format dxfId="34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69">
      <pivotArea dataOnly="0" labelOnly="1" fieldPosition="0">
        <references count="4">
          <reference field="3" count="1" selected="0">
            <x v="1"/>
          </reference>
          <reference field="5" count="1" selected="0">
            <x v="1"/>
          </reference>
          <reference field="33" count="0" selected="0"/>
          <reference field="34" count="0"/>
        </references>
      </pivotArea>
    </format>
    <format dxfId="34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60">
      <pivotArea field="33" type="button" dataOnly="0" labelOnly="1" outline="0" axis="axisRow" fieldPosition="0"/>
    </format>
    <format dxfId="3459">
      <pivotArea dataOnly="0" labelOnly="1" fieldPosition="0">
        <references count="1">
          <reference field="33" count="0"/>
        </references>
      </pivotArea>
    </format>
    <format dxfId="3458">
      <pivotArea dataOnly="0" labelOnly="1" grandRow="1" outline="0" fieldPosition="0"/>
    </format>
    <format dxfId="3457">
      <pivotArea dataOnly="0" labelOnly="1" fieldPosition="0">
        <references count="2">
          <reference field="3" count="0"/>
          <reference field="33" count="0" selected="0"/>
        </references>
      </pivotArea>
    </format>
    <format dxfId="3456">
      <pivotArea dataOnly="0" labelOnly="1" fieldPosition="0">
        <references count="3">
          <reference field="3" count="1" selected="0">
            <x v="0"/>
          </reference>
          <reference field="5" count="1">
            <x v="0"/>
          </reference>
          <reference field="33" count="0" selected="0"/>
        </references>
      </pivotArea>
    </format>
    <format dxfId="3455">
      <pivotArea dataOnly="0" labelOnly="1" fieldPosition="0">
        <references count="3">
          <reference field="3" count="1" selected="0">
            <x v="1"/>
          </reference>
          <reference field="5" count="2">
            <x v="1"/>
            <x v="2"/>
          </reference>
          <reference field="33" count="0" selected="0"/>
        </references>
      </pivotArea>
    </format>
    <format dxfId="34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53">
      <pivotArea dataOnly="0" labelOnly="1" fieldPosition="0">
        <references count="4">
          <reference field="3" count="1" selected="0">
            <x v="1"/>
          </reference>
          <reference field="5" count="1" selected="0">
            <x v="1"/>
          </reference>
          <reference field="33" count="0" selected="0"/>
          <reference field="34" count="0"/>
        </references>
      </pivotArea>
    </format>
    <format dxfId="34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5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5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4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4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4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4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4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44">
      <pivotArea dataOnly="0" labelOnly="1" fieldPosition="0">
        <references count="1">
          <reference field="11" count="0"/>
        </references>
      </pivotArea>
    </format>
    <format dxfId="3443">
      <pivotArea dataOnly="0" labelOnly="1" fieldPosition="0">
        <references count="1">
          <reference field="11" count="0"/>
        </references>
      </pivotArea>
    </format>
    <format dxfId="3442">
      <pivotArea dataOnly="0" labelOnly="1" fieldPosition="0">
        <references count="1">
          <reference field="13" count="0"/>
        </references>
      </pivotArea>
    </format>
    <format dxfId="3441">
      <pivotArea dataOnly="0" labelOnly="1" fieldPosition="0">
        <references count="1">
          <reference field="13" count="0"/>
        </references>
      </pivotArea>
    </format>
    <format dxfId="3440">
      <pivotArea dataOnly="0" labelOnly="1" fieldPosition="0">
        <references count="1">
          <reference field="13" count="0"/>
        </references>
      </pivotArea>
    </format>
    <format dxfId="3439">
      <pivotArea dataOnly="0" labelOnly="1" fieldPosition="0">
        <references count="1">
          <reference field="15" count="0"/>
        </references>
      </pivotArea>
    </format>
    <format dxfId="3438">
      <pivotArea dataOnly="0" labelOnly="1" fieldPosition="0">
        <references count="1">
          <reference field="15" count="0"/>
        </references>
      </pivotArea>
    </format>
    <format dxfId="3437">
      <pivotArea dataOnly="0" labelOnly="1" fieldPosition="0">
        <references count="1">
          <reference field="15" count="0"/>
        </references>
      </pivotArea>
    </format>
    <format dxfId="3436">
      <pivotArea dataOnly="0" labelOnly="1" fieldPosition="0">
        <references count="1">
          <reference field="15" count="0"/>
        </references>
      </pivotArea>
    </format>
    <format dxfId="3435">
      <pivotArea dataOnly="0" labelOnly="1" fieldPosition="0">
        <references count="1">
          <reference field="15" count="0"/>
        </references>
      </pivotArea>
    </format>
    <format dxfId="3434">
      <pivotArea type="all" dataOnly="0" outline="0" fieldPosition="0"/>
    </format>
    <format dxfId="3433">
      <pivotArea outline="0" collapsedLevelsAreSubtotals="1" fieldPosition="0"/>
    </format>
    <format dxfId="3432">
      <pivotArea field="33" type="button" dataOnly="0" labelOnly="1" outline="0" axis="axisRow" fieldPosition="0"/>
    </format>
    <format dxfId="3431">
      <pivotArea dataOnly="0" labelOnly="1" fieldPosition="0">
        <references count="1">
          <reference field="33" count="0"/>
        </references>
      </pivotArea>
    </format>
    <format dxfId="3430">
      <pivotArea dataOnly="0" labelOnly="1" grandRow="1" outline="0" fieldPosition="0"/>
    </format>
    <format dxfId="3429">
      <pivotArea dataOnly="0" labelOnly="1" fieldPosition="0">
        <references count="2">
          <reference field="3" count="0"/>
          <reference field="33" count="0" selected="0"/>
        </references>
      </pivotArea>
    </format>
    <format dxfId="3428">
      <pivotArea dataOnly="0" labelOnly="1" fieldPosition="0">
        <references count="3">
          <reference field="3" count="1" selected="0">
            <x v="0"/>
          </reference>
          <reference field="5" count="1">
            <x v="0"/>
          </reference>
          <reference field="33" count="0" selected="0"/>
        </references>
      </pivotArea>
    </format>
    <format dxfId="3427">
      <pivotArea dataOnly="0" labelOnly="1" fieldPosition="0">
        <references count="3">
          <reference field="3" count="1" selected="0">
            <x v="1"/>
          </reference>
          <reference field="5" count="2">
            <x v="1"/>
            <x v="2"/>
          </reference>
          <reference field="33" count="0" selected="0"/>
        </references>
      </pivotArea>
    </format>
    <format dxfId="342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25">
      <pivotArea dataOnly="0" labelOnly="1" fieldPosition="0">
        <references count="4">
          <reference field="3" count="1" selected="0">
            <x v="1"/>
          </reference>
          <reference field="5" count="1" selected="0">
            <x v="1"/>
          </reference>
          <reference field="33" count="0" selected="0"/>
          <reference field="34" count="0"/>
        </references>
      </pivotArea>
    </format>
    <format dxfId="342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2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2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2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2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1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1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1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16">
      <pivotArea dataOnly="0" labelOnly="1" outline="0" fieldPosition="0">
        <references count="1">
          <reference field="4294967294" count="1">
            <x v="0"/>
          </reference>
        </references>
      </pivotArea>
    </format>
    <format dxfId="3415">
      <pivotArea field="33" type="button" dataOnly="0" labelOnly="1" outline="0" axis="axisRow" fieldPosition="0"/>
    </format>
    <format dxfId="3414">
      <pivotArea dataOnly="0" labelOnly="1" fieldPosition="0">
        <references count="1">
          <reference field="45" count="0"/>
        </references>
      </pivotArea>
    </format>
    <format dxfId="3413">
      <pivotArea dataOnly="0" labelOnly="1" grandCol="1" outline="0" fieldPosition="0"/>
    </format>
    <format dxfId="3412">
      <pivotArea field="33" type="button" dataOnly="0" labelOnly="1" outline="0" axis="axisRow" fieldPosition="0"/>
    </format>
    <format dxfId="3411">
      <pivotArea dataOnly="0" labelOnly="1" fieldPosition="0">
        <references count="1">
          <reference field="45" count="0"/>
        </references>
      </pivotArea>
    </format>
    <format dxfId="3410">
      <pivotArea dataOnly="0" labelOnly="1" grandCol="1" outline="0" fieldPosition="0"/>
    </format>
    <format dxfId="3409">
      <pivotArea field="33" type="button" dataOnly="0" labelOnly="1" outline="0" axis="axisRow" fieldPosition="0"/>
    </format>
    <format dxfId="3408">
      <pivotArea dataOnly="0" labelOnly="1" fieldPosition="0">
        <references count="1">
          <reference field="45" count="0"/>
        </references>
      </pivotArea>
    </format>
    <format dxfId="3407">
      <pivotArea dataOnly="0" labelOnly="1" grandCol="1" outline="0" fieldPosition="0"/>
    </format>
    <format dxfId="3406">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405">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404">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403">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402">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401">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400">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399">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3398">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3397">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3396">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3395">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3394">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3393">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3392">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3391">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3390">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3389">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3388">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3387">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3386">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3385">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3384">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3383">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3382">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3381">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3380">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3379">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3378">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3377">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376">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3375">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3374">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3373">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3372">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3371">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3370">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3369">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3368">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5" count="4" selected="0">
            <x v="8"/>
            <x v="9"/>
            <x v="10"/>
            <x v="11"/>
          </reference>
        </references>
      </pivotArea>
    </format>
    <format dxfId="3367">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3366">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5" count="4" selected="0">
            <x v="8"/>
            <x v="9"/>
            <x v="10"/>
            <x v="11"/>
          </reference>
        </references>
      </pivotArea>
    </format>
    <format dxfId="3365">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3364">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5" count="4" selected="0">
            <x v="8"/>
            <x v="9"/>
            <x v="10"/>
            <x v="11"/>
          </reference>
        </references>
      </pivotArea>
    </format>
    <format dxfId="3363">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3362">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5" count="4" selected="0">
            <x v="8"/>
            <x v="9"/>
            <x v="10"/>
            <x v="11"/>
          </reference>
        </references>
      </pivotArea>
    </format>
    <format dxfId="3361">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3360">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5" count="4" selected="0">
            <x v="8"/>
            <x v="9"/>
            <x v="10"/>
            <x v="11"/>
          </reference>
        </references>
      </pivotArea>
    </format>
    <format dxfId="3359">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335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5" count="4" selected="0">
            <x v="8"/>
            <x v="9"/>
            <x v="10"/>
            <x v="11"/>
          </reference>
        </references>
      </pivotArea>
    </format>
    <format dxfId="335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3356">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5" count="4" selected="0">
            <x v="8"/>
            <x v="9"/>
            <x v="10"/>
            <x v="11"/>
          </reference>
        </references>
      </pivotArea>
    </format>
    <format dxfId="3355">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3354">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5" count="4" selected="0">
            <x v="8"/>
            <x v="9"/>
            <x v="10"/>
            <x v="11"/>
          </reference>
        </references>
      </pivotArea>
    </format>
    <format dxfId="3353">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3352">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5" count="4" selected="0">
            <x v="8"/>
            <x v="9"/>
            <x v="10"/>
            <x v="11"/>
          </reference>
        </references>
      </pivotArea>
    </format>
    <format dxfId="3351">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3350">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5" count="4" selected="0">
            <x v="8"/>
            <x v="9"/>
            <x v="10"/>
            <x v="11"/>
          </reference>
        </references>
      </pivotArea>
    </format>
    <format dxfId="3349">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3348">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5" count="4" selected="0">
            <x v="8"/>
            <x v="9"/>
            <x v="10"/>
            <x v="11"/>
          </reference>
        </references>
      </pivotArea>
    </format>
    <format dxfId="3347">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3346">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5" count="4" selected="0">
            <x v="8"/>
            <x v="9"/>
            <x v="10"/>
            <x v="11"/>
          </reference>
        </references>
      </pivotArea>
    </format>
    <format dxfId="3345">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3344">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5" count="4" selected="0">
            <x v="8"/>
            <x v="9"/>
            <x v="10"/>
            <x v="11"/>
          </reference>
        </references>
      </pivotArea>
    </format>
    <format dxfId="3343">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342">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5" count="4" selected="0">
            <x v="8"/>
            <x v="9"/>
            <x v="10"/>
            <x v="11"/>
          </reference>
        </references>
      </pivotArea>
    </format>
    <format dxfId="3341">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340">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5" count="4" selected="0">
            <x v="8"/>
            <x v="9"/>
            <x v="10"/>
            <x v="11"/>
          </reference>
        </references>
      </pivotArea>
    </format>
    <format dxfId="3339">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338">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5" count="4" selected="0">
            <x v="8"/>
            <x v="9"/>
            <x v="10"/>
            <x v="11"/>
          </reference>
        </references>
      </pivotArea>
    </format>
    <format dxfId="3337">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336">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5" count="4" selected="0">
            <x v="8"/>
            <x v="9"/>
            <x v="10"/>
            <x v="11"/>
          </reference>
        </references>
      </pivotArea>
    </format>
    <format dxfId="3335">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334">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5" count="4" selected="0">
            <x v="8"/>
            <x v="9"/>
            <x v="10"/>
            <x v="11"/>
          </reference>
        </references>
      </pivotArea>
    </format>
    <format dxfId="3333">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3332">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3331">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3330">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3329">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3328">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332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332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3325">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3324">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3323">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3322">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3321">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3320">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319">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318">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317">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316">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315">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50">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9" baseField="0" baseItem="0" numFmtId="41"/>
    <dataField name="Real % " fld="48" baseField="32" baseItem="0" numFmtId="43"/>
    <dataField name="Sisa " fld="49" baseField="32" baseItem="0" numFmtId="41"/>
    <dataField name="Sisa % " fld="47" baseField="0" baseItem="0" numFmtId="166"/>
  </dataFields>
  <formats count="1187">
    <format dxfId="3312">
      <pivotArea outline="0" collapsedLevelsAreSubtotals="1" fieldPosition="0">
        <references count="1">
          <reference field="4294967294" count="1" selected="0">
            <x v="1"/>
          </reference>
        </references>
      </pivotArea>
    </format>
    <format dxfId="3311">
      <pivotArea dataOnly="0" labelOnly="1" fieldPosition="0">
        <references count="1">
          <reference field="3" count="0"/>
        </references>
      </pivotArea>
    </format>
    <format dxfId="3310">
      <pivotArea dataOnly="0" labelOnly="1" fieldPosition="0">
        <references count="1">
          <reference field="5" count="0"/>
        </references>
      </pivotArea>
    </format>
    <format dxfId="3309">
      <pivotArea dataOnly="0" labelOnly="1" fieldPosition="0">
        <references count="1">
          <reference field="9" count="0"/>
        </references>
      </pivotArea>
    </format>
    <format dxfId="3308">
      <pivotArea dataOnly="0" labelOnly="1" fieldPosition="0">
        <references count="1">
          <reference field="11" count="0"/>
        </references>
      </pivotArea>
    </format>
    <format dxfId="3307">
      <pivotArea dataOnly="0" labelOnly="1" fieldPosition="0">
        <references count="1">
          <reference field="13" count="0"/>
        </references>
      </pivotArea>
    </format>
    <format dxfId="3306">
      <pivotArea dataOnly="0" labelOnly="1" outline="0" fieldPosition="0">
        <references count="1">
          <reference field="4294967294" count="1">
            <x v="1"/>
          </reference>
        </references>
      </pivotArea>
    </format>
    <format dxfId="3305">
      <pivotArea type="all" dataOnly="0" outline="0" fieldPosition="0"/>
    </format>
    <format dxfId="3304">
      <pivotArea outline="0" collapsedLevelsAreSubtotals="1" fieldPosition="0"/>
    </format>
    <format dxfId="3303">
      <pivotArea field="3" type="button" dataOnly="0" labelOnly="1" outline="0" axis="axisRow" fieldPosition="1"/>
    </format>
    <format dxfId="3302">
      <pivotArea dataOnly="0" labelOnly="1" fieldPosition="0">
        <references count="1">
          <reference field="3" count="0"/>
        </references>
      </pivotArea>
    </format>
    <format dxfId="3301">
      <pivotArea dataOnly="0" labelOnly="1" grandRow="1" outline="0" fieldPosition="0"/>
    </format>
    <format dxfId="3300">
      <pivotArea dataOnly="0" labelOnly="1" fieldPosition="0">
        <references count="2">
          <reference field="3" count="1" selected="0">
            <x v="0"/>
          </reference>
          <reference field="5" count="1">
            <x v="0"/>
          </reference>
        </references>
      </pivotArea>
    </format>
    <format dxfId="3299">
      <pivotArea dataOnly="0" labelOnly="1" fieldPosition="0">
        <references count="2">
          <reference field="3" count="1" selected="0">
            <x v="1"/>
          </reference>
          <reference field="5" count="2">
            <x v="1"/>
            <x v="2"/>
          </reference>
        </references>
      </pivotArea>
    </format>
    <format dxfId="3298">
      <pivotArea dataOnly="0" labelOnly="1" fieldPosition="0">
        <references count="3">
          <reference field="3" count="1" selected="0">
            <x v="0"/>
          </reference>
          <reference field="5" count="1" selected="0">
            <x v="0"/>
          </reference>
          <reference field="9" count="1">
            <x v="0"/>
          </reference>
        </references>
      </pivotArea>
    </format>
    <format dxfId="3297">
      <pivotArea dataOnly="0" labelOnly="1" fieldPosition="0">
        <references count="3">
          <reference field="3" count="1" selected="0">
            <x v="1"/>
          </reference>
          <reference field="5" count="1" selected="0">
            <x v="1"/>
          </reference>
          <reference field="9" count="8">
            <x v="1"/>
            <x v="2"/>
            <x v="3"/>
            <x v="4"/>
            <x v="5"/>
            <x v="6"/>
            <x v="7"/>
            <x v="8"/>
          </reference>
        </references>
      </pivotArea>
    </format>
    <format dxfId="3296">
      <pivotArea dataOnly="0" labelOnly="1" fieldPosition="0">
        <references count="3">
          <reference field="3" count="1" selected="0">
            <x v="1"/>
          </reference>
          <reference field="5" count="1" selected="0">
            <x v="2"/>
          </reference>
          <reference field="9" count="1">
            <x v="9"/>
          </reference>
        </references>
      </pivotArea>
    </format>
    <format dxfId="329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29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29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29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29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29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28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28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28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28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28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28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28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28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28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28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27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27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27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27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27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27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27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27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27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270">
      <pivotArea dataOnly="0" labelOnly="1" outline="0" fieldPosition="0">
        <references count="1">
          <reference field="4294967294" count="1">
            <x v="1"/>
          </reference>
        </references>
      </pivotArea>
    </format>
    <format dxfId="3269">
      <pivotArea type="all" dataOnly="0" outline="0" fieldPosition="0"/>
    </format>
    <format dxfId="3268">
      <pivotArea outline="0" collapsedLevelsAreSubtotals="1" fieldPosition="0"/>
    </format>
    <format dxfId="3267">
      <pivotArea field="3" type="button" dataOnly="0" labelOnly="1" outline="0" axis="axisRow" fieldPosition="1"/>
    </format>
    <format dxfId="3266">
      <pivotArea dataOnly="0" labelOnly="1" fieldPosition="0">
        <references count="1">
          <reference field="3" count="0"/>
        </references>
      </pivotArea>
    </format>
    <format dxfId="3265">
      <pivotArea dataOnly="0" labelOnly="1" grandRow="1" outline="0" fieldPosition="0"/>
    </format>
    <format dxfId="3264">
      <pivotArea dataOnly="0" labelOnly="1" fieldPosition="0">
        <references count="2">
          <reference field="3" count="1" selected="0">
            <x v="0"/>
          </reference>
          <reference field="5" count="1">
            <x v="0"/>
          </reference>
        </references>
      </pivotArea>
    </format>
    <format dxfId="3263">
      <pivotArea dataOnly="0" labelOnly="1" fieldPosition="0">
        <references count="2">
          <reference field="3" count="1" selected="0">
            <x v="1"/>
          </reference>
          <reference field="5" count="2">
            <x v="1"/>
            <x v="2"/>
          </reference>
        </references>
      </pivotArea>
    </format>
    <format dxfId="3262">
      <pivotArea dataOnly="0" labelOnly="1" fieldPosition="0">
        <references count="3">
          <reference field="3" count="1" selected="0">
            <x v="0"/>
          </reference>
          <reference field="5" count="1" selected="0">
            <x v="0"/>
          </reference>
          <reference field="9" count="1">
            <x v="0"/>
          </reference>
        </references>
      </pivotArea>
    </format>
    <format dxfId="3261">
      <pivotArea dataOnly="0" labelOnly="1" fieldPosition="0">
        <references count="3">
          <reference field="3" count="1" selected="0">
            <x v="1"/>
          </reference>
          <reference field="5" count="1" selected="0">
            <x v="1"/>
          </reference>
          <reference field="9" count="8">
            <x v="1"/>
            <x v="2"/>
            <x v="3"/>
            <x v="4"/>
            <x v="5"/>
            <x v="6"/>
            <x v="7"/>
            <x v="8"/>
          </reference>
        </references>
      </pivotArea>
    </format>
    <format dxfId="3260">
      <pivotArea dataOnly="0" labelOnly="1" fieldPosition="0">
        <references count="3">
          <reference field="3" count="1" selected="0">
            <x v="1"/>
          </reference>
          <reference field="5" count="1" selected="0">
            <x v="2"/>
          </reference>
          <reference field="9" count="1">
            <x v="9"/>
          </reference>
        </references>
      </pivotArea>
    </format>
    <format dxfId="325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25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25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25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25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25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25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25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25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25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24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24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24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24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24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24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24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24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24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24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23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23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23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23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23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234">
      <pivotArea dataOnly="0" labelOnly="1" outline="0" fieldPosition="0">
        <references count="1">
          <reference field="4294967294" count="1">
            <x v="1"/>
          </reference>
        </references>
      </pivotArea>
    </format>
    <format dxfId="3233">
      <pivotArea collapsedLevelsAreSubtotals="1" fieldPosition="0">
        <references count="1">
          <reference field="3" count="1">
            <x v="0"/>
          </reference>
        </references>
      </pivotArea>
    </format>
    <format dxfId="3232">
      <pivotArea collapsedLevelsAreSubtotals="1" fieldPosition="0">
        <references count="1">
          <reference field="3" count="1">
            <x v="1"/>
          </reference>
        </references>
      </pivotArea>
    </format>
    <format dxfId="3231">
      <pivotArea collapsedLevelsAreSubtotals="1" fieldPosition="0">
        <references count="3">
          <reference field="3" count="1" selected="0">
            <x v="0"/>
          </reference>
          <reference field="5" count="1" selected="0">
            <x v="0"/>
          </reference>
          <reference field="9" count="1">
            <x v="0"/>
          </reference>
        </references>
      </pivotArea>
    </format>
    <format dxfId="3230">
      <pivotArea collapsedLevelsAreSubtotals="1" fieldPosition="0">
        <references count="3">
          <reference field="3" count="1" selected="0">
            <x v="1"/>
          </reference>
          <reference field="5" count="1" selected="0">
            <x v="1"/>
          </reference>
          <reference field="9" count="1">
            <x v="1"/>
          </reference>
        </references>
      </pivotArea>
    </format>
    <format dxfId="3229">
      <pivotArea collapsedLevelsAreSubtotals="1" fieldPosition="0">
        <references count="3">
          <reference field="3" count="1" selected="0">
            <x v="1"/>
          </reference>
          <reference field="5" count="1" selected="0">
            <x v="1"/>
          </reference>
          <reference field="9" count="1">
            <x v="2"/>
          </reference>
        </references>
      </pivotArea>
    </format>
    <format dxfId="3228">
      <pivotArea collapsedLevelsAreSubtotals="1" fieldPosition="0">
        <references count="3">
          <reference field="3" count="1" selected="0">
            <x v="1"/>
          </reference>
          <reference field="5" count="1" selected="0">
            <x v="1"/>
          </reference>
          <reference field="9" count="1">
            <x v="3"/>
          </reference>
        </references>
      </pivotArea>
    </format>
    <format dxfId="3227">
      <pivotArea collapsedLevelsAreSubtotals="1" fieldPosition="0">
        <references count="3">
          <reference field="3" count="1" selected="0">
            <x v="1"/>
          </reference>
          <reference field="5" count="1" selected="0">
            <x v="1"/>
          </reference>
          <reference field="9" count="1">
            <x v="4"/>
          </reference>
        </references>
      </pivotArea>
    </format>
    <format dxfId="3226">
      <pivotArea collapsedLevelsAreSubtotals="1" fieldPosition="0">
        <references count="3">
          <reference field="3" count="1" selected="0">
            <x v="1"/>
          </reference>
          <reference field="5" count="1" selected="0">
            <x v="1"/>
          </reference>
          <reference field="9" count="1">
            <x v="5"/>
          </reference>
        </references>
      </pivotArea>
    </format>
    <format dxfId="3225">
      <pivotArea collapsedLevelsAreSubtotals="1" fieldPosition="0">
        <references count="3">
          <reference field="3" count="1" selected="0">
            <x v="1"/>
          </reference>
          <reference field="5" count="1" selected="0">
            <x v="1"/>
          </reference>
          <reference field="9" count="1">
            <x v="6"/>
          </reference>
        </references>
      </pivotArea>
    </format>
    <format dxfId="3224">
      <pivotArea collapsedLevelsAreSubtotals="1" fieldPosition="0">
        <references count="3">
          <reference field="3" count="1" selected="0">
            <x v="1"/>
          </reference>
          <reference field="5" count="1" selected="0">
            <x v="1"/>
          </reference>
          <reference field="9" count="1">
            <x v="7"/>
          </reference>
        </references>
      </pivotArea>
    </format>
    <format dxfId="3223">
      <pivotArea collapsedLevelsAreSubtotals="1" fieldPosition="0">
        <references count="3">
          <reference field="3" count="1" selected="0">
            <x v="1"/>
          </reference>
          <reference field="5" count="1" selected="0">
            <x v="1"/>
          </reference>
          <reference field="9" count="1">
            <x v="8"/>
          </reference>
        </references>
      </pivotArea>
    </format>
    <format dxfId="3222">
      <pivotArea collapsedLevelsAreSubtotals="1" fieldPosition="0">
        <references count="3">
          <reference field="3" count="1" selected="0">
            <x v="1"/>
          </reference>
          <reference field="5" count="1" selected="0">
            <x v="2"/>
          </reference>
          <reference field="9" count="1">
            <x v="9"/>
          </reference>
        </references>
      </pivotArea>
    </format>
    <format dxfId="3221">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3220">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3219">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3218">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3217">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3216">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3215">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3214">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3213">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3212">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3211">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3210">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3209">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3208">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3207">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320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320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3204">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20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320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320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3200">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199">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198">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1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319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319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319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319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319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319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319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318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318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318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318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318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318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3183">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18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318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318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317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317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3177">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17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317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317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317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317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317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317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316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316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316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3166">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165">
      <pivotArea collapsedLevelsAreSubtotals="1" fieldPosition="0">
        <references count="2">
          <reference field="3" count="1" selected="0">
            <x v="1"/>
          </reference>
          <reference field="5" count="1">
            <x v="1"/>
          </reference>
        </references>
      </pivotArea>
    </format>
    <format dxfId="3164">
      <pivotArea field="3" type="button" dataOnly="0" labelOnly="1" outline="0" axis="axisRow" fieldPosition="1"/>
    </format>
    <format dxfId="3163">
      <pivotArea collapsedLevelsAreSubtotals="1" fieldPosition="0">
        <references count="2">
          <reference field="3" count="1" selected="0">
            <x v="1"/>
          </reference>
          <reference field="5" count="1">
            <x v="2"/>
          </reference>
        </references>
      </pivotArea>
    </format>
    <format dxfId="3162">
      <pivotArea collapsedLevelsAreSubtotals="1" fieldPosition="0">
        <references count="2">
          <reference field="3" count="1" selected="0">
            <x v="0"/>
          </reference>
          <reference field="5" count="1">
            <x v="0"/>
          </reference>
        </references>
      </pivotArea>
    </format>
    <format dxfId="3161">
      <pivotArea field="3" type="button" dataOnly="0" labelOnly="1" outline="0" axis="axisRow" fieldPosition="1"/>
    </format>
    <format dxfId="3160">
      <pivotArea dataOnly="0" labelOnly="1" outline="0" fieldPosition="0">
        <references count="1">
          <reference field="4294967294" count="1">
            <x v="1"/>
          </reference>
        </references>
      </pivotArea>
    </format>
    <format dxfId="3159">
      <pivotArea field="3" type="button" dataOnly="0" labelOnly="1" outline="0" axis="axisRow" fieldPosition="1"/>
    </format>
    <format dxfId="3158">
      <pivotArea dataOnly="0" labelOnly="1" outline="0" fieldPosition="0">
        <references count="1">
          <reference field="4294967294" count="1">
            <x v="1"/>
          </reference>
        </references>
      </pivotArea>
    </format>
    <format dxfId="3157">
      <pivotArea field="3" type="button" dataOnly="0" labelOnly="1" outline="0" axis="axisRow" fieldPosition="1"/>
    </format>
    <format dxfId="3156">
      <pivotArea dataOnly="0" labelOnly="1" fieldPosition="0">
        <references count="1">
          <reference field="3" count="0"/>
        </references>
      </pivotArea>
    </format>
    <format dxfId="3155">
      <pivotArea dataOnly="0" labelOnly="1" grandRow="1" outline="0" fieldPosition="0"/>
    </format>
    <format dxfId="3154">
      <pivotArea dataOnly="0" labelOnly="1" fieldPosition="0">
        <references count="2">
          <reference field="3" count="1" selected="0">
            <x v="0"/>
          </reference>
          <reference field="5" count="1">
            <x v="0"/>
          </reference>
        </references>
      </pivotArea>
    </format>
    <format dxfId="3153">
      <pivotArea dataOnly="0" labelOnly="1" fieldPosition="0">
        <references count="2">
          <reference field="3" count="1" selected="0">
            <x v="1"/>
          </reference>
          <reference field="5" count="2">
            <x v="1"/>
            <x v="2"/>
          </reference>
        </references>
      </pivotArea>
    </format>
    <format dxfId="3152">
      <pivotArea dataOnly="0" labelOnly="1" fieldPosition="0">
        <references count="3">
          <reference field="3" count="1" selected="0">
            <x v="0"/>
          </reference>
          <reference field="5" count="1" selected="0">
            <x v="0"/>
          </reference>
          <reference field="9" count="1">
            <x v="0"/>
          </reference>
        </references>
      </pivotArea>
    </format>
    <format dxfId="3151">
      <pivotArea dataOnly="0" labelOnly="1" fieldPosition="0">
        <references count="3">
          <reference field="3" count="1" selected="0">
            <x v="1"/>
          </reference>
          <reference field="5" count="1" selected="0">
            <x v="1"/>
          </reference>
          <reference field="9" count="8">
            <x v="1"/>
            <x v="2"/>
            <x v="3"/>
            <x v="4"/>
            <x v="5"/>
            <x v="6"/>
            <x v="7"/>
            <x v="8"/>
          </reference>
        </references>
      </pivotArea>
    </format>
    <format dxfId="3150">
      <pivotArea dataOnly="0" labelOnly="1" fieldPosition="0">
        <references count="3">
          <reference field="3" count="1" selected="0">
            <x v="1"/>
          </reference>
          <reference field="5" count="1" selected="0">
            <x v="2"/>
          </reference>
          <reference field="9" count="1">
            <x v="9"/>
          </reference>
        </references>
      </pivotArea>
    </format>
    <format dxfId="314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14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14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14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14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14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14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14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14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14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13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13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13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13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13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13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13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13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13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13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12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12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12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12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12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124">
      <pivotArea dataOnly="0" labelOnly="1" fieldPosition="0">
        <references count="1">
          <reference field="13" count="0"/>
        </references>
      </pivotArea>
    </format>
    <format dxfId="3123">
      <pivotArea dataOnly="0" labelOnly="1" fieldPosition="0">
        <references count="1">
          <reference field="13" count="0"/>
        </references>
      </pivotArea>
    </format>
    <format dxfId="3122">
      <pivotArea type="all" dataOnly="0" outline="0" fieldPosition="0"/>
    </format>
    <format dxfId="3121">
      <pivotArea outline="0" collapsedLevelsAreSubtotals="1" fieldPosition="0"/>
    </format>
    <format dxfId="3120">
      <pivotArea field="33" type="button" dataOnly="0" labelOnly="1" outline="0" axis="axisRow" fieldPosition="0"/>
    </format>
    <format dxfId="3119">
      <pivotArea dataOnly="0" labelOnly="1" grandRow="1" outline="0" fieldPosition="0"/>
    </format>
    <format dxfId="3118">
      <pivotArea dataOnly="0" labelOnly="1" fieldPosition="0">
        <references count="2">
          <reference field="3" count="0"/>
          <reference field="33" count="0" selected="0"/>
        </references>
      </pivotArea>
    </format>
    <format dxfId="3117">
      <pivotArea dataOnly="0" labelOnly="1" fieldPosition="0">
        <references count="3">
          <reference field="3" count="1" selected="0">
            <x v="0"/>
          </reference>
          <reference field="5" count="1">
            <x v="0"/>
          </reference>
          <reference field="33" count="0" selected="0"/>
        </references>
      </pivotArea>
    </format>
    <format dxfId="3116">
      <pivotArea dataOnly="0" labelOnly="1" fieldPosition="0">
        <references count="3">
          <reference field="3" count="1" selected="0">
            <x v="1"/>
          </reference>
          <reference field="5" count="2">
            <x v="1"/>
            <x v="2"/>
          </reference>
          <reference field="33" count="0" selected="0"/>
        </references>
      </pivotArea>
    </format>
    <format dxfId="311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11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11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11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111">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11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10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10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10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106">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105">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310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10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10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10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10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0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0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09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096">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09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09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09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09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09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090">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308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08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087">
      <pivotArea dataOnly="0" labelOnly="1" outline="0" fieldPosition="0">
        <references count="1">
          <reference field="4294967294" count="1">
            <x v="1"/>
          </reference>
        </references>
      </pivotArea>
    </format>
    <format dxfId="3086">
      <pivotArea dataOnly="0" labelOnly="1" fieldPosition="0">
        <references count="1">
          <reference field="34" count="0"/>
        </references>
      </pivotArea>
    </format>
    <format dxfId="3085">
      <pivotArea dataOnly="0" labelOnly="1" fieldPosition="0">
        <references count="1">
          <reference field="35" count="0"/>
        </references>
      </pivotArea>
    </format>
    <format dxfId="3084">
      <pivotArea dataOnly="0" labelOnly="1" fieldPosition="0">
        <references count="1">
          <reference field="35" count="0"/>
        </references>
      </pivotArea>
    </format>
    <format dxfId="3083">
      <pivotArea dataOnly="0" labelOnly="1" fieldPosition="0">
        <references count="1">
          <reference field="35" count="0"/>
        </references>
      </pivotArea>
    </format>
    <format dxfId="3082">
      <pivotArea dataOnly="0" labelOnly="1" fieldPosition="0">
        <references count="1">
          <reference field="35" count="0"/>
        </references>
      </pivotArea>
    </format>
    <format dxfId="3081">
      <pivotArea dataOnly="0" labelOnly="1" fieldPosition="0">
        <references count="1">
          <reference field="34" count="0"/>
        </references>
      </pivotArea>
    </format>
    <format dxfId="3080">
      <pivotArea dataOnly="0" labelOnly="1" fieldPosition="0">
        <references count="1">
          <reference field="34" count="0"/>
        </references>
      </pivotArea>
    </format>
    <format dxfId="3079">
      <pivotArea dataOnly="0" labelOnly="1" fieldPosition="0">
        <references count="1">
          <reference field="34" count="0"/>
        </references>
      </pivotArea>
    </format>
    <format dxfId="3078">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3077">
      <pivotArea dataOnly="0" labelOnly="1" fieldPosition="0">
        <references count="4">
          <reference field="3" count="1" selected="0">
            <x v="0"/>
          </reference>
          <reference field="5" count="1" selected="0">
            <x v="0"/>
          </reference>
          <reference field="33" count="0" selected="0"/>
          <reference field="34" count="1">
            <x v="0"/>
          </reference>
        </references>
      </pivotArea>
    </format>
    <format dxfId="3076">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3075">
      <pivotArea dataOnly="0" labelOnly="1" fieldPosition="0">
        <references count="4">
          <reference field="3" count="1" selected="0">
            <x v="0"/>
          </reference>
          <reference field="5" count="1" selected="0">
            <x v="0"/>
          </reference>
          <reference field="33" count="0" selected="0"/>
          <reference field="34" count="1">
            <x v="1"/>
          </reference>
        </references>
      </pivotArea>
    </format>
    <format dxfId="3074">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3073">
      <pivotArea dataOnly="0" labelOnly="1" fieldPosition="0">
        <references count="4">
          <reference field="3" count="1" selected="0">
            <x v="1"/>
          </reference>
          <reference field="5" count="1" selected="0">
            <x v="1"/>
          </reference>
          <reference field="33" count="0" selected="0"/>
          <reference field="34" count="1">
            <x v="0"/>
          </reference>
        </references>
      </pivotArea>
    </format>
    <format dxfId="3072">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3071">
      <pivotArea dataOnly="0" labelOnly="1" fieldPosition="0">
        <references count="4">
          <reference field="3" count="1" selected="0">
            <x v="1"/>
          </reference>
          <reference field="5" count="1" selected="0">
            <x v="1"/>
          </reference>
          <reference field="33" count="0" selected="0"/>
          <reference field="34" count="1">
            <x v="1"/>
          </reference>
        </references>
      </pivotArea>
    </format>
    <format dxfId="3070">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3069">
      <pivotArea dataOnly="0" labelOnly="1" fieldPosition="0">
        <references count="4">
          <reference field="3" count="1" selected="0">
            <x v="1"/>
          </reference>
          <reference field="5" count="1" selected="0">
            <x v="1"/>
          </reference>
          <reference field="33" count="0" selected="0"/>
          <reference field="34" count="1">
            <x v="2"/>
          </reference>
        </references>
      </pivotArea>
    </format>
    <format dxfId="3068">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3067">
      <pivotArea dataOnly="0" labelOnly="1" fieldPosition="0">
        <references count="4">
          <reference field="3" count="1" selected="0">
            <x v="1"/>
          </reference>
          <reference field="5" count="1" selected="0">
            <x v="1"/>
          </reference>
          <reference field="33" count="0" selected="0"/>
          <reference field="34" count="1">
            <x v="3"/>
          </reference>
        </references>
      </pivotArea>
    </format>
    <format dxfId="3066">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306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64">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063">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06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061">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060">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059">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05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057">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056">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5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54">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053">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05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051">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050">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049">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04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047">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046">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045">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04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043">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042">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4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40">
      <pivotArea dataOnly="0" labelOnly="1" fieldPosition="0">
        <references count="1">
          <reference field="33" count="0"/>
        </references>
      </pivotArea>
    </format>
    <format dxfId="3039">
      <pivotArea collapsedLevelsAreSubtotals="1" fieldPosition="0">
        <references count="1">
          <reference field="33" count="0"/>
        </references>
      </pivotArea>
    </format>
    <format dxfId="3038">
      <pivotArea dataOnly="0" labelOnly="1" fieldPosition="0">
        <references count="1">
          <reference field="33" count="0"/>
        </references>
      </pivotArea>
    </format>
    <format dxfId="3037">
      <pivotArea dataOnly="0" labelOnly="1" fieldPosition="0">
        <references count="1">
          <reference field="13" count="0"/>
        </references>
      </pivotArea>
    </format>
    <format dxfId="303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03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03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03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03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03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030">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2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2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02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02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02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024">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2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2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2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2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1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30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301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0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01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01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01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01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010">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0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08">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0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0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00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00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00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00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00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00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9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99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9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99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99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99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99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99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99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99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98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988">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8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8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98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98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98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98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98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98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97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97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9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97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97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97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97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97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97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97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96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96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96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966">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6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6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96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96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96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96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95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95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95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956">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5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54">
      <pivotArea dataOnly="0" labelOnly="1" fieldPosition="0">
        <references count="1">
          <reference field="11" count="0"/>
        </references>
      </pivotArea>
    </format>
    <format dxfId="2953">
      <pivotArea dataOnly="0" labelOnly="1" fieldPosition="0">
        <references count="1">
          <reference field="11" count="0"/>
        </references>
      </pivotArea>
    </format>
    <format dxfId="2952">
      <pivotArea dataOnly="0" labelOnly="1" fieldPosition="0">
        <references count="1">
          <reference field="13" count="0"/>
        </references>
      </pivotArea>
    </format>
    <format dxfId="2951">
      <pivotArea dataOnly="0" labelOnly="1" fieldPosition="0">
        <references count="1">
          <reference field="13" count="0"/>
        </references>
      </pivotArea>
    </format>
    <format dxfId="2950">
      <pivotArea dataOnly="0" labelOnly="1" fieldPosition="0">
        <references count="1">
          <reference field="35" count="0"/>
        </references>
      </pivotArea>
    </format>
    <format dxfId="2949">
      <pivotArea dataOnly="0" labelOnly="1" fieldPosition="0">
        <references count="1">
          <reference field="35" count="0"/>
        </references>
      </pivotArea>
    </format>
    <format dxfId="29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9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9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9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9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91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91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91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91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90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90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90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290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290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290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290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2902">
      <pivotArea dataOnly="0" labelOnly="1" fieldPosition="0">
        <references count="1">
          <reference field="11" count="0"/>
        </references>
      </pivotArea>
    </format>
    <format dxfId="2901">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90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899">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89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897">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89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895">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89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89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8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89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8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88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88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887">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886">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885">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884">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883">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88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881">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88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879">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87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877">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7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7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87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873">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87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871">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7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69">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868">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867">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866">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86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86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86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86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86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86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85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85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85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85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85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85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85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85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85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85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84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84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84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84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84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84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84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84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84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4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8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83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83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83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3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3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83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83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83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82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82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82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82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825">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824">
      <pivotArea dataOnly="0" labelOnly="1" grandRow="1" outline="0" fieldPosition="0"/>
    </format>
    <format dxfId="2823">
      <pivotArea outline="0" fieldPosition="0">
        <references count="1">
          <reference field="4294967294" count="1">
            <x v="2"/>
          </reference>
        </references>
      </pivotArea>
    </format>
    <format dxfId="2822">
      <pivotArea dataOnly="0" labelOnly="1" outline="0" fieldPosition="0">
        <references count="1">
          <reference field="4294967294" count="1">
            <x v="3"/>
          </reference>
        </references>
      </pivotArea>
    </format>
    <format dxfId="2821">
      <pivotArea dataOnly="0" labelOnly="1" outline="0" fieldPosition="0">
        <references count="1">
          <reference field="4294967294" count="1">
            <x v="3"/>
          </reference>
        </references>
      </pivotArea>
    </format>
    <format dxfId="2820">
      <pivotArea field="33" type="button" dataOnly="0" labelOnly="1" outline="0" axis="axisRow" fieldPosition="0"/>
    </format>
    <format dxfId="2819">
      <pivotArea dataOnly="0" labelOnly="1" outline="0" fieldPosition="0">
        <references count="1">
          <reference field="4294967294" count="3">
            <x v="1"/>
            <x v="2"/>
            <x v="3"/>
          </reference>
        </references>
      </pivotArea>
    </format>
    <format dxfId="2818">
      <pivotArea field="33" type="button" dataOnly="0" labelOnly="1" outline="0" axis="axisRow" fieldPosition="0"/>
    </format>
    <format dxfId="2817">
      <pivotArea dataOnly="0" labelOnly="1" outline="0" fieldPosition="0">
        <references count="1">
          <reference field="4294967294" count="3">
            <x v="1"/>
            <x v="2"/>
            <x v="3"/>
          </reference>
        </references>
      </pivotArea>
    </format>
    <format dxfId="281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281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281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281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281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281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8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280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280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2807">
      <pivotArea collapsedLevelsAreSubtotals="1" fieldPosition="0">
        <references count="2">
          <reference field="4294967294" count="1" selected="0">
            <x v="2"/>
          </reference>
          <reference field="33" count="0"/>
        </references>
      </pivotArea>
    </format>
    <format dxfId="2806">
      <pivotArea collapsedLevelsAreSubtotals="1" fieldPosition="0">
        <references count="3">
          <reference field="4294967294" count="1" selected="0">
            <x v="2"/>
          </reference>
          <reference field="3" count="1">
            <x v="0"/>
          </reference>
          <reference field="33" count="0" selected="0"/>
        </references>
      </pivotArea>
    </format>
    <format dxfId="2805">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2804">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280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280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80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80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79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79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79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79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79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79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279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79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79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79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2789">
      <pivotArea dataOnly="0" labelOnly="1" outline="0" fieldPosition="0">
        <references count="1">
          <reference field="4294967294" count="1">
            <x v="2"/>
          </reference>
        </references>
      </pivotArea>
    </format>
    <format dxfId="278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2787">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2786">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2785">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784">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78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78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78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78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779">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2778">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777">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77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77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774">
      <pivotArea collapsedLevelsAreSubtotals="1" fieldPosition="0">
        <references count="3">
          <reference field="4294967294" count="1" selected="0">
            <x v="2"/>
          </reference>
          <reference field="3" count="1">
            <x v="1"/>
          </reference>
          <reference field="33" count="0" selected="0"/>
        </references>
      </pivotArea>
    </format>
    <format dxfId="2773">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277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277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277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76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76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76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276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2765">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276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276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76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76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76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275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275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275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75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75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75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75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275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2751">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750">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749">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748">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74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74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274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2744">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74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74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74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2740">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2739">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738">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737">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2736">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273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2734">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2733">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732">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731">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73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72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272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2727">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72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272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272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272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2722">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721">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72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71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71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71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71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71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71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71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271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271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71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70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70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70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2706">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2705">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704">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703">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702">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2701">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70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69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69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69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69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69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69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69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69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69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90">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2689">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688">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687">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86">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2685">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68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68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8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68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68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67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67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67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676">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2675">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2674">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2673">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672">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67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67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6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66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6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66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65">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664">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66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62">
      <pivotArea field="33" grandRow="1" outline="0" collapsedLevelsAreSubtotals="1" axis="axisRow" fieldPosition="0">
        <references count="1">
          <reference field="4294967294" count="1" selected="0">
            <x v="2"/>
          </reference>
        </references>
      </pivotArea>
    </format>
    <format dxfId="2661">
      <pivotArea outline="0" fieldPosition="0">
        <references count="1">
          <reference field="4294967294" count="1">
            <x v="0"/>
          </reference>
        </references>
      </pivotArea>
    </format>
    <format dxfId="2660">
      <pivotArea field="33" type="button" dataOnly="0" labelOnly="1" outline="0" axis="axisRow" fieldPosition="0"/>
    </format>
    <format dxfId="2659">
      <pivotArea dataOnly="0" labelOnly="1" outline="0" fieldPosition="0">
        <references count="1">
          <reference field="4294967294" count="4">
            <x v="0"/>
            <x v="1"/>
            <x v="2"/>
            <x v="3"/>
          </reference>
        </references>
      </pivotArea>
    </format>
    <format dxfId="2658">
      <pivotArea field="33" type="button" dataOnly="0" labelOnly="1" outline="0" axis="axisRow" fieldPosition="0"/>
    </format>
    <format dxfId="2657">
      <pivotArea dataOnly="0" labelOnly="1" outline="0" fieldPosition="0">
        <references count="1">
          <reference field="4294967294" count="4">
            <x v="0"/>
            <x v="1"/>
            <x v="2"/>
            <x v="3"/>
          </reference>
        </references>
      </pivotArea>
    </format>
    <format dxfId="2656">
      <pivotArea outline="0" collapsedLevelsAreSubtotals="1" fieldPosition="0">
        <references count="1">
          <reference field="4294967294" count="1" selected="0">
            <x v="4"/>
          </reference>
        </references>
      </pivotArea>
    </format>
    <format dxfId="2655">
      <pivotArea dataOnly="0" labelOnly="1" outline="0" fieldPosition="0">
        <references count="1">
          <reference field="4294967294" count="1">
            <x v="4"/>
          </reference>
        </references>
      </pivotArea>
    </format>
    <format dxfId="2654">
      <pivotArea type="all" dataOnly="0" outline="0" fieldPosition="0"/>
    </format>
    <format dxfId="2653">
      <pivotArea outline="0" collapsedLevelsAreSubtotals="1" fieldPosition="0"/>
    </format>
    <format dxfId="2652">
      <pivotArea field="33" type="button" dataOnly="0" labelOnly="1" outline="0" axis="axisRow" fieldPosition="0"/>
    </format>
    <format dxfId="2651">
      <pivotArea dataOnly="0" labelOnly="1" fieldPosition="0">
        <references count="1">
          <reference field="33" count="0"/>
        </references>
      </pivotArea>
    </format>
    <format dxfId="2650">
      <pivotArea dataOnly="0" labelOnly="1" grandRow="1" outline="0" fieldPosition="0"/>
    </format>
    <format dxfId="2649">
      <pivotArea dataOnly="0" labelOnly="1" fieldPosition="0">
        <references count="2">
          <reference field="3" count="0"/>
          <reference field="33" count="0" selected="0"/>
        </references>
      </pivotArea>
    </format>
    <format dxfId="2648">
      <pivotArea dataOnly="0" labelOnly="1" fieldPosition="0">
        <references count="3">
          <reference field="3" count="1" selected="0">
            <x v="0"/>
          </reference>
          <reference field="5" count="1">
            <x v="0"/>
          </reference>
          <reference field="33" count="0" selected="0"/>
        </references>
      </pivotArea>
    </format>
    <format dxfId="2647">
      <pivotArea dataOnly="0" labelOnly="1" fieldPosition="0">
        <references count="3">
          <reference field="3" count="1" selected="0">
            <x v="1"/>
          </reference>
          <reference field="5" count="2">
            <x v="1"/>
            <x v="2"/>
          </reference>
          <reference field="33" count="0" selected="0"/>
        </references>
      </pivotArea>
    </format>
    <format dxfId="264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645">
      <pivotArea dataOnly="0" labelOnly="1" fieldPosition="0">
        <references count="4">
          <reference field="3" count="1" selected="0">
            <x v="1"/>
          </reference>
          <reference field="5" count="1" selected="0">
            <x v="1"/>
          </reference>
          <reference field="33" count="0" selected="0"/>
          <reference field="34" count="0"/>
        </references>
      </pivotArea>
    </format>
    <format dxfId="2644">
      <pivotArea dataOnly="0" labelOnly="1" fieldPosition="0">
        <references count="4">
          <reference field="3" count="1" selected="0">
            <x v="1"/>
          </reference>
          <reference field="5" count="1" selected="0">
            <x v="2"/>
          </reference>
          <reference field="33" count="0" selected="0"/>
          <reference field="34" count="1">
            <x v="2"/>
          </reference>
        </references>
      </pivotArea>
    </format>
    <format dxfId="264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64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64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64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63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63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63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63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63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63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63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63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63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63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62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62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62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62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62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62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62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62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62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6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6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61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61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61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61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61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61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6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61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61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60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60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60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60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60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6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6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60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60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60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59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59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5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59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5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59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59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59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59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59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58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58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58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58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58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58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5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5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58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58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57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57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57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57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57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57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5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57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57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5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56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56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56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5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56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5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5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56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56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56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55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55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55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5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55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55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55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552">
      <pivotArea dataOnly="0" labelOnly="1" outline="0" fieldPosition="0">
        <references count="1">
          <reference field="4294967294" count="5">
            <x v="0"/>
            <x v="1"/>
            <x v="2"/>
            <x v="3"/>
            <x v="4"/>
          </reference>
        </references>
      </pivotArea>
    </format>
    <format dxfId="2551">
      <pivotArea type="all" dataOnly="0" outline="0" fieldPosition="0"/>
    </format>
    <format dxfId="2550">
      <pivotArea outline="0" collapsedLevelsAreSubtotals="1" fieldPosition="0"/>
    </format>
    <format dxfId="2549">
      <pivotArea field="33" type="button" dataOnly="0" labelOnly="1" outline="0" axis="axisRow" fieldPosition="0"/>
    </format>
    <format dxfId="2548">
      <pivotArea dataOnly="0" labelOnly="1" fieldPosition="0">
        <references count="1">
          <reference field="33" count="0"/>
        </references>
      </pivotArea>
    </format>
    <format dxfId="2547">
      <pivotArea dataOnly="0" labelOnly="1" grandRow="1" outline="0" fieldPosition="0"/>
    </format>
    <format dxfId="2546">
      <pivotArea dataOnly="0" labelOnly="1" fieldPosition="0">
        <references count="2">
          <reference field="3" count="0"/>
          <reference field="33" count="0" selected="0"/>
        </references>
      </pivotArea>
    </format>
    <format dxfId="2545">
      <pivotArea dataOnly="0" labelOnly="1" fieldPosition="0">
        <references count="3">
          <reference field="3" count="1" selected="0">
            <x v="0"/>
          </reference>
          <reference field="5" count="1">
            <x v="0"/>
          </reference>
          <reference field="33" count="0" selected="0"/>
        </references>
      </pivotArea>
    </format>
    <format dxfId="2544">
      <pivotArea dataOnly="0" labelOnly="1" fieldPosition="0">
        <references count="3">
          <reference field="3" count="1" selected="0">
            <x v="1"/>
          </reference>
          <reference field="5" count="2">
            <x v="1"/>
            <x v="2"/>
          </reference>
          <reference field="33" count="0" selected="0"/>
        </references>
      </pivotArea>
    </format>
    <format dxfId="254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542">
      <pivotArea dataOnly="0" labelOnly="1" fieldPosition="0">
        <references count="4">
          <reference field="3" count="1" selected="0">
            <x v="1"/>
          </reference>
          <reference field="5" count="1" selected="0">
            <x v="1"/>
          </reference>
          <reference field="33" count="0" selected="0"/>
          <reference field="34" count="0"/>
        </references>
      </pivotArea>
    </format>
    <format dxfId="2541">
      <pivotArea dataOnly="0" labelOnly="1" fieldPosition="0">
        <references count="4">
          <reference field="3" count="1" selected="0">
            <x v="1"/>
          </reference>
          <reference field="5" count="1" selected="0">
            <x v="2"/>
          </reference>
          <reference field="33" count="0" selected="0"/>
          <reference field="34" count="1">
            <x v="2"/>
          </reference>
        </references>
      </pivotArea>
    </format>
    <format dxfId="254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53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53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53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53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53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53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53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53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53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53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52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52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52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52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52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52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52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52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52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52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51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51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5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51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51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51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51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51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51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51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50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50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50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50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50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50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50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50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5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5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4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49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49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49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49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49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49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4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49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49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48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48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48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48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48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48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48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48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48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4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4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4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47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47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47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47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47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47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47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4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46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46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46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4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46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46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4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46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46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46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45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45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45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45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45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45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45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45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45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45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449">
      <pivotArea dataOnly="0" labelOnly="1" outline="0" fieldPosition="0">
        <references count="1">
          <reference field="4294967294" count="5">
            <x v="0"/>
            <x v="1"/>
            <x v="2"/>
            <x v="3"/>
            <x v="4"/>
          </reference>
        </references>
      </pivotArea>
    </format>
    <format dxfId="2448">
      <pivotArea dataOnly="0" labelOnly="1" fieldPosition="0">
        <references count="1">
          <reference field="11" count="0"/>
        </references>
      </pivotArea>
    </format>
    <format dxfId="2447">
      <pivotArea dataOnly="0" labelOnly="1" fieldPosition="0">
        <references count="1">
          <reference field="11" count="0"/>
        </references>
      </pivotArea>
    </format>
    <format dxfId="2446">
      <pivotArea dataOnly="0" labelOnly="1" fieldPosition="0">
        <references count="1">
          <reference field="13" count="0"/>
        </references>
      </pivotArea>
    </format>
    <format dxfId="2445">
      <pivotArea dataOnly="0" labelOnly="1" fieldPosition="0">
        <references count="1">
          <reference field="13" count="0"/>
        </references>
      </pivotArea>
    </format>
    <format dxfId="2444">
      <pivotArea dataOnly="0" labelOnly="1" fieldPosition="0">
        <references count="1">
          <reference field="13" count="0"/>
        </references>
      </pivotArea>
    </format>
    <format dxfId="2443">
      <pivotArea dataOnly="0" labelOnly="1" fieldPosition="0">
        <references count="1">
          <reference field="15" count="0"/>
        </references>
      </pivotArea>
    </format>
    <format dxfId="2442">
      <pivotArea dataOnly="0" labelOnly="1" fieldPosition="0">
        <references count="1">
          <reference field="15" count="0"/>
        </references>
      </pivotArea>
    </format>
    <format dxfId="2441">
      <pivotArea dataOnly="0" labelOnly="1" fieldPosition="0">
        <references count="1">
          <reference field="15" count="0"/>
        </references>
      </pivotArea>
    </format>
    <format dxfId="2440">
      <pivotArea dataOnly="0" labelOnly="1" fieldPosition="0">
        <references count="1">
          <reference field="15" count="0"/>
        </references>
      </pivotArea>
    </format>
    <format dxfId="2439">
      <pivotArea dataOnly="0" labelOnly="1" fieldPosition="0">
        <references count="1">
          <reference field="15" count="0"/>
        </references>
      </pivotArea>
    </format>
    <format dxfId="2438">
      <pivotArea field="33" type="button" dataOnly="0" labelOnly="1" outline="0" axis="axisRow" fieldPosition="0"/>
    </format>
    <format dxfId="2437">
      <pivotArea dataOnly="0" labelOnly="1" fieldPosition="0">
        <references count="1">
          <reference field="33" count="0"/>
        </references>
      </pivotArea>
    </format>
    <format dxfId="2436">
      <pivotArea dataOnly="0" labelOnly="1" grandRow="1" outline="0" fieldPosition="0"/>
    </format>
    <format dxfId="2435">
      <pivotArea dataOnly="0" labelOnly="1" fieldPosition="0">
        <references count="2">
          <reference field="3" count="0"/>
          <reference field="33" count="0" selected="0"/>
        </references>
      </pivotArea>
    </format>
    <format dxfId="2434">
      <pivotArea dataOnly="0" labelOnly="1" fieldPosition="0">
        <references count="3">
          <reference field="3" count="1" selected="0">
            <x v="0"/>
          </reference>
          <reference field="5" count="1">
            <x v="0"/>
          </reference>
          <reference field="33" count="0" selected="0"/>
        </references>
      </pivotArea>
    </format>
    <format dxfId="2433">
      <pivotArea dataOnly="0" labelOnly="1" fieldPosition="0">
        <references count="3">
          <reference field="3" count="1" selected="0">
            <x v="1"/>
          </reference>
          <reference field="5" count="2">
            <x v="1"/>
            <x v="2"/>
          </reference>
          <reference field="33" count="0" selected="0"/>
        </references>
      </pivotArea>
    </format>
    <format dxfId="243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431">
      <pivotArea dataOnly="0" labelOnly="1" fieldPosition="0">
        <references count="4">
          <reference field="3" count="1" selected="0">
            <x v="1"/>
          </reference>
          <reference field="5" count="1" selected="0">
            <x v="1"/>
          </reference>
          <reference field="33" count="0" selected="0"/>
          <reference field="34" count="0"/>
        </references>
      </pivotArea>
    </format>
    <format dxfId="2430">
      <pivotArea dataOnly="0" labelOnly="1" fieldPosition="0">
        <references count="4">
          <reference field="3" count="1" selected="0">
            <x v="1"/>
          </reference>
          <reference field="5" count="1" selected="0">
            <x v="2"/>
          </reference>
          <reference field="33" count="0" selected="0"/>
          <reference field="34" count="1">
            <x v="2"/>
          </reference>
        </references>
      </pivotArea>
    </format>
    <format dxfId="242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42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42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42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42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42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42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42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42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42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41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41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41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41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41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41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41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412">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41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41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40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40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40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4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4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40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40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40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40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40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39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3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39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396">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39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39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39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39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39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3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3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3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38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38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38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38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3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38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38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38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37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37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37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37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37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37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373">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37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37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370">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3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3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3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36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36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364">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363">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36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36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36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35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35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3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3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35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35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353">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3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3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3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34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34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347">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34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34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34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34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34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34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34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339">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338">
      <pivotArea field="33" type="button" dataOnly="0" labelOnly="1" outline="0" axis="axisRow" fieldPosition="0"/>
    </format>
    <format dxfId="2337">
      <pivotArea dataOnly="0" labelOnly="1" fieldPosition="0">
        <references count="1">
          <reference field="33" count="0"/>
        </references>
      </pivotArea>
    </format>
    <format dxfId="2336">
      <pivotArea dataOnly="0" labelOnly="1" grandRow="1" outline="0" fieldPosition="0"/>
    </format>
    <format dxfId="2335">
      <pivotArea dataOnly="0" labelOnly="1" fieldPosition="0">
        <references count="2">
          <reference field="3" count="0"/>
          <reference field="33" count="0" selected="0"/>
        </references>
      </pivotArea>
    </format>
    <format dxfId="2334">
      <pivotArea dataOnly="0" labelOnly="1" fieldPosition="0">
        <references count="3">
          <reference field="3" count="1" selected="0">
            <x v="0"/>
          </reference>
          <reference field="5" count="1">
            <x v="0"/>
          </reference>
          <reference field="33" count="0" selected="0"/>
        </references>
      </pivotArea>
    </format>
    <format dxfId="2333">
      <pivotArea dataOnly="0" labelOnly="1" fieldPosition="0">
        <references count="3">
          <reference field="3" count="1" selected="0">
            <x v="1"/>
          </reference>
          <reference field="5" count="2">
            <x v="1"/>
            <x v="2"/>
          </reference>
          <reference field="33" count="0" selected="0"/>
        </references>
      </pivotArea>
    </format>
    <format dxfId="233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331">
      <pivotArea dataOnly="0" labelOnly="1" fieldPosition="0">
        <references count="4">
          <reference field="3" count="1" selected="0">
            <x v="1"/>
          </reference>
          <reference field="5" count="1" selected="0">
            <x v="1"/>
          </reference>
          <reference field="33" count="0" selected="0"/>
          <reference field="34" count="0"/>
        </references>
      </pivotArea>
    </format>
    <format dxfId="2330">
      <pivotArea dataOnly="0" labelOnly="1" fieldPosition="0">
        <references count="4">
          <reference field="3" count="1" selected="0">
            <x v="1"/>
          </reference>
          <reference field="5" count="1" selected="0">
            <x v="2"/>
          </reference>
          <reference field="33" count="0" selected="0"/>
          <reference field="34" count="1">
            <x v="2"/>
          </reference>
        </references>
      </pivotArea>
    </format>
    <format dxfId="232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32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32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32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32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32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32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32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32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32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31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31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31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31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31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31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31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312">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31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31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30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30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30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3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3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30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30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30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30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30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29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2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29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296">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29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29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29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29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29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2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2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2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28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28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28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28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2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28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28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28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27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27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27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27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27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27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273">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27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27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270">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2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2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2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26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26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264">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263">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26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26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26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25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25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2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2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25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25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253">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2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2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2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24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24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247">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24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24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24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24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24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24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24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239">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238">
      <pivotArea dataOnly="0" labelOnly="1" fieldPosition="0">
        <references count="1">
          <reference field="11" count="0"/>
        </references>
      </pivotArea>
    </format>
    <format dxfId="2237">
      <pivotArea dataOnly="0" labelOnly="1" fieldPosition="0">
        <references count="1">
          <reference field="11" count="0"/>
        </references>
      </pivotArea>
    </format>
    <format dxfId="2236">
      <pivotArea dataOnly="0" labelOnly="1" fieldPosition="0">
        <references count="1">
          <reference field="13" count="0"/>
        </references>
      </pivotArea>
    </format>
    <format dxfId="2235">
      <pivotArea dataOnly="0" labelOnly="1" fieldPosition="0">
        <references count="1">
          <reference field="13" count="0"/>
        </references>
      </pivotArea>
    </format>
    <format dxfId="2234">
      <pivotArea dataOnly="0" labelOnly="1" fieldPosition="0">
        <references count="1">
          <reference field="13" count="0"/>
        </references>
      </pivotArea>
    </format>
    <format dxfId="2233">
      <pivotArea dataOnly="0" labelOnly="1" fieldPosition="0">
        <references count="1">
          <reference field="15" count="0"/>
        </references>
      </pivotArea>
    </format>
    <format dxfId="2232">
      <pivotArea dataOnly="0" labelOnly="1" fieldPosition="0">
        <references count="1">
          <reference field="15" count="0"/>
        </references>
      </pivotArea>
    </format>
    <format dxfId="2231">
      <pivotArea dataOnly="0" labelOnly="1" fieldPosition="0">
        <references count="1">
          <reference field="15" count="0"/>
        </references>
      </pivotArea>
    </format>
    <format dxfId="2230">
      <pivotArea dataOnly="0" labelOnly="1" fieldPosition="0">
        <references count="1">
          <reference field="15" count="0"/>
        </references>
      </pivotArea>
    </format>
    <format dxfId="2229">
      <pivotArea dataOnly="0" labelOnly="1" fieldPosition="0">
        <references count="1">
          <reference field="15" count="0"/>
        </references>
      </pivotArea>
    </format>
    <format dxfId="2228">
      <pivotArea type="all" dataOnly="0" outline="0" fieldPosition="0"/>
    </format>
    <format dxfId="2227">
      <pivotArea outline="0" collapsedLevelsAreSubtotals="1" fieldPosition="0"/>
    </format>
    <format dxfId="2226">
      <pivotArea field="33" type="button" dataOnly="0" labelOnly="1" outline="0" axis="axisRow" fieldPosition="0"/>
    </format>
    <format dxfId="2225">
      <pivotArea dataOnly="0" labelOnly="1" fieldPosition="0">
        <references count="1">
          <reference field="33" count="0"/>
        </references>
      </pivotArea>
    </format>
    <format dxfId="2224">
      <pivotArea dataOnly="0" labelOnly="1" grandRow="1" outline="0" fieldPosition="0"/>
    </format>
    <format dxfId="2223">
      <pivotArea dataOnly="0" labelOnly="1" fieldPosition="0">
        <references count="2">
          <reference field="3" count="0"/>
          <reference field="33" count="0" selected="0"/>
        </references>
      </pivotArea>
    </format>
    <format dxfId="2222">
      <pivotArea dataOnly="0" labelOnly="1" fieldPosition="0">
        <references count="3">
          <reference field="3" count="1" selected="0">
            <x v="0"/>
          </reference>
          <reference field="5" count="1">
            <x v="0"/>
          </reference>
          <reference field="33" count="0" selected="0"/>
        </references>
      </pivotArea>
    </format>
    <format dxfId="2221">
      <pivotArea dataOnly="0" labelOnly="1" fieldPosition="0">
        <references count="3">
          <reference field="3" count="1" selected="0">
            <x v="1"/>
          </reference>
          <reference field="5" count="2">
            <x v="1"/>
            <x v="2"/>
          </reference>
          <reference field="33" count="0" selected="0"/>
        </references>
      </pivotArea>
    </format>
    <format dxfId="222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219">
      <pivotArea dataOnly="0" labelOnly="1" fieldPosition="0">
        <references count="4">
          <reference field="3" count="1" selected="0">
            <x v="1"/>
          </reference>
          <reference field="5" count="1" selected="0">
            <x v="1"/>
          </reference>
          <reference field="33" count="0" selected="0"/>
          <reference field="34" count="0"/>
        </references>
      </pivotArea>
    </format>
    <format dxfId="2218">
      <pivotArea dataOnly="0" labelOnly="1" fieldPosition="0">
        <references count="4">
          <reference field="3" count="1" selected="0">
            <x v="1"/>
          </reference>
          <reference field="5" count="1" selected="0">
            <x v="2"/>
          </reference>
          <reference field="33" count="0" selected="0"/>
          <reference field="34" count="1">
            <x v="2"/>
          </reference>
        </references>
      </pivotArea>
    </format>
    <format dxfId="221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21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21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21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21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21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21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21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20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20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20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20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20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20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20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20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20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20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19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19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19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19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19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19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1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1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19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19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18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18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18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8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8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8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18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18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18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8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17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7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17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7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17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1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17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1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16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16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16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16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16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16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16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16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16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15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15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1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1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15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15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15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15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15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15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14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14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14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14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14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14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14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1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14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14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13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13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13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13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13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13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13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13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13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13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12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12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12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126">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111">
      <pivotArea outline="0" collapsedLevelsAreSubtotals="1" fieldPosition="0"/>
    </format>
    <format dxfId="2110">
      <pivotArea type="all" dataOnly="0" outline="0" fieldPosition="0"/>
    </format>
    <format dxfId="2109">
      <pivotArea outline="0" collapsedLevelsAreSubtotals="1" fieldPosition="0"/>
    </format>
    <format dxfId="2108">
      <pivotArea field="34" type="button" dataOnly="0" labelOnly="1" outline="0" axis="axisRow" fieldPosition="0"/>
    </format>
    <format dxfId="2107">
      <pivotArea dataOnly="0" labelOnly="1" grandRow="1" outline="0" fieldPosition="0"/>
    </format>
    <format dxfId="2106">
      <pivotArea dataOnly="0" labelOnly="1" outline="0" fieldPosition="0">
        <references count="1">
          <reference field="4294967294" count="3">
            <x v="0"/>
            <x v="1"/>
            <x v="2"/>
          </reference>
        </references>
      </pivotArea>
    </format>
    <format dxfId="2105">
      <pivotArea dataOnly="0" labelOnly="1" fieldPosition="0">
        <references count="1">
          <reference field="34" count="0"/>
        </references>
      </pivotArea>
    </format>
    <format dxfId="2104">
      <pivotArea collapsedLevelsAreSubtotals="1" fieldPosition="0">
        <references count="1">
          <reference field="34" count="1">
            <x v="0"/>
          </reference>
        </references>
      </pivotArea>
    </format>
    <format dxfId="2103">
      <pivotArea dataOnly="0" labelOnly="1" fieldPosition="0">
        <references count="1">
          <reference field="34" count="1">
            <x v="0"/>
          </reference>
        </references>
      </pivotArea>
    </format>
    <format dxfId="2102">
      <pivotArea collapsedLevelsAreSubtotals="1" fieldPosition="0">
        <references count="1">
          <reference field="34" count="1">
            <x v="1"/>
          </reference>
        </references>
      </pivotArea>
    </format>
    <format dxfId="2101">
      <pivotArea dataOnly="0" labelOnly="1" fieldPosition="0">
        <references count="1">
          <reference field="34" count="1">
            <x v="1"/>
          </reference>
        </references>
      </pivotArea>
    </format>
    <format dxfId="2100">
      <pivotArea collapsedLevelsAreSubtotals="1" fieldPosition="0">
        <references count="1">
          <reference field="34" count="1">
            <x v="2"/>
          </reference>
        </references>
      </pivotArea>
    </format>
    <format dxfId="2099">
      <pivotArea dataOnly="0" labelOnly="1" fieldPosition="0">
        <references count="1">
          <reference field="34" count="1">
            <x v="2"/>
          </reference>
        </references>
      </pivotArea>
    </format>
    <format dxfId="2098">
      <pivotArea collapsedLevelsAreSubtotals="1" fieldPosition="0">
        <references count="1">
          <reference field="34" count="1">
            <x v="3"/>
          </reference>
        </references>
      </pivotArea>
    </format>
    <format dxfId="2097">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125">
      <pivotArea outline="0" collapsedLevelsAreSubtotals="1" fieldPosition="0"/>
    </format>
    <format dxfId="2124">
      <pivotArea type="all" dataOnly="0" outline="0" fieldPosition="0"/>
    </format>
    <format dxfId="2123">
      <pivotArea outline="0" collapsedLevelsAreSubtotals="1" fieldPosition="0"/>
    </format>
    <format dxfId="2122">
      <pivotArea field="34" type="button" dataOnly="0" labelOnly="1" outline="0" axis="axisRow" fieldPosition="0"/>
    </format>
    <format dxfId="2121">
      <pivotArea dataOnly="0" labelOnly="1" grandRow="1" outline="0" fieldPosition="0"/>
    </format>
    <format dxfId="2120">
      <pivotArea dataOnly="0" labelOnly="1" fieldPosition="0">
        <references count="1">
          <reference field="34" count="0"/>
        </references>
      </pivotArea>
    </format>
    <format dxfId="2119">
      <pivotArea collapsedLevelsAreSubtotals="1" fieldPosition="0">
        <references count="1">
          <reference field="34" count="1">
            <x v="0"/>
          </reference>
        </references>
      </pivotArea>
    </format>
    <format dxfId="2118">
      <pivotArea dataOnly="0" labelOnly="1" fieldPosition="0">
        <references count="1">
          <reference field="34" count="1">
            <x v="0"/>
          </reference>
        </references>
      </pivotArea>
    </format>
    <format dxfId="2117">
      <pivotArea collapsedLevelsAreSubtotals="1" fieldPosition="0">
        <references count="1">
          <reference field="34" count="1">
            <x v="1"/>
          </reference>
        </references>
      </pivotArea>
    </format>
    <format dxfId="2116">
      <pivotArea dataOnly="0" labelOnly="1" fieldPosition="0">
        <references count="1">
          <reference field="34" count="1">
            <x v="1"/>
          </reference>
        </references>
      </pivotArea>
    </format>
    <format dxfId="2115">
      <pivotArea collapsedLevelsAreSubtotals="1" fieldPosition="0">
        <references count="1">
          <reference field="34" count="1">
            <x v="2"/>
          </reference>
        </references>
      </pivotArea>
    </format>
    <format dxfId="2114">
      <pivotArea dataOnly="0" labelOnly="1" fieldPosition="0">
        <references count="1">
          <reference field="34" count="1">
            <x v="2"/>
          </reference>
        </references>
      </pivotArea>
    </format>
    <format dxfId="2113">
      <pivotArea collapsedLevelsAreSubtotals="1" fieldPosition="0">
        <references count="1">
          <reference field="34" count="1">
            <x v="3"/>
          </reference>
        </references>
      </pivotArea>
    </format>
    <format dxfId="2112">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E86F81-7A63-48CB-8557-171AD20661E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 firstHeaderRow="1" firstDataRow="1" firstDataCol="1"/>
  <pivotFields count="54">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showAll="0"/>
    <pivotField numFmtId="41" showAll="0"/>
    <pivotField numFmtId="4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numFmtId="41" showAll="0"/>
    <pivotField numFmtId="43" showAll="0"/>
    <pivotField numFmtId="41" showAll="0"/>
    <pivotField numFmtId="43"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s>
  <rowFields count="1">
    <field x="45"/>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20F5B25-4736-4005-94B0-6F7D87223E49}" sourceName="koordinator">
  <pivotTables>
    <pivotTable tabId="43"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45EF677D-4816-48C7-85AC-BCC212932880}" sourceName="Subkoordinator">
  <pivotTables>
    <pivotTable tabId="43"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 xr10:uid="{2F3E2E35-069A-4CFA-8777-A08B122D11FB}" sourceName="Pagu-Blokir">
  <pivotTables>
    <pivotTable tabId="43"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2" xr10:uid="{28196018-C5BA-4B40-AC05-CF6C109519C8}" sourceName="koordinator">
  <pivotTables>
    <pivotTable tabId="44" name="PivotTable1"/>
  </pivotTables>
  <data>
    <tabular pivotCacheId="334395377">
      <items count="5">
        <i x="1" s="1"/>
        <i x="0" s="1"/>
        <i x="3"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2" xr10:uid="{D88AA2DB-7994-45BF-B463-F2378756D5E5}" sourceName="Subkoordinator">
  <pivotTables>
    <pivotTable tabId="44" name="PivotTable1"/>
  </pivotTables>
  <data>
    <tabular pivotCacheId="334395377">
      <items count="9">
        <i x="6" s="1"/>
        <i x="2" s="1"/>
        <i x="3" s="1"/>
        <i x="7" s="1"/>
        <i x="0" s="1"/>
        <i x="5" s="1"/>
        <i x="1" s="1"/>
        <i x="4" s="1"/>
        <i x="8"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2" xr10:uid="{C0911442-BAE4-49D6-8FF2-D1A763913CBC}" sourceName="Pagu-Blokir">
  <pivotTables>
    <pivotTable tabId="44"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1" xr10:uid="{34CDCDE4-7A6A-4A93-AD5A-A5E94287AEE7}" sourceName="koordinator">
  <pivotTables>
    <pivotTable tabId="45"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1" xr10:uid="{F665FFF2-262D-4947-899D-E07051673657}" sourceName="Subkoordinator">
  <pivotTables>
    <pivotTable tabId="45"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1" xr10:uid="{88BF7917-0072-4E8A-BE76-60D232159151}" sourceName="Pagu-Blokir">
  <pivotTables>
    <pivotTable tabId="45"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2" xr10:uid="{FA912381-3A82-41E7-AFAD-B3D5C832FB69}" cache="Slicer_koordinator2" caption="koordinator" rowHeight="241300"/>
  <slicer name="Subkoordinator 2" xr10:uid="{C8C9770F-9B5E-45E9-B68E-FE4B089A4336}" cache="Slicer_Subkoordinator2" caption="Subkoordinator" rowHeight="241300"/>
  <slicer name="Pagu-Blokir 2" xr10:uid="{3C3C58EE-06B3-4075-9B84-69F61F80B960}" cache="Slicer_Pagu_Blokir2" caption="Pagu-Bloki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3" xr10:uid="{2B24A379-F0E1-494B-8B95-22C811C982CA}" cache="Slicer_koordinator11" caption="koordinator" rowHeight="241300"/>
  <slicer name="Subkoordinator 3" xr10:uid="{BA8095AE-7C3F-4BB2-B886-9EA2A75790E4}" cache="Slicer_Subkoordinator11" caption="Subkoordinator" rowHeight="241300"/>
  <slicer name="Pagu-Blokir 3" xr10:uid="{4D3284F5-4431-428E-9812-5341604A20ED}" cache="Slicer_Pagu_Blokir11" caption="Pagu-Bloki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41D0372A-8ABB-4999-984E-CE19B6BFC1AC}" cache="Slicer_koordinator1" caption="koordinator" rowHeight="241300"/>
  <slicer name="Subkoordinator 1" xr10:uid="{8417DACE-5022-47E8-ACD9-3A5D4C381698}" cache="Slicer_Subkoordinator1" caption="Subkoordinator" rowHeight="241300"/>
  <slicer name="Pagu-Blokir 1" xr10:uid="{CF7C1F1B-FE52-4D18-93BE-981B909ABE2E}" cache="Slicer_Pagu_Blokir1" caption="Pagu-Blokir" startItem="1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47" totalsRowCount="1" headerRowDxfId="4038" dataDxfId="4036" totalsRowDxfId="4034" headerRowBorderDxfId="4037" tableBorderDxfId="4035" totalsRowBorderDxfId="4033">
  <autoFilter ref="B13:O246" xr:uid="{5439E600-4AE6-4A9C-BF96-1F8B4649EF5E}"/>
  <sortState xmlns:xlrd2="http://schemas.microsoft.com/office/spreadsheetml/2017/richdata2" ref="B14:O226">
    <sortCondition ref="C13:C226"/>
  </sortState>
  <tableColumns count="14">
    <tableColumn id="1" xr3:uid="{EA3EA993-E9B8-4175-AE78-56C2DE826084}" name="No" dataDxfId="4032" totalsRowDxfId="4031" dataCellStyle="Normal 4"/>
    <tableColumn id="14" xr3:uid="{39BE1E11-4C0D-43C9-A7CF-CFD7B6D88EC1}" name="Urut" dataDxfId="4030" totalsRowDxfId="4029" dataCellStyle="Normal 4"/>
    <tableColumn id="2" xr3:uid="{55765DF9-9B2D-49B2-8C10-51C6F4795A2B}" name="Nomor SP2D" dataDxfId="4028" totalsRowDxfId="4027"/>
    <tableColumn id="3" xr3:uid="{95F2A4A6-178D-4D09-BEC2-A35DA9DD284C}" name="Tanggal SP2D" dataDxfId="4026" totalsRowDxfId="4025"/>
    <tableColumn id="4" xr3:uid="{1BFC6E15-B107-44FC-880F-0FA398A70437}" name="Nilai SP2D" totalsRowFunction="sum" dataDxfId="4024" totalsRowDxfId="4023" dataCellStyle="Comma [0]"/>
    <tableColumn id="5" xr3:uid="{BA79B4B6-6D4D-4C40-A794-FBA956D546A8}" name="Jenis SPM" dataDxfId="4022" totalsRowDxfId="4021"/>
    <tableColumn id="6" xr3:uid="{0728F6B3-877B-4801-849D-78A7FD394756}" name="Nomor Invoice" dataDxfId="4020" totalsRowDxfId="4019"/>
    <tableColumn id="7" xr3:uid="{BC8C9A9E-906E-4F73-AA7C-36C21228DCD0}" name="Tanggal Invoice" dataDxfId="4018" totalsRowDxfId="4017"/>
    <tableColumn id="8" xr3:uid="{4F370E97-CC92-41D4-B70A-C2C397F13E5F}" name="Jenis SP2D" dataDxfId="4016" totalsRowDxfId="4015"/>
    <tableColumn id="9" xr3:uid="{5AB0F2BB-729E-4A36-99C2-531506F2E0D4}" name="Deskripsi" dataDxfId="4014" totalsRowDxfId="4013"/>
    <tableColumn id="10" xr3:uid="{E9855FB4-726E-4E0F-A40E-89C5AF4CAAE7}" name="Bagian / Bidang" dataDxfId="4012" totalsRowDxfId="4011" dataCellStyle="Normal 4"/>
    <tableColumn id="11" xr3:uid="{07CEE088-AC9A-406D-AECA-D9F23626D4D5}" name="Subbagian / Subbidang" dataDxfId="4010" totalsRowDxfId="4009" dataCellStyle="Normal 4"/>
    <tableColumn id="13" xr3:uid="{7D701C80-B1AD-4D78-B3C3-525A71261916}" name="Status Realisasi" dataDxfId="4008" totalsRowDxfId="4007" dataCellStyle="Normal 4"/>
    <tableColumn id="12" xr3:uid="{BE916C21-2F59-4DE9-9BDF-707A1C1956B2}" name="all" dataDxfId="4006" totalsRowDxfId="4005"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C151" totalsRowShown="0" headerRowDxfId="2096" dataDxfId="2095">
  <autoFilter ref="A3:BC151" xr:uid="{0C46C9EE-53F2-428C-9BE4-AA19FA2987DF}"/>
  <sortState xmlns:xlrd2="http://schemas.microsoft.com/office/spreadsheetml/2017/richdata2" ref="A4:BC143">
    <sortCondition ref="AR3:AR143"/>
  </sortState>
  <tableColumns count="55">
    <tableColumn id="1" xr3:uid="{A2BC3788-B1CE-4A3F-B6F3-D1D27F201210}" name="kddept" dataDxfId="2094"/>
    <tableColumn id="2" xr3:uid="{2DB0BCF7-353A-4057-BFD0-5A9AFD7AD377}" name="kdunit" dataDxfId="2093"/>
    <tableColumn id="3" xr3:uid="{6BCC3689-465C-41AB-AA41-B61148952378}" name="kdprogram" dataDxfId="2092"/>
    <tableColumn id="4" xr3:uid="{2A5A7B58-839E-4216-A115-BA31451747CC}" name="Program" dataDxfId="2091"/>
    <tableColumn id="5" xr3:uid="{B90B5CFD-D8F4-48C4-81DF-60CCA43D8B33}" name="kdgiat" dataDxfId="2090"/>
    <tableColumn id="6" xr3:uid="{665306DE-5004-4796-BA54-AF3E581B23DE}" name="Kegiatan" dataDxfId="2089"/>
    <tableColumn id="7" xr3:uid="{896282BA-49FB-4172-920C-20AE0DBD436D}" name="kdoutput" dataDxfId="2088"/>
    <tableColumn id="8" xr3:uid="{81ACE6BC-C81E-44B5-AC16-FA7339E6C95D}" name="Output" dataDxfId="2087"/>
    <tableColumn id="9" xr3:uid="{B9A79FBA-908D-418C-864B-733536EBB6AD}" name="kdsoutput" dataDxfId="2086"/>
    <tableColumn id="10" xr3:uid="{8730A0E5-24CD-4DD0-97C9-7EB5897F6937}" name="SubOutput" dataDxfId="2085"/>
    <tableColumn id="11" xr3:uid="{A1213678-0772-43DE-9A68-4CCAC2CAB97F}" name="kdkmpnen" dataDxfId="2084"/>
    <tableColumn id="12" xr3:uid="{13F01672-806F-47CD-8E7B-DBEF02211C49}" name="Komponen" dataDxfId="2083"/>
    <tableColumn id="13" xr3:uid="{EE24777D-4C50-49CF-9D51-B1D10E6B59C5}" name="kdskmpnen" dataDxfId="2082"/>
    <tableColumn id="14" xr3:uid="{6B16732C-65AB-40BC-9BE7-38F27B545CA4}" name="SubKomponen" dataDxfId="2081"/>
    <tableColumn id="15" xr3:uid="{9DE11426-CAD6-4307-AF79-5BA31FE425C4}" name="kdakun" dataDxfId="2080"/>
    <tableColumn id="16" xr3:uid="{95D2AD80-8C0A-4582-9C73-FCD7148568BD}" name="Akun" dataDxfId="2079"/>
    <tableColumn id="17" xr3:uid="{1099A73B-6EFE-4758-9112-C98BE9AF6233}" name="DIPA_REVISI3" dataDxfId="2078" dataCellStyle="Comma [0]">
      <calculatedColumnFormula array="1">SUM(_xlfn._xlws.FILTER(HistoryDIPA[TOTAL],(HistoryDIPA[MAK]=SP2D[[#This Row],[Kode Akun]])*(HistoryDIPA[StatusDIPA]=$Q$3),0))</calculatedColumnFormula>
    </tableColumn>
    <tableColumn id="18" xr3:uid="{F5761B11-9E81-4F7C-BD95-CB52A5BA049C}" name="DIPA_REVISI2" dataDxfId="2077" dataCellStyle="Comma [0]"/>
    <tableColumn id="52" xr3:uid="{756AF1CD-7E6D-49D5-9982-55502306D24E}" name="Blokir AA ke 1" dataDxfId="2076" dataCellStyle="Comma [0]"/>
    <tableColumn id="53" xr3:uid="{6DF30DE6-28F7-4458-802A-BCB387ECC2BB}" name="Blokir AA ke 2" dataDxfId="2075" dataCellStyle="Comma [0]"/>
    <tableColumn id="54" xr3:uid="{8D97E884-E482-4A07-9E42-16F472895357}" name="Pagu-Blokir" dataDxfId="2074" dataCellStyle="Comma [0]">
      <calculatedColumnFormula>SP2D[[#This Row],[DIPA_REVISI3]]-SUM(SP2D[[#This Row],[Blokir AA ke 1]:[Blokir AA ke 2]])</calculatedColumnFormula>
    </tableColumn>
    <tableColumn id="19" xr3:uid="{D85464D1-34A4-4D62-B202-AA5B44380AE8}" name="Jan" dataDxfId="2073">
      <calculatedColumnFormula>SUM('PER BULAN'!J96:L96)</calculatedColumnFormula>
    </tableColumn>
    <tableColumn id="20" xr3:uid="{59AFB7C3-9561-4F72-BA75-233CA8574E0E}" name="Feb" dataDxfId="2072"/>
    <tableColumn id="21" xr3:uid="{339941D9-EB6A-4D9E-AAFD-8BC87914D9CD}" name="Mar" dataDxfId="2071"/>
    <tableColumn id="22" xr3:uid="{4DB8271D-A562-4BDB-AF86-6803F5A0D6B6}" name="Apr" dataDxfId="2070"/>
    <tableColumn id="23" xr3:uid="{A6296B83-2C3A-4B7B-B349-C7B81EF82E20}" name="Mei" dataDxfId="2069"/>
    <tableColumn id="24" xr3:uid="{E35B9BB8-2C59-4938-BD17-AB6DA6D49836}" name="Jun" dataDxfId="2068"/>
    <tableColumn id="25" xr3:uid="{0B56CE2F-22F5-4935-B179-82B908FFA45C}" name="Jul" dataDxfId="2067"/>
    <tableColumn id="26" xr3:uid="{C5C2C340-1544-4521-9059-33AEBE3423A8}" name="Ags" dataDxfId="2066"/>
    <tableColumn id="27" xr3:uid="{86511B91-6FBB-44C6-BFE0-FC75035E6D40}" name="Sep" dataDxfId="2065"/>
    <tableColumn id="28" xr3:uid="{2C0763CA-B0D1-4434-BD74-3778A7A332E6}" name="Okt" dataDxfId="2064"/>
    <tableColumn id="29" xr3:uid="{1D2AE206-2433-4713-B023-179D69FA3E25}" name="Nov" dataDxfId="2063"/>
    <tableColumn id="30" xr3:uid="{C1E5584B-01F1-4175-8FA8-D285D3701F44}" name="Des" dataDxfId="2062"/>
    <tableColumn id="31" xr3:uid="{3BEE2055-AE9D-40FE-AE62-8E331B1816BF}" name="eselon2" dataDxfId="2061"/>
    <tableColumn id="32" xr3:uid="{A002471B-4101-4577-BC3A-704405B733FB}" name="koordinator" dataDxfId="2060"/>
    <tableColumn id="33" xr3:uid="{D023DF90-D6C9-428C-971B-7DDF8C7D5F03}" name="Subkoordinator" dataDxfId="2059"/>
    <tableColumn id="34" xr3:uid="{FE48F7A1-0956-4644-89C0-EA36C183F595}" name="Jns_Belanja" dataDxfId="2058"/>
    <tableColumn id="55" xr3:uid="{A7F500B1-4020-4FBE-BE5E-0DCC849EBD45}" name="Jenis Belanja" dataDxfId="2057">
      <calculatedColumnFormula>IF(LEFT(SP2D[[#This Row],[kdakun]],2)="51","Belanja Pegawai",IF(LEFT(SP2D[[#This Row],[kdakun]],2)="52","Belanja Barang",IF(LEFT(SP2D[[#This Row],[kdakun]],2)="53","Belanja Modal")))</calculatedColumnFormula>
    </tableColumn>
    <tableColumn id="35" xr3:uid="{BE3FC102-4A2C-4D3D-B515-5052A70FFDEB}" name="satker" dataDxfId="2056"/>
    <tableColumn id="36" xr3:uid="{C44DBFA7-2D15-465C-8D00-F06B638B5ED4}" name="Realisasi" dataDxfId="2055" dataCellStyle="Comma [0]">
      <calculatedColumnFormula>SUM(V4:AG4)</calculatedColumnFormula>
    </tableColumn>
    <tableColumn id="37" xr3:uid="{DE361282-2992-4D2B-992E-4096AF6D8E40}" name="Real %" dataDxfId="2054">
      <calculatedColumnFormula>IFERROR(AN4/Q4*100,0)</calculatedColumnFormula>
    </tableColumn>
    <tableColumn id="38" xr3:uid="{EEF961EF-FF6A-40D5-A0B6-ED634EBADFBC}" name="Sisa" dataDxfId="2053" dataCellStyle="Comma [0]">
      <calculatedColumnFormula>Q4-AN4</calculatedColumnFormula>
    </tableColumn>
    <tableColumn id="39" xr3:uid="{85643851-7A65-42C2-A08E-B6A7A8DA03F0}" name="Sisa %" dataDxfId="2052">
      <calculatedColumnFormula>IFERROR(AP4/Q4*100,0)</calculatedColumnFormula>
    </tableColumn>
    <tableColumn id="40" xr3:uid="{9E4F31F6-8A80-4410-976A-8EEA7368EA20}" name="Kode Akun" dataDxfId="2051">
      <calculatedColumnFormula>_xlfn.TEXTJOIN(".",TRUE,C4,E4,G4,I4,K4,M4,O4)</calculatedColumnFormula>
    </tableColumn>
    <tableColumn id="41" xr3:uid="{0FDDBC90-1CC8-4C07-8122-50D2362EF739}" name="Status Covid" dataDxfId="2050">
      <calculatedColumnFormula>IF(ISNUMBER(SEARCH("COVID",SP2D[[#This Row],[Akun]])),"COVID","Non COVID")</calculatedColumnFormula>
    </tableColumn>
    <tableColumn id="42" xr3:uid="{3D9BDB80-A0C7-4422-BA12-733AF91AF0E5}" name="Status Realisasi" dataDxfId="2049">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2" dataDxfId="2048">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047"/>
    <tableColumn id="45" xr3:uid="{4B827D21-BED7-493A-98C2-BF92D20ACB6E}" name="TUP 1" dataDxfId="2046"/>
    <tableColumn id="46" xr3:uid="{1A108E85-F9A8-4C5A-B9B2-E8E733C3D3EB}" name="GUP 2" dataDxfId="2045"/>
    <tableColumn id="47" xr3:uid="{197D7FA7-EA56-478F-AC63-0B5D47D9765B}" name="GUP 3" dataDxfId="2044"/>
    <tableColumn id="48" xr3:uid="{4614C9FA-2AB0-4D2D-AA55-13680C8EE8C5}" name="GUP 4" dataDxfId="2043"/>
    <tableColumn id="49" xr3:uid="{9B9C7D3C-BD3B-413C-9633-5B1476894793}" name="GUP 5" dataDxfId="2042"/>
    <tableColumn id="50" xr3:uid="{7F81D278-F155-4728-BD7E-4DD553D05EAC}" name="TUP 2 (1)" dataDxfId="2041"/>
    <tableColumn id="51" xr3:uid="{40F6E74E-B62F-4684-A934-E1FBCD0EDECE}" name="TUP 2 (2)" dataDxfId="20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D3:BE143" totalsRowShown="0" headerRowDxfId="2039" dataDxfId="2038">
  <autoFilter ref="BD3:BE143" xr:uid="{9BE31371-6D84-40BC-BC89-6EB614AAFDED}"/>
  <tableColumns count="2">
    <tableColumn id="1" xr3:uid="{FFEC0591-1F8E-4D42-8DB7-95FE40C6A4FA}" name="GUP 6" dataDxfId="2037"/>
    <tableColumn id="2" xr3:uid="{53B91740-F7E5-49C9-B6EF-884B25AEA288}" name="GUP 7" dataDxfId="203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F3:BF143" totalsRowShown="0" headerRowDxfId="2035" dataDxfId="2034">
  <autoFilter ref="BF3:BF143" xr:uid="{B583C927-BDC0-4A9E-9EAD-1AA964672F53}"/>
  <tableColumns count="1">
    <tableColumn id="1" xr3:uid="{AAED9B86-5EBB-4AE0-920F-B7B74A71FB42}" name="TUP 3" dataDxfId="20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032" dataDxfId="2031">
  <autoFilter ref="A3:BA15" xr:uid="{0218787B-FAFB-4E31-BAF7-C07090CCABB5}"/>
  <tableColumns count="53">
    <tableColumn id="1" xr3:uid="{80105D8C-B6CC-4C67-A0D5-A51108634790}" name="kddept" dataDxfId="2030"/>
    <tableColumn id="2" xr3:uid="{79F788C4-BE24-4442-B4A5-787846FC3242}" name="kdunit" dataDxfId="2029"/>
    <tableColumn id="3" xr3:uid="{F5607343-B1C5-442F-9F62-66DAB70DF978}" name="kdprogram" dataDxfId="2028"/>
    <tableColumn id="4" xr3:uid="{67275D4D-383A-492A-9FB0-586605819489}" name="Program" dataDxfId="2027"/>
    <tableColumn id="5" xr3:uid="{7E089115-5279-4639-B5C8-B5B142691A5E}" name="kdgiat" dataDxfId="2026"/>
    <tableColumn id="6" xr3:uid="{86B452FA-0999-4C13-97B6-34303305E62C}" name="Kegiatan" dataDxfId="2025"/>
    <tableColumn id="7" xr3:uid="{098073A3-0D75-44F5-98F3-9D58ABD0F494}" name="kdoutput" dataDxfId="2024"/>
    <tableColumn id="8" xr3:uid="{DD29FD42-F6B4-48DB-ABD5-0B9035D7350B}" name="Output" dataDxfId="2023"/>
    <tableColumn id="9" xr3:uid="{DD7BECAC-0FA2-4D83-AFED-EA1423BBAE3B}" name="kdsoutput" dataDxfId="2022"/>
    <tableColumn id="10" xr3:uid="{41EDA2EB-4FE5-485A-9A85-BC1CF6F808E6}" name="SubOutput" dataDxfId="2021"/>
    <tableColumn id="11" xr3:uid="{0C0092F1-3B9A-4262-87F2-DF8809ADB48A}" name="kdkmpnen" dataDxfId="2020"/>
    <tableColumn id="12" xr3:uid="{7F02E6EE-4073-428C-A01E-C7F9404E22AB}" name="Komponen" dataDxfId="2019"/>
    <tableColumn id="13" xr3:uid="{D5E22675-8A73-40C8-BA6D-4D22AD4BD880}" name="kdskmpnen" dataDxfId="2018"/>
    <tableColumn id="14" xr3:uid="{21C5F2BB-4B18-41F3-8B47-CA7C999E1D95}" name="SubKomponen" dataDxfId="2017"/>
    <tableColumn id="15" xr3:uid="{7EF6CEAB-DE31-4DEA-B8DF-BDD5AD5C3604}" name="kdakun" dataDxfId="2016"/>
    <tableColumn id="16" xr3:uid="{897A6630-15AA-4E92-AF17-989B50249F0B}" name="Akun" dataDxfId="2015"/>
    <tableColumn id="17" xr3:uid="{F469B670-C97B-4C45-BFA1-11EC2F3BBE30}" name="Pagu" dataDxfId="2014" dataCellStyle="Comma [0]">
      <calculatedColumnFormula array="1">SUM(_xlfn._xlws.FILTER(DIPA3[PaguRevisi],DIPA3[Akun]=SP2D_GAJI[[#This Row],[Kode Akun]],0))</calculatedColumnFormula>
    </tableColumn>
    <tableColumn id="18" xr3:uid="{331F462C-70B7-43E1-8F2C-778E95ACAEA1}" name="Pagu Semula" dataDxfId="2013" dataCellStyle="Comma [0]"/>
    <tableColumn id="52" xr3:uid="{2F016D06-D133-47D7-B695-4667F3490729}" name="Blokir AA ke 1" dataDxfId="2012" dataCellStyle="Comma [0]"/>
    <tableColumn id="53" xr3:uid="{165EF6BA-1776-4571-B8AD-920C3A030766}" name="Blokir AA ke 2" dataDxfId="2011" dataCellStyle="Comma [0]"/>
    <tableColumn id="19" xr3:uid="{D0C2276A-7026-4576-85D7-919441521A6C}" name="Jan" dataDxfId="2010">
      <calculatedColumnFormula>SUM('PER BULAN'!J253:L253)</calculatedColumnFormula>
    </tableColumn>
    <tableColumn id="20" xr3:uid="{A9EF8502-8C6E-4766-AD68-658B4D1E747D}" name="Feb" dataDxfId="2009">
      <calculatedColumnFormula>SUM('PER BULAN'!M253:O253)</calculatedColumnFormula>
    </tableColumn>
    <tableColumn id="21" xr3:uid="{746DC00C-C89E-4DDA-BBC9-1D134830D029}" name="Mar" dataDxfId="2008">
      <calculatedColumnFormula>SUM('PER BULAN'!P253:R253)</calculatedColumnFormula>
    </tableColumn>
    <tableColumn id="22" xr3:uid="{05F5FC17-0CBB-4151-889F-60CFCD7C34DD}" name="Apr" dataDxfId="2007">
      <calculatedColumnFormula>SUM('PER BULAN'!S253:U253)</calculatedColumnFormula>
    </tableColumn>
    <tableColumn id="23" xr3:uid="{C42FB8F4-7097-4474-A778-F18CBF2B07B1}" name="Mei" dataDxfId="2006">
      <calculatedColumnFormula>SUM('PER BULAN'!V253:X253)</calculatedColumnFormula>
    </tableColumn>
    <tableColumn id="24" xr3:uid="{F4454E89-E22D-410A-82EB-5F0DC627F170}" name="Jun" dataDxfId="2005">
      <calculatedColumnFormula>SUM('PER BULAN'!Y253:AA253)</calculatedColumnFormula>
    </tableColumn>
    <tableColumn id="25" xr3:uid="{2AA6CCE9-FDEE-48C4-8B21-D75DF41DA271}" name="Jul" dataDxfId="2004">
      <calculatedColumnFormula>SUM('PER BULAN'!AB253:AD253)</calculatedColumnFormula>
    </tableColumn>
    <tableColumn id="26" xr3:uid="{7FACB806-C5A3-48BA-9D07-F51AF74D0E09}" name="Ags" dataDxfId="2003">
      <calculatedColumnFormula>SUM('PER BULAN'!AE253:AG253)</calculatedColumnFormula>
    </tableColumn>
    <tableColumn id="27" xr3:uid="{C4B9A446-705C-463E-B7DA-7A0740B8C905}" name="Sep" dataDxfId="2002">
      <calculatedColumnFormula>SUM('PER BULAN'!AH253:AJ253)</calculatedColumnFormula>
    </tableColumn>
    <tableColumn id="28" xr3:uid="{5AAFBEBC-03FC-4E4A-83F9-E67BEB3D5981}" name="Okt" dataDxfId="2001">
      <calculatedColumnFormula>SUM('PER BULAN'!AK253:AM253)</calculatedColumnFormula>
    </tableColumn>
    <tableColumn id="29" xr3:uid="{4906B5CD-CEE5-4A98-B22E-AC637B561A64}" name="Nov" dataDxfId="2000">
      <calculatedColumnFormula>SUM('PER BULAN'!AN253:AP253)</calculatedColumnFormula>
    </tableColumn>
    <tableColumn id="30" xr3:uid="{CE67CAFB-1501-4D81-9EF9-85B2D20132C0}" name="Des" dataDxfId="1999">
      <calculatedColumnFormula>SUM('PER BULAN'!AQ253:AS253)</calculatedColumnFormula>
    </tableColumn>
    <tableColumn id="31" xr3:uid="{68D2BC5B-AA42-4205-92C2-22EE6E2A455F}" name="eselon2" dataDxfId="1998"/>
    <tableColumn id="32" xr3:uid="{BA84A518-BE39-4F09-B013-2F165F75B2C4}" name="koordinator" dataDxfId="1997"/>
    <tableColumn id="33" xr3:uid="{056A603E-AF28-4BB5-BFC3-BCB9B9C999CA}" name="Subkoordinator" dataDxfId="1996"/>
    <tableColumn id="34" xr3:uid="{D4673DE9-E399-427A-A7FA-55224584489E}" name="Jns_Belanja" dataDxfId="1995"/>
    <tableColumn id="35" xr3:uid="{A8855799-45D2-43E8-83A2-AA11614A2AB5}" name="satker" dataDxfId="1994"/>
    <tableColumn id="36" xr3:uid="{7FE40A5B-7697-4CF3-B532-E8DEA6942EA1}" name="Realisasi" dataDxfId="1993" dataCellStyle="Comma [0]">
      <calculatedColumnFormula>SUM(U4:AF4)</calculatedColumnFormula>
    </tableColumn>
    <tableColumn id="37" xr3:uid="{485221C0-0D00-438E-BDE5-343CD7B9DEA0}" name="Real %" dataDxfId="1992">
      <calculatedColumnFormula>IFERROR(AL4/Q4*100,0)</calculatedColumnFormula>
    </tableColumn>
    <tableColumn id="38" xr3:uid="{8B93FCA3-495B-49BB-8273-31AF01368B83}" name="Sisa" dataDxfId="1991" dataCellStyle="Comma [0]">
      <calculatedColumnFormula>Q4-AL4</calculatedColumnFormula>
    </tableColumn>
    <tableColumn id="39" xr3:uid="{E92777FB-21B0-4FEC-B74B-99E5CBE0B3F9}" name="Real %2" dataDxfId="1990">
      <calculatedColumnFormula>IFERROR(AN4/Q4*100,0)</calculatedColumnFormula>
    </tableColumn>
    <tableColumn id="40" xr3:uid="{AF8769F5-B4D9-4C85-9DA8-FD27BDBB1A6C}" name="Kode Akun" dataDxfId="1989">
      <calculatedColumnFormula>_xlfn.TEXTJOIN(".",TRUE,C4,E4,G4,I4,K4,M4,O4)</calculatedColumnFormula>
    </tableColumn>
    <tableColumn id="41" xr3:uid="{3D3B549A-EABA-490D-9DA6-37523724BE61}" name="Status Covid" dataDxfId="1988">
      <calculatedColumnFormula>IF(ISNUMBER(SEARCH("COVID",SP2D_GAJI[[#This Row],[Akun]])),"COVID","Non COVID")</calculatedColumnFormula>
    </tableColumn>
    <tableColumn id="42" xr3:uid="{184FBB69-68B1-4E38-891F-51917E4DC587}" name="Status Realisasi" dataDxfId="1987">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986">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985"/>
    <tableColumn id="45" xr3:uid="{9C1934D8-99CF-4988-9800-1BFA557120E5}" name="TUP 1" dataDxfId="1984"/>
    <tableColumn id="46" xr3:uid="{A4CF8F3D-CD3D-44F3-9820-88903E09EF80}" name="GUP 2" dataDxfId="1983"/>
    <tableColumn id="47" xr3:uid="{099E42CD-67D0-44DB-B845-55EC12EB7D6E}" name="GUP 3" dataDxfId="1982"/>
    <tableColumn id="48" xr3:uid="{B5E0BACE-F6DB-4087-90C7-B2D17ED966B6}" name="GUP 4" dataDxfId="1981"/>
    <tableColumn id="49" xr3:uid="{BDAA27ED-0F52-48FE-B061-0279E351DC40}" name="GUP 5" dataDxfId="1980"/>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972" headerRowBorderDxfId="1971" tableBorderDxfId="1970">
  <autoFilter ref="B249:BI265" xr:uid="{A3F03F6D-6A59-461B-A929-C35C787407F3}"/>
  <tableColumns count="60">
    <tableColumn id="1" xr3:uid="{006731C9-F32D-4A40-8CDB-A1548E10C0D4}" name="KODE" dataDxfId="1969"/>
    <tableColumn id="2" xr3:uid="{A9307D7A-2701-4752-B274-B25BEF4C5078}" name="URAIAN" dataDxfId="1968"/>
    <tableColumn id="3" xr3:uid="{FCCF3154-C285-471C-AC86-6DCF2BB5907D}" name="VOL" dataDxfId="1967"/>
    <tableColumn id="4" xr3:uid="{C6A127B2-6CDD-4E0C-AF9D-730F6DDD09BC}" name="SATUAN" dataDxfId="1966"/>
    <tableColumn id="5" xr3:uid="{3F90CE26-DF36-4D37-9C47-12A1CEB8D773}" name="Pagu Revisi" dataDxfId="1965" dataCellStyle="Comma [0]"/>
    <tableColumn id="6" xr3:uid="{A2F11568-8A8E-4AFC-9F99-BFB17EAEEC9C}" name="Pagu Semula" dataDxfId="1964" dataCellStyle="Comma [0]"/>
    <tableColumn id="7" xr3:uid="{B7EE8BCB-D0ED-4450-8EBB-6FD673560D7C}" name="Blokir AA ke 1" dataDxfId="1963" dataCellStyle="Comma [0]"/>
    <tableColumn id="8" xr3:uid="{9EDAF3A8-6D97-400A-848D-D47BF571F43E}" name="Blokir AA ke 2" dataDxfId="1962" dataCellStyle="Comma [0]">
      <calculatedColumnFormula>G250-F250</calculatedColumnFormula>
    </tableColumn>
    <tableColumn id="9" xr3:uid="{63315451-3A2B-4613-A63E-C9450FC73D6C}" name="JANUARI" dataDxfId="1961" dataCellStyle="Comma [0]"/>
    <tableColumn id="10" xr3:uid="{16EC35FF-13CF-4870-920C-AAB913E770C7}" name="Column4" dataDxfId="1960" dataCellStyle="Comma [0]"/>
    <tableColumn id="11" xr3:uid="{729D99E3-0A52-4B2E-A9C0-DE02E05ED840}" name="Column5" dataDxfId="1959" dataCellStyle="Comma [0]"/>
    <tableColumn id="12" xr3:uid="{AB374DB6-7598-4C30-A85F-F63F132B7BA1}" name="FEBRUARI" dataDxfId="1958" dataCellStyle="Normal 5"/>
    <tableColumn id="13" xr3:uid="{2D1151EC-AD11-4F11-9D1D-698FBA569F26}" name="Column6" dataDxfId="1957" dataCellStyle="Comma [0]"/>
    <tableColumn id="14" xr3:uid="{C25F446B-37CA-4C46-8DE3-5CBDF83F99DF}" name="Column7" dataDxfId="1956" dataCellStyle="Comma [0]"/>
    <tableColumn id="15" xr3:uid="{2B771376-C41A-4F53-BC5F-03146D6453D2}" name="MARET" dataDxfId="1955" dataCellStyle="Normal 5"/>
    <tableColumn id="16" xr3:uid="{26AE15C1-AF2B-46A7-ADBC-F20B8677DE0D}" name="Column8" dataDxfId="1954" dataCellStyle="Comma [0]"/>
    <tableColumn id="17" xr3:uid="{DFBDA772-EF7F-41E6-9DFB-E477C75E4388}" name="Column9" dataDxfId="1953" dataCellStyle="Comma [0]"/>
    <tableColumn id="18" xr3:uid="{041FDBBB-13D6-40FC-B497-A1E84A4034E8}" name="APRIL" dataDxfId="1952" dataCellStyle="Normal 5"/>
    <tableColumn id="19" xr3:uid="{6168E056-C134-418C-BAA8-73541257F097}" name="Column10" dataDxfId="1951" dataCellStyle="Comma [0]"/>
    <tableColumn id="20" xr3:uid="{ECE7E801-4FE3-4CB0-B83E-AEDB75DF320F}" name="Column11" dataDxfId="1950" dataCellStyle="Comma [0]"/>
    <tableColumn id="21" xr3:uid="{44FEDD28-091B-4680-A5C6-30F0F745EBBE}" name="MEI" dataDxfId="1949"/>
    <tableColumn id="22" xr3:uid="{34244EC1-125A-49F5-8D4B-77C41595EB78}" name="Column12" dataDxfId="1948" dataCellStyle="Comma [0]"/>
    <tableColumn id="23" xr3:uid="{695AAE0C-3DE2-4C12-A556-529DF387A4B7}" name="Column13" dataDxfId="1947" dataCellStyle="Comma [0]"/>
    <tableColumn id="24" xr3:uid="{EE45409D-1AE3-4403-87A9-813634308CF5}" name="JUNI" dataDxfId="1946" dataCellStyle="Comma [0]"/>
    <tableColumn id="25" xr3:uid="{5F933D02-7432-46D2-889E-A346FBEB81C1}" name="Column14" dataDxfId="1945" dataCellStyle="Comma [0]"/>
    <tableColumn id="26" xr3:uid="{E340073A-FA27-4696-9028-62785F671D51}" name="Column15" dataDxfId="1944" dataCellStyle="Comma [0]"/>
    <tableColumn id="27" xr3:uid="{3C80F9B3-4335-4BCB-A2DB-8F873DB578A1}" name="JULI" dataDxfId="1943" dataCellStyle="Comma [0]"/>
    <tableColumn id="28" xr3:uid="{0B52D128-430F-4AE8-AF42-C77BCC1DE967}" name="Column16" dataDxfId="1942" dataCellStyle="Comma [0]"/>
    <tableColumn id="29" xr3:uid="{9AA400AA-D217-47D3-8A29-9AD35366E1E5}" name="Column17" dataDxfId="1941" dataCellStyle="Comma [0]"/>
    <tableColumn id="30" xr3:uid="{7A16243F-CC4F-4632-957C-54DF727D1493}" name="AGUSTUS" dataDxfId="1940" dataCellStyle="Comma [0]"/>
    <tableColumn id="31" xr3:uid="{F53FA9C1-6878-4D23-96E5-3E23407112F3}" name="Column18" dataDxfId="1939" dataCellStyle="Comma [0]"/>
    <tableColumn id="32" xr3:uid="{56226304-FD99-45E9-B47F-4A0989BC4182}" name="Column19" dataDxfId="1938" dataCellStyle="Comma [0]"/>
    <tableColumn id="33" xr3:uid="{918328DE-54FE-4538-8A7A-0C76AA1E939A}" name="SEPTEMBER" dataDxfId="1937" dataCellStyle="Comma [0]"/>
    <tableColumn id="34" xr3:uid="{D961E510-3ED4-4CF9-A7AF-9649B976EA3E}" name="Column20" dataDxfId="1936" dataCellStyle="Comma [0]"/>
    <tableColumn id="35" xr3:uid="{91DB1DE3-8092-461D-A09A-AE460872B6BA}" name="Column21" dataDxfId="1935" dataCellStyle="Comma [0]"/>
    <tableColumn id="36" xr3:uid="{CE58699D-2136-4257-BAD1-7398B982526B}" name="OKTOBER" dataDxfId="1934" dataCellStyle="Comma [0]"/>
    <tableColumn id="37" xr3:uid="{1F4E6F0B-F4F1-4921-A7D5-72862BF6A622}" name="Column22" dataDxfId="1933" dataCellStyle="Comma [0]"/>
    <tableColumn id="38" xr3:uid="{B76BAD65-739D-4E3A-852D-D26916987757}" name="Column23" dataDxfId="1932" dataCellStyle="Comma [0]"/>
    <tableColumn id="39" xr3:uid="{12105BE2-33F4-4402-9A97-62E8F6987E7A}" name="NOVEMBER" dataDxfId="1931" dataCellStyle="Comma [0]"/>
    <tableColumn id="40" xr3:uid="{C58384D0-120F-4BEC-B941-E06587266945}" name="Column24" dataDxfId="1930" dataCellStyle="Comma [0]"/>
    <tableColumn id="41" xr3:uid="{A058820D-F058-4589-9874-D1A00D172D60}" name="Column25" dataDxfId="1929" dataCellStyle="Comma [0]"/>
    <tableColumn id="42" xr3:uid="{CE32C95C-C534-407E-B4B0-C5BE507ACC7B}" name="DESEMBER" dataDxfId="1928" dataCellStyle="Comma [0]"/>
    <tableColumn id="43" xr3:uid="{4AA20C6C-166D-40D3-B153-84B32F3DA47E}" name="Column26" dataDxfId="1927" dataCellStyle="Comma [0]"/>
    <tableColumn id="44" xr3:uid="{B6199075-DD1D-4379-9C80-D5E0E5D4086B}" name="Column27" dataDxfId="1926" dataCellStyle="Comma [0]"/>
    <tableColumn id="60" xr3:uid="{3C61A917-E0F5-4636-A796-FC4704C4B7A3}" name="Column28" dataDxfId="1925" dataCellStyle="Comma [0]"/>
    <tableColumn id="45" xr3:uid="{025D8148-41D1-493D-8F91-43A4491832E5}" name="REALISASI" dataDxfId="1924" dataCellStyle="Comma [0]">
      <calculatedColumnFormula>SUM(J250:AS250)</calculatedColumnFormula>
    </tableColumn>
    <tableColumn id="46" xr3:uid="{EB91123A-1AE6-419C-99DE-3A8BFD669434}" name="%" dataDxfId="1923">
      <calculatedColumnFormula>IFERROR(AU250/F250*100,0)</calculatedColumnFormula>
    </tableColumn>
    <tableColumn id="47" xr3:uid="{B367B8B8-4A10-4559-8042-C79AD776D92F}" name="SISA PAGU" dataDxfId="1922">
      <calculatedColumnFormula>F250-AU250</calculatedColumnFormula>
    </tableColumn>
    <tableColumn id="48" xr3:uid="{4447787F-4DC2-4E59-B3FB-02DC54A3FEB4}" name="%28" dataDxfId="1921">
      <calculatedColumnFormula>AW250/F250*100</calculatedColumnFormula>
    </tableColumn>
    <tableColumn id="49" xr3:uid="{C7CC6506-6ABE-4181-9F4B-FEC5B702B017}" name="KOORDINATOR" dataDxfId="1920"/>
    <tableColumn id="50" xr3:uid="{048FA016-E7FA-4ECE-BABA-429AD0AEF890}" name="Subkoordinator"/>
    <tableColumn id="51" xr3:uid="{B38F358A-82BF-496A-A23D-71F2B98B29E5}" name="Jenis Belanja Barang"/>
    <tableColumn id="52" xr3:uid="{DB80BE10-1DFD-4F7D-BB32-35C9FE353EFD}" name="SPBy" dataDxfId="1919" dataCellStyle="Comma [0]"/>
    <tableColumn id="53" xr3:uid="{078C675B-A0F3-404E-848C-5D5DFFD077BC}" name="Column29"/>
    <tableColumn id="54" xr3:uid="{434FFD64-27FE-4383-9669-FEE5F6BE4180}" name="Column30" dataDxfId="1918"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1917"/>
    <tableColumn id="2" xr3:uid="{5BC9D503-C697-4646-A885-6D4091E43BF2}" name="KDSATKER" dataDxfId="1916"/>
    <tableColumn id="3" xr3:uid="{2468777D-09C6-4190-A7D7-3856AED4B0DC}" name="Nama Satker" dataDxfId="1915"/>
    <tableColumn id="4" xr3:uid="{16A00B15-5672-4807-A7B3-7836D971B1BE}" name="KODE_PROGRAM" dataDxfId="1914"/>
    <tableColumn id="5" xr3:uid="{D4DEA1DA-5220-4065-A0D6-3135415B01C1}" name="KODE_KEGIATAN" dataDxfId="1913"/>
    <tableColumn id="6" xr3:uid="{C50E0EDB-14F6-43BC-ACF2-256EC5B9B180}" name="KODE_OUTPUT" dataDxfId="1912"/>
    <tableColumn id="7" xr3:uid="{8FBA10E1-0E96-4922-B8EC-D4A50B88E75F}" name="KD_KRO" dataDxfId="1911"/>
    <tableColumn id="8" xr3:uid="{317FE007-6562-4E85-8A9C-3B430B543554}" name="KDIB" dataDxfId="1910"/>
    <tableColumn id="9" xr3:uid="{6584A98F-A68E-474F-8195-DDDA966EF876}" name="VOLUME_OUTPUT"/>
    <tableColumn id="10" xr3:uid="{AFB8BE51-94E0-47D3-90A5-119985FD6AAD}" name="KODE_SUBOUTPUT" dataDxfId="1909"/>
    <tableColumn id="11" xr3:uid="{2CD5BEB9-3ECE-403E-860B-3993709ED509}" name="VOLUME_SUBOUTPUT"/>
    <tableColumn id="12" xr3:uid="{047504C2-3496-4CB1-BF56-3B25B9DCC88F}" name="KODE_KOMPONEN" dataDxfId="1908"/>
    <tableColumn id="13" xr3:uid="{B132E252-5C42-423D-88E2-98EDF264B984}" name="KODE_SUBKOMPONEN" dataDxfId="1907"/>
    <tableColumn id="14" xr3:uid="{6FAAA068-4A11-4CBB-BD21-9762F30C8DBA}" name="URAIAN_SUBKOMPONEN" dataDxfId="1906"/>
    <tableColumn id="15" xr3:uid="{6F6505F2-99A0-4336-A759-7E0CEB1A305D}" name="KODE_AKUN" dataDxfId="1905"/>
    <tableColumn id="16" xr3:uid="{C8F64F1B-37AA-4A9C-9813-092AA9B8B9AB}" name="KODE_JENIS_BEBAN" dataDxfId="1904"/>
    <tableColumn id="17" xr3:uid="{F236A4FB-BB07-4DCF-B81E-C56664374308}" name="KODE_CARA_TARIK" dataDxfId="1903"/>
    <tableColumn id="18" xr3:uid="{452B28A2-2E6F-4438-A202-3237824B009D}" name="KODE_JENIS_BANTUAN" dataDxfId="1902"/>
    <tableColumn id="19" xr3:uid="{1A6DAE92-1F64-4D71-9F2E-DC883F14E0DE}" name="KODE_REGISTER" dataDxfId="1901"/>
    <tableColumn id="20" xr3:uid="{61FDBA5E-AB03-4207-A7F6-A7F33A7ADB71}" name="HEADER1" dataDxfId="1900"/>
    <tableColumn id="21" xr3:uid="{E045011E-89EF-475C-AFDF-1281C8B3B5B8}" name="HEADER2" dataDxfId="1899"/>
    <tableColumn id="22" xr3:uid="{FE60EFA6-36AD-4774-AFE2-5406C1F19B35}" name="KODE_ITEM" dataDxfId="1898"/>
    <tableColumn id="23" xr3:uid="{BCB36A2C-CB7E-44DD-AC68-7CADE0286086}" name="NOMOR_ITEM" dataDxfId="1897"/>
    <tableColumn id="24" xr3:uid="{F4A2CC1D-7AB4-4560-9F08-13AC85EA0796}" name="CONS_ITEM" dataDxfId="1896"/>
    <tableColumn id="25" xr3:uid="{F0241D79-2801-4F49-BBCF-663A5EACA9B1}" name="URAIAN_ITEM" dataDxfId="1895"/>
    <tableColumn id="26" xr3:uid="{09BBBAA0-B9F4-4D59-B65C-190FD9621CC2}" name="SUMBER_DANA" dataDxfId="1894"/>
    <tableColumn id="27" xr3:uid="{2439D999-B92C-43E4-9C45-C8237BE94146}" name="VOL_KEG_1"/>
    <tableColumn id="28" xr3:uid="{DE562D61-6F74-41E6-8FDA-8C21EABE60F4}" name="SAT_KEG_1" dataDxfId="1893"/>
    <tableColumn id="29" xr3:uid="{3EADD96C-6652-4B64-9D55-FDF5026C4C42}" name="VOL_KEG_2"/>
    <tableColumn id="30" xr3:uid="{C13B8F85-2BC2-44CE-9CC4-377F0EFBB273}" name="SAT_KEG_2" dataDxfId="1892"/>
    <tableColumn id="31" xr3:uid="{BC9D28A6-2958-4949-A919-338C7A4F39DE}" name="VOL_KEG_3"/>
    <tableColumn id="32" xr3:uid="{47189097-112B-4337-ABCB-B7D029F6BA0F}" name="SAT_KEG_3" dataDxfId="1891"/>
    <tableColumn id="33" xr3:uid="{928C5C2C-20BD-4EC9-9446-8857181C26B8}" name="VOL_KEG_4"/>
    <tableColumn id="34" xr3:uid="{358615D4-C962-4A72-8560-334954E09110}" name="SAT_KEG_4" dataDxfId="1890"/>
    <tableColumn id="35" xr3:uid="{3AB2D5D9-FADE-4173-BEA1-1CE53C8FC59F}" name="VOLKEG"/>
    <tableColumn id="36" xr3:uid="{FD1E2CB4-B975-4E20-AFBF-BFD1F7287F95}" name="SATKEG" dataDxfId="1889"/>
    <tableColumn id="37" xr3:uid="{18F63D97-D189-42E0-9CC0-F1B5BD044A0B}" name="HARGASAT"/>
    <tableColumn id="38" xr3:uid="{448C53F6-C15A-489D-B115-0EB0C1A2058B}" name="TOTAL"/>
    <tableColumn id="39" xr3:uid="{AA5485E7-14D9-4EAF-9A9E-E4F5F4721326}" name="KODE_BLOKIR" dataDxfId="1888"/>
    <tableColumn id="40" xr3:uid="{CB3D17F4-137A-43D1-B4AF-FDF0319FB9B3}" name="NILAI_BLOKIR"/>
    <tableColumn id="41" xr3:uid="{8AFCBE1D-6578-43D1-9159-146D39B30E22}" name="KODE_STS_HISTORY" dataDxfId="1887"/>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886"/>
    <tableColumn id="55" xr3:uid="{DB6EFD28-1529-411E-B159-DD011020A260}" name="Kegiatan" dataDxfId="1885"/>
    <tableColumn id="56" xr3:uid="{2F360108-6D79-4B11-BBCC-013B6F79BCF2}" name="KRO" dataDxfId="1884"/>
    <tableColumn id="57" xr3:uid="{E90D74C1-E1A7-4E38-AD43-C72B28CE2CC1}" name="Nama RO" dataDxfId="1883"/>
    <tableColumn id="58" xr3:uid="{B523D496-3B20-4E80-9A9D-B075428D0D62}" name="Nama Komponen" dataDxfId="1882"/>
    <tableColumn id="59" xr3:uid="{162D4E2D-7A66-4103-A2F6-3B6EE78D2318}" name="Nama SubKomponen" dataDxfId="1881"/>
    <tableColumn id="60" xr3:uid="{C5621FDE-3CC3-42C0-BFCB-5ED15715768C}" name="Es2" dataDxfId="1880"/>
    <tableColumn id="61" xr3:uid="{11ACDFA3-3BB0-4930-8B3C-901C7E2561FB}" name="Koord" dataDxfId="1879"/>
    <tableColumn id="62" xr3:uid="{DED5D6AF-83A3-477F-BCD1-60CC335FD634}" name="SubKoord" dataDxfId="1878"/>
    <tableColumn id="63" xr3:uid="{11E6C36B-CF7A-4701-A8AC-3B1ACD9812A4}" name="KetAkun" dataDxfId="1877"/>
    <tableColumn id="64" xr3:uid="{C1A91565-DD43-470C-AE92-630F99291B42}" name="Uraian" dataDxfId="1876"/>
    <tableColumn id="65" xr3:uid="{AA4C6B82-BD5E-4248-B8DB-4B25D2B3CC86}" name="Jenis Belanja" dataDxfId="1875"/>
    <tableColumn id="66" xr3:uid="{4279E987-A663-4156-B046-04A84E0EACBD}" name="Status Akun" dataDxfId="1874"/>
    <tableColumn id="67" xr3:uid="{80DDC1EC-11DC-497C-9F63-080DBEBC8D76}" name="Status Covid" dataDxfId="1873"/>
    <tableColumn id="68" xr3:uid="{C3591F34-F7E4-45FB-9870-A5AEE3D3AB0D}" name="MAK" dataDxfId="1872">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5.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33" t="s">
        <v>577</v>
      </c>
      <c r="C1" s="533"/>
      <c r="D1" s="533"/>
      <c r="E1" s="533"/>
      <c r="F1" s="533"/>
      <c r="G1" s="533"/>
      <c r="I1" s="9"/>
    </row>
    <row r="2" spans="1:10" ht="15">
      <c r="B2" s="534" t="s">
        <v>593</v>
      </c>
      <c r="C2" s="534"/>
      <c r="D2" s="534"/>
      <c r="E2" s="534"/>
      <c r="F2" s="534"/>
      <c r="G2" s="534"/>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35" t="s">
        <v>585</v>
      </c>
      <c r="C9" s="537" t="s">
        <v>586</v>
      </c>
      <c r="D9" s="538" t="s">
        <v>587</v>
      </c>
      <c r="E9" s="535" t="s">
        <v>588</v>
      </c>
      <c r="F9" s="538" t="s">
        <v>589</v>
      </c>
      <c r="G9" s="538" t="s">
        <v>590</v>
      </c>
      <c r="I9" s="14"/>
    </row>
    <row r="10" spans="1:10" s="16" customFormat="1" ht="15">
      <c r="A10" s="15" t="s">
        <v>499</v>
      </c>
      <c r="B10" s="536"/>
      <c r="C10" s="536"/>
      <c r="D10" s="536"/>
      <c r="E10" s="539"/>
      <c r="F10" s="536"/>
      <c r="G10" s="536"/>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30" t="s">
        <v>575</v>
      </c>
      <c r="J13" s="531" t="s">
        <v>576</v>
      </c>
    </row>
    <row r="14" spans="1:10">
      <c r="A14" s="7" t="s">
        <v>199</v>
      </c>
      <c r="B14" s="25" t="s">
        <v>194</v>
      </c>
      <c r="C14" s="26" t="s">
        <v>2</v>
      </c>
      <c r="D14" s="25"/>
      <c r="E14" s="55"/>
      <c r="F14" s="27"/>
      <c r="G14" s="27">
        <v>1500000000</v>
      </c>
      <c r="I14" s="530"/>
      <c r="J14" s="531"/>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32"/>
      <c r="J22" s="532"/>
    </row>
    <row r="23" spans="1:10">
      <c r="A23" s="7" t="s">
        <v>208</v>
      </c>
      <c r="B23" s="43" t="s">
        <v>195</v>
      </c>
      <c r="C23" s="44" t="s">
        <v>599</v>
      </c>
      <c r="D23" s="47">
        <v>1</v>
      </c>
      <c r="E23" s="61" t="s">
        <v>9</v>
      </c>
      <c r="F23" s="45">
        <v>1000000</v>
      </c>
      <c r="G23" s="45">
        <v>1000000</v>
      </c>
      <c r="I23" s="532"/>
      <c r="J23" s="532"/>
    </row>
    <row r="24" spans="1:10">
      <c r="A24" s="7" t="s">
        <v>209</v>
      </c>
      <c r="B24" s="40" t="s">
        <v>513</v>
      </c>
      <c r="C24" s="41" t="s">
        <v>11</v>
      </c>
      <c r="D24" s="40"/>
      <c r="E24" s="60"/>
      <c r="F24" s="42"/>
      <c r="G24" s="42">
        <v>9000000</v>
      </c>
      <c r="I24" s="532"/>
      <c r="J24" s="532"/>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40" t="s">
        <v>577</v>
      </c>
      <c r="C1" s="540"/>
      <c r="D1" s="540"/>
      <c r="E1" s="540"/>
      <c r="F1" s="540"/>
      <c r="G1" s="540"/>
    </row>
    <row r="2" spans="1:7" ht="15.75">
      <c r="A2" s="379"/>
      <c r="B2" s="540" t="s">
        <v>4831</v>
      </c>
      <c r="C2" s="540"/>
      <c r="D2" s="540"/>
      <c r="E2" s="540"/>
      <c r="F2" s="540"/>
      <c r="G2" s="540"/>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41" t="s">
        <v>585</v>
      </c>
      <c r="C9" s="543" t="s">
        <v>586</v>
      </c>
      <c r="D9" s="544" t="s">
        <v>587</v>
      </c>
      <c r="E9" s="541" t="s">
        <v>588</v>
      </c>
      <c r="F9" s="544" t="s">
        <v>589</v>
      </c>
      <c r="G9" s="544" t="s">
        <v>590</v>
      </c>
    </row>
    <row r="10" spans="1:7" ht="15">
      <c r="A10" s="389" t="s">
        <v>499</v>
      </c>
      <c r="B10" s="542"/>
      <c r="C10" s="542"/>
      <c r="D10" s="542"/>
      <c r="E10" s="542"/>
      <c r="F10" s="542"/>
      <c r="G10" s="542"/>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12.7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47"/>
  <sheetViews>
    <sheetView zoomScale="55" zoomScaleNormal="55" workbookViewId="0">
      <pane ySplit="13" topLeftCell="A68" activePane="bottomLeft" state="frozen"/>
      <selection pane="bottomLeft" activeCell="I8" sqref="I8"/>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12836491330</v>
      </c>
      <c r="M6" s="470"/>
      <c r="N6" s="468" t="s">
        <v>4406</v>
      </c>
      <c r="O6" s="471">
        <f>SUMIF(Table1[Status Realisasi],N6,Table1[Nilai SP2D])</f>
        <v>4825410092</v>
      </c>
      <c r="P6" s="468">
        <v>6</v>
      </c>
      <c r="Q6" s="471">
        <f>SUMIF(Table1[Urut],P6,Table1[Nilai SP2D])</f>
        <v>3057804382</v>
      </c>
      <c r="T6" s="468" t="s">
        <v>4470</v>
      </c>
    </row>
    <row r="7" spans="2:20" s="468" customFormat="1" ht="30" customHeight="1">
      <c r="B7" s="209"/>
      <c r="C7" s="209"/>
      <c r="E7" s="472"/>
      <c r="F7" s="469"/>
      <c r="G7" s="470"/>
      <c r="H7" s="470"/>
      <c r="K7" s="470"/>
      <c r="L7" s="473">
        <f>O11+O12</f>
        <v>8384292675</v>
      </c>
      <c r="M7" s="470"/>
      <c r="N7" s="468" t="s">
        <v>4407</v>
      </c>
      <c r="O7" s="471">
        <f>SUMIF(Table1[Status Realisasi],N7,Table1[Nilai SP2D])</f>
        <v>4245096933</v>
      </c>
      <c r="P7" s="468">
        <v>7</v>
      </c>
      <c r="Q7" s="471">
        <f>SUMIF(Table1[Urut],P7,Table1[Nilai SP2D])</f>
        <v>2322323349</v>
      </c>
    </row>
    <row r="8" spans="2:20" s="468" customFormat="1" ht="30" customHeight="1">
      <c r="B8" s="209"/>
      <c r="C8" s="209"/>
      <c r="E8" s="472"/>
      <c r="F8" s="469"/>
      <c r="G8" s="470"/>
      <c r="H8" s="470"/>
      <c r="K8" s="470"/>
      <c r="L8" s="486">
        <f>O1+O2+O3+O4+O5+O6+O8</f>
        <v>8367939475</v>
      </c>
      <c r="M8" s="470"/>
      <c r="N8" s="468" t="s">
        <v>4409</v>
      </c>
      <c r="O8" s="471">
        <f>SUMIF(Table1[Status Realisasi],N8,Table1[Nilai SP2D])</f>
        <v>654200000</v>
      </c>
      <c r="P8" s="468">
        <v>8</v>
      </c>
      <c r="Q8" s="471">
        <f>SUMIF(Table1[Urut],P8,Table1[Nilai SP2D])</f>
        <v>820071923</v>
      </c>
    </row>
    <row r="9" spans="2:20" s="468" customFormat="1" ht="30" customHeight="1">
      <c r="B9" s="209"/>
      <c r="C9" s="209"/>
      <c r="E9" s="472"/>
      <c r="F9" s="469"/>
      <c r="G9" s="470"/>
      <c r="H9" s="470"/>
      <c r="K9" s="470"/>
      <c r="L9" s="474"/>
      <c r="M9" s="470"/>
      <c r="P9" s="468">
        <v>9</v>
      </c>
      <c r="Q9" s="471">
        <f>SUMIF(Table1[Urut],P9,Table1[Nilai SP2D])</f>
        <v>270741722</v>
      </c>
    </row>
    <row r="10" spans="2:20" s="468" customFormat="1" ht="30" customHeight="1">
      <c r="B10" s="209"/>
      <c r="C10" s="209"/>
      <c r="E10" s="472"/>
      <c r="F10" s="469"/>
      <c r="G10" s="470"/>
      <c r="H10" s="470"/>
      <c r="K10" s="470"/>
      <c r="L10" s="470"/>
      <c r="M10" s="470"/>
      <c r="N10" s="468">
        <v>51</v>
      </c>
      <c r="O10" s="471">
        <f>SUMIF(Table1[all],N10,Table1[Nilai SP2D])</f>
        <v>4452198655</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7730092675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00752</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529"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529"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529"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529"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529"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529"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529"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529"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529"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529"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529"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529"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529"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529"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529"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529"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529"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529"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529"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529"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529"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529"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529"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529"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529"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529"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529"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529"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529"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5"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5"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5"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5"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5"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5"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5"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5" customHeight="1">
      <c r="B238" s="344">
        <v>225</v>
      </c>
      <c r="C238" s="250">
        <v>8</v>
      </c>
      <c r="D238" s="195" t="s">
        <v>7817</v>
      </c>
      <c r="E238" s="195" t="s">
        <v>7818</v>
      </c>
      <c r="F238" s="215">
        <v>690000</v>
      </c>
      <c r="G238" s="241" t="s">
        <v>3920</v>
      </c>
      <c r="H238" s="195" t="s">
        <v>7819</v>
      </c>
      <c r="I238" s="195" t="s">
        <v>7820</v>
      </c>
      <c r="J238" s="195" t="s">
        <v>3920</v>
      </c>
      <c r="K238" s="198" t="s">
        <v>7821</v>
      </c>
      <c r="L238" s="235"/>
      <c r="M238" s="235"/>
      <c r="N238" s="250"/>
      <c r="O238" s="250">
        <v>52</v>
      </c>
    </row>
    <row r="239" spans="2:15" ht="69.95" customHeight="1">
      <c r="B239" s="199">
        <v>226</v>
      </c>
      <c r="C239" s="250">
        <v>8</v>
      </c>
      <c r="D239" s="195" t="s">
        <v>7822</v>
      </c>
      <c r="E239" s="195" t="s">
        <v>7818</v>
      </c>
      <c r="F239" s="215">
        <v>1230000</v>
      </c>
      <c r="G239" s="241" t="s">
        <v>3920</v>
      </c>
      <c r="H239" s="195" t="s">
        <v>7823</v>
      </c>
      <c r="I239" s="195" t="s">
        <v>7820</v>
      </c>
      <c r="J239" s="195" t="s">
        <v>3920</v>
      </c>
      <c r="K239" s="198" t="s">
        <v>7824</v>
      </c>
      <c r="L239" s="235"/>
      <c r="M239" s="235"/>
      <c r="N239" s="250"/>
      <c r="O239" s="250">
        <v>52</v>
      </c>
    </row>
    <row r="240" spans="2:15" ht="69.95" customHeight="1">
      <c r="B240" s="344">
        <v>227</v>
      </c>
      <c r="C240" s="250">
        <v>8</v>
      </c>
      <c r="D240" s="195" t="s">
        <v>7825</v>
      </c>
      <c r="E240" s="195" t="s">
        <v>7818</v>
      </c>
      <c r="F240" s="215">
        <v>2928736</v>
      </c>
      <c r="G240" s="232" t="s">
        <v>4099</v>
      </c>
      <c r="H240" s="195" t="s">
        <v>7826</v>
      </c>
      <c r="I240" s="195" t="s">
        <v>7820</v>
      </c>
      <c r="J240" s="195" t="s">
        <v>3920</v>
      </c>
      <c r="K240" s="198" t="s">
        <v>7827</v>
      </c>
      <c r="L240" s="235"/>
      <c r="M240" s="235"/>
      <c r="N240" s="250" t="s">
        <v>4407</v>
      </c>
      <c r="O240" s="346">
        <v>51</v>
      </c>
    </row>
    <row r="241" spans="2:20" ht="69.95" customHeight="1">
      <c r="B241" s="199">
        <v>228</v>
      </c>
      <c r="C241" s="250">
        <v>8</v>
      </c>
      <c r="D241" s="195" t="s">
        <v>7828</v>
      </c>
      <c r="E241" s="195" t="s">
        <v>7818</v>
      </c>
      <c r="F241" s="215">
        <v>410000</v>
      </c>
      <c r="G241" s="241" t="s">
        <v>3920</v>
      </c>
      <c r="H241" s="195" t="s">
        <v>7829</v>
      </c>
      <c r="I241" s="195" t="s">
        <v>7820</v>
      </c>
      <c r="J241" s="195" t="s">
        <v>3920</v>
      </c>
      <c r="K241" s="198" t="s">
        <v>7830</v>
      </c>
      <c r="L241" s="235"/>
      <c r="M241" s="235"/>
      <c r="N241" s="250"/>
      <c r="O241" s="250">
        <v>52</v>
      </c>
    </row>
    <row r="242" spans="2:20" ht="69.95" customHeight="1">
      <c r="B242" s="344">
        <v>229</v>
      </c>
      <c r="C242" s="250">
        <v>8</v>
      </c>
      <c r="D242" s="195" t="s">
        <v>7831</v>
      </c>
      <c r="E242" s="195" t="s">
        <v>7818</v>
      </c>
      <c r="F242" s="215">
        <v>2460000</v>
      </c>
      <c r="G242" s="241" t="s">
        <v>3920</v>
      </c>
      <c r="H242" s="195" t="s">
        <v>7832</v>
      </c>
      <c r="I242" s="195" t="s">
        <v>7820</v>
      </c>
      <c r="J242" s="195" t="s">
        <v>3920</v>
      </c>
      <c r="K242" s="198" t="s">
        <v>7833</v>
      </c>
      <c r="L242" s="235"/>
      <c r="M242" s="235"/>
      <c r="N242" s="250"/>
      <c r="O242" s="250">
        <v>52</v>
      </c>
    </row>
    <row r="243" spans="2:20" ht="69.95" customHeight="1">
      <c r="B243" s="199">
        <v>230</v>
      </c>
      <c r="C243" s="250">
        <v>8</v>
      </c>
      <c r="D243" s="195" t="s">
        <v>7834</v>
      </c>
      <c r="E243" s="195" t="s">
        <v>7818</v>
      </c>
      <c r="F243" s="215">
        <v>1650000</v>
      </c>
      <c r="G243" s="240" t="s">
        <v>3920</v>
      </c>
      <c r="H243" s="195" t="s">
        <v>7835</v>
      </c>
      <c r="I243" s="195" t="s">
        <v>7820</v>
      </c>
      <c r="J243" s="195" t="s">
        <v>3920</v>
      </c>
      <c r="K243" s="198" t="s">
        <v>7836</v>
      </c>
      <c r="L243" s="235" t="s">
        <v>532</v>
      </c>
      <c r="M243" s="235" t="s">
        <v>4219</v>
      </c>
      <c r="N243" s="250" t="s">
        <v>4406</v>
      </c>
      <c r="O243" s="346">
        <v>52</v>
      </c>
      <c r="T243" s="210" t="s">
        <v>3726</v>
      </c>
    </row>
    <row r="244" spans="2:20" ht="69.95" customHeight="1">
      <c r="B244" s="344">
        <v>231</v>
      </c>
      <c r="C244" s="250">
        <v>8</v>
      </c>
      <c r="D244" s="195" t="s">
        <v>7837</v>
      </c>
      <c r="E244" s="195" t="s">
        <v>7818</v>
      </c>
      <c r="F244" s="215">
        <v>2700000</v>
      </c>
      <c r="G244" s="241" t="s">
        <v>3920</v>
      </c>
      <c r="H244" s="195" t="s">
        <v>7838</v>
      </c>
      <c r="I244" s="195" t="s">
        <v>7820</v>
      </c>
      <c r="J244" s="195" t="s">
        <v>3920</v>
      </c>
      <c r="K244" s="198" t="s">
        <v>7839</v>
      </c>
      <c r="L244" s="235"/>
      <c r="M244" s="235"/>
      <c r="N244" s="250"/>
      <c r="O244" s="250">
        <v>52</v>
      </c>
    </row>
    <row r="245" spans="2:20" ht="69.95" customHeight="1">
      <c r="B245" s="199">
        <v>232</v>
      </c>
      <c r="C245" s="250">
        <v>8</v>
      </c>
      <c r="D245" s="195" t="s">
        <v>7840</v>
      </c>
      <c r="E245" s="195" t="s">
        <v>7818</v>
      </c>
      <c r="F245" s="215">
        <v>3180000</v>
      </c>
      <c r="G245" s="241" t="s">
        <v>3920</v>
      </c>
      <c r="H245" s="195" t="s">
        <v>7841</v>
      </c>
      <c r="I245" s="195" t="s">
        <v>7820</v>
      </c>
      <c r="J245" s="195" t="s">
        <v>3920</v>
      </c>
      <c r="K245" s="198" t="s">
        <v>7842</v>
      </c>
      <c r="L245" s="235"/>
      <c r="M245" s="235"/>
      <c r="N245" s="250"/>
      <c r="O245" s="250">
        <v>52</v>
      </c>
    </row>
    <row r="246" spans="2:20" ht="69.95" customHeight="1">
      <c r="B246" s="344">
        <v>233</v>
      </c>
      <c r="C246" s="250">
        <v>9</v>
      </c>
      <c r="D246" s="195" t="s">
        <v>7843</v>
      </c>
      <c r="E246" s="195" t="s">
        <v>7779</v>
      </c>
      <c r="F246" s="527">
        <v>207101722</v>
      </c>
      <c r="G246" s="232" t="s">
        <v>4071</v>
      </c>
      <c r="H246" s="195" t="s">
        <v>7844</v>
      </c>
      <c r="I246" s="195" t="s">
        <v>7768</v>
      </c>
      <c r="J246" s="195" t="s">
        <v>3934</v>
      </c>
      <c r="K246" s="198" t="s">
        <v>7845</v>
      </c>
      <c r="L246" s="235"/>
      <c r="M246" s="235"/>
      <c r="N246" s="250"/>
      <c r="O246" s="346">
        <v>51</v>
      </c>
    </row>
    <row r="247" spans="2:20" ht="69.95" customHeight="1">
      <c r="B247" s="347"/>
      <c r="C247" s="333"/>
      <c r="D247" s="333"/>
      <c r="E247" s="334"/>
      <c r="F247" s="335">
        <f>SUBTOTAL(109,Table1[Nilai SP2D])</f>
        <v>12836491330</v>
      </c>
      <c r="G247" s="336"/>
      <c r="H247" s="337"/>
      <c r="I247" s="333"/>
      <c r="J247" s="333"/>
      <c r="K247" s="338"/>
      <c r="L247" s="339"/>
      <c r="M247" s="339"/>
      <c r="N247" s="333"/>
      <c r="O247" s="348"/>
    </row>
  </sheetData>
  <sortState xmlns:xlrd2="http://schemas.microsoft.com/office/spreadsheetml/2017/richdata2" ref="B14:K54">
    <sortCondition ref="H14:H54"/>
  </sortState>
  <phoneticPr fontId="26" type="noConversion"/>
  <conditionalFormatting sqref="D116:D119">
    <cfRule type="duplicateValues" dxfId="4041" priority="3"/>
  </conditionalFormatting>
  <conditionalFormatting sqref="D14:D174">
    <cfRule type="duplicateValues" dxfId="4040" priority="28"/>
    <cfRule type="duplicateValues" dxfId="4039" priority="29"/>
  </conditionalFormatting>
  <dataValidations count="2">
    <dataValidation type="list" allowBlank="1" showInputMessage="1" showErrorMessage="1" sqref="L14:L246" xr:uid="{8DDB7010-4A22-4C04-8AC4-F6FB6B7050C1}">
      <formula1>#REF!</formula1>
    </dataValidation>
    <dataValidation type="list" allowBlank="1" showInputMessage="1" showErrorMessage="1" sqref="M14:M246"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48EEB-609F-4E13-8631-E6256249D32E}">
  <sheetPr codeName="Sheet21">
    <pageSetUpPr fitToPage="1"/>
  </sheetPr>
  <dimension ref="C1:AB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E27" sqref="E27"/>
    </sheetView>
  </sheetViews>
  <sheetFormatPr defaultRowHeight="15"/>
  <cols>
    <col min="1" max="2" width="0" hidden="1" customWidth="1"/>
    <col min="3" max="3" width="45.28515625" style="233" bestFit="1" customWidth="1"/>
    <col min="4" max="5" width="30.7109375" customWidth="1"/>
    <col min="6" max="6" width="30.7109375" style="208" customWidth="1"/>
    <col min="7" max="8" width="30.7109375" customWidth="1"/>
    <col min="9" max="9" width="30.7109375" style="171" customWidth="1"/>
    <col min="10" max="12" width="30.7109375" customWidth="1"/>
    <col min="13" max="13" width="16" style="159" bestFit="1" customWidth="1"/>
    <col min="14" max="14" width="18.140625" bestFit="1" customWidth="1"/>
    <col min="15" max="16" width="19.42578125" bestFit="1" customWidth="1"/>
    <col min="17" max="17" width="18.140625" bestFit="1" customWidth="1"/>
    <col min="18" max="18" width="9" bestFit="1" customWidth="1"/>
    <col min="19" max="20" width="18.140625" bestFit="1" customWidth="1"/>
    <col min="21" max="21" width="9" bestFit="1" customWidth="1"/>
    <col min="22" max="22" width="18.140625" bestFit="1" customWidth="1"/>
    <col min="23" max="23" width="9" bestFit="1" customWidth="1"/>
    <col min="24" max="24" width="20.7109375" bestFit="1" customWidth="1"/>
    <col min="25" max="25" width="18.140625" bestFit="1" customWidth="1"/>
    <col min="26" max="26" width="15.28515625" bestFit="1" customWidth="1"/>
    <col min="27" max="27" width="18.140625" bestFit="1" customWidth="1"/>
    <col min="28" max="28" width="14.7109375" bestFit="1" customWidth="1"/>
  </cols>
  <sheetData>
    <row r="1" spans="3:28" ht="19.5">
      <c r="C1" s="545" t="str">
        <f>'PERSUBBID - Gaji'!A1</f>
        <v>REALISASI TANPA GAJI (BERDASARKAN PAGU SETELAH BLOKIR)</v>
      </c>
      <c r="D1" s="545"/>
      <c r="E1" s="545"/>
      <c r="F1" s="545"/>
      <c r="G1" s="545"/>
      <c r="H1" s="545"/>
    </row>
    <row r="2" spans="3:28" ht="19.5">
      <c r="C2" s="545" t="str">
        <f>'PER BULAN'!B5</f>
        <v>Berdasarkan DIPA Revisi 3 TA. 2022 (Tanggal 13 Juli 2022)</v>
      </c>
      <c r="D2" s="545"/>
      <c r="E2" s="545"/>
      <c r="F2" s="545"/>
      <c r="G2" s="545"/>
      <c r="H2" s="545"/>
    </row>
    <row r="3" spans="3:28" ht="19.5">
      <c r="C3" s="545" t="str">
        <f>'PER BULAN'!B6</f>
        <v>SAMPAI DENGAN 1 SEPTEMBER 2022</v>
      </c>
      <c r="D3" s="545"/>
      <c r="E3" s="545"/>
      <c r="F3" s="545"/>
      <c r="G3" s="545"/>
      <c r="H3" s="545"/>
    </row>
    <row r="4" spans="3:28">
      <c r="D4" s="233"/>
      <c r="E4" s="233"/>
      <c r="G4" s="233"/>
      <c r="H4" s="233"/>
    </row>
    <row r="5" spans="3:28" s="441" customFormat="1" ht="18.75" hidden="1">
      <c r="C5" s="519" t="s">
        <v>7679</v>
      </c>
      <c r="D5" s="519" t="s">
        <v>7802</v>
      </c>
      <c r="E5" s="519"/>
      <c r="F5" s="519"/>
      <c r="G5" s="519"/>
      <c r="H5" s="519"/>
      <c r="I5" s="519"/>
      <c r="J5" s="519"/>
      <c r="K5" s="519"/>
      <c r="L5" s="519"/>
      <c r="M5"/>
      <c r="N5"/>
      <c r="O5"/>
      <c r="P5"/>
      <c r="Q5"/>
      <c r="R5"/>
      <c r="S5"/>
      <c r="T5"/>
      <c r="U5"/>
      <c r="V5"/>
      <c r="W5"/>
      <c r="X5"/>
      <c r="Y5"/>
      <c r="Z5"/>
      <c r="AA5"/>
      <c r="AB5"/>
    </row>
    <row r="6" spans="3:28" s="523" customFormat="1" ht="18.75">
      <c r="C6" s="519"/>
      <c r="D6" s="605" t="s">
        <v>528</v>
      </c>
      <c r="E6" s="605"/>
      <c r="F6" s="605" t="s">
        <v>524</v>
      </c>
      <c r="G6" s="605"/>
      <c r="H6" s="605" t="s">
        <v>532</v>
      </c>
      <c r="I6" s="605"/>
      <c r="J6" s="605" t="s">
        <v>565</v>
      </c>
      <c r="K6" s="605"/>
      <c r="L6" s="488" t="s">
        <v>3887</v>
      </c>
    </row>
    <row r="7" spans="3:28" s="523" customFormat="1" ht="18.75">
      <c r="C7" s="488" t="s">
        <v>3893</v>
      </c>
      <c r="D7" s="604" t="s">
        <v>529</v>
      </c>
      <c r="E7" s="604" t="s">
        <v>531</v>
      </c>
      <c r="F7" s="604" t="s">
        <v>525</v>
      </c>
      <c r="G7" s="604" t="s">
        <v>527</v>
      </c>
      <c r="H7" s="604" t="s">
        <v>570</v>
      </c>
      <c r="I7" s="604" t="s">
        <v>533</v>
      </c>
      <c r="J7" s="604" t="s">
        <v>535</v>
      </c>
      <c r="K7" s="604" t="s">
        <v>549</v>
      </c>
      <c r="L7" s="488"/>
    </row>
    <row r="8" spans="3:28" ht="18.75">
      <c r="C8" s="493" t="s">
        <v>523</v>
      </c>
      <c r="D8" s="494">
        <v>686300000</v>
      </c>
      <c r="E8" s="494">
        <v>152457000</v>
      </c>
      <c r="F8" s="494">
        <v>207606000</v>
      </c>
      <c r="G8" s="494">
        <v>164763000</v>
      </c>
      <c r="H8" s="494">
        <v>169798000</v>
      </c>
      <c r="I8" s="494">
        <v>8876418000</v>
      </c>
      <c r="J8" s="494">
        <v>197920000</v>
      </c>
      <c r="K8" s="494">
        <v>3420542000</v>
      </c>
      <c r="L8" s="494">
        <v>13875804000</v>
      </c>
      <c r="M8"/>
    </row>
    <row r="9" spans="3:28" ht="18.75">
      <c r="C9" s="524" t="s">
        <v>7803</v>
      </c>
      <c r="D9" s="494">
        <v>157186000</v>
      </c>
      <c r="E9" s="494">
        <v>17500000</v>
      </c>
      <c r="F9" s="494">
        <v>51925000</v>
      </c>
      <c r="G9" s="494">
        <v>38800000</v>
      </c>
      <c r="H9" s="494">
        <v>54675000</v>
      </c>
      <c r="I9" s="494">
        <v>212500000</v>
      </c>
      <c r="J9" s="494">
        <v>59700000</v>
      </c>
      <c r="K9" s="494">
        <v>100100000</v>
      </c>
      <c r="L9" s="494">
        <v>692386000</v>
      </c>
      <c r="M9"/>
    </row>
    <row r="10" spans="3:28" ht="18.75">
      <c r="C10" s="524" t="s">
        <v>7804</v>
      </c>
      <c r="D10" s="494">
        <v>56600000</v>
      </c>
      <c r="E10" s="494">
        <v>15300000</v>
      </c>
      <c r="F10" s="494">
        <v>33000000</v>
      </c>
      <c r="G10" s="494">
        <v>40000000</v>
      </c>
      <c r="H10" s="494"/>
      <c r="I10" s="494">
        <v>123600000</v>
      </c>
      <c r="J10" s="494"/>
      <c r="K10" s="494">
        <v>7882000</v>
      </c>
      <c r="L10" s="494">
        <v>276382000</v>
      </c>
      <c r="M10"/>
    </row>
    <row r="11" spans="3:28" ht="18.75">
      <c r="C11" s="524" t="s">
        <v>7805</v>
      </c>
      <c r="D11" s="494"/>
      <c r="E11" s="494"/>
      <c r="F11" s="494"/>
      <c r="G11" s="494"/>
      <c r="H11" s="494"/>
      <c r="I11" s="494"/>
      <c r="J11" s="494"/>
      <c r="K11" s="494">
        <v>533050000</v>
      </c>
      <c r="L11" s="494">
        <v>533050000</v>
      </c>
      <c r="M11"/>
    </row>
    <row r="12" spans="3:28" ht="18.75">
      <c r="C12" s="524" t="s">
        <v>7806</v>
      </c>
      <c r="D12" s="494"/>
      <c r="E12" s="494"/>
      <c r="F12" s="494"/>
      <c r="G12" s="494"/>
      <c r="H12" s="494"/>
      <c r="I12" s="494"/>
      <c r="J12" s="494"/>
      <c r="K12" s="494">
        <v>121852000</v>
      </c>
      <c r="L12" s="494">
        <v>121852000</v>
      </c>
      <c r="M12"/>
    </row>
    <row r="13" spans="3:28" ht="18.75">
      <c r="C13" s="524" t="s">
        <v>7807</v>
      </c>
      <c r="D13" s="494"/>
      <c r="E13" s="494"/>
      <c r="F13" s="494"/>
      <c r="G13" s="494"/>
      <c r="H13" s="494"/>
      <c r="I13" s="494"/>
      <c r="J13" s="494"/>
      <c r="K13" s="494">
        <v>58360000</v>
      </c>
      <c r="L13" s="494">
        <v>58360000</v>
      </c>
      <c r="M13"/>
    </row>
    <row r="14" spans="3:28" ht="18.75">
      <c r="C14" s="524" t="s">
        <v>7808</v>
      </c>
      <c r="D14" s="494"/>
      <c r="E14" s="494"/>
      <c r="F14" s="494"/>
      <c r="G14" s="494"/>
      <c r="H14" s="494"/>
      <c r="I14" s="494"/>
      <c r="J14" s="494"/>
      <c r="K14" s="494">
        <v>1177236000</v>
      </c>
      <c r="L14" s="494">
        <v>1177236000</v>
      </c>
      <c r="M14"/>
    </row>
    <row r="15" spans="3:28" ht="18.75">
      <c r="C15" s="524" t="s">
        <v>7809</v>
      </c>
      <c r="D15" s="494"/>
      <c r="E15" s="494"/>
      <c r="F15" s="494"/>
      <c r="G15" s="494"/>
      <c r="H15" s="494"/>
      <c r="I15" s="494"/>
      <c r="J15" s="494"/>
      <c r="K15" s="494">
        <v>654200000</v>
      </c>
      <c r="L15" s="494">
        <v>654200000</v>
      </c>
      <c r="M15"/>
    </row>
    <row r="16" spans="3:28" ht="18.75">
      <c r="C16" s="524" t="s">
        <v>7810</v>
      </c>
      <c r="D16" s="494">
        <v>11500000</v>
      </c>
      <c r="E16" s="494">
        <v>13182000</v>
      </c>
      <c r="F16" s="494">
        <v>1192000</v>
      </c>
      <c r="G16" s="494">
        <v>27651000</v>
      </c>
      <c r="H16" s="494">
        <v>6000000</v>
      </c>
      <c r="I16" s="494">
        <v>7664559000</v>
      </c>
      <c r="J16" s="494"/>
      <c r="K16" s="494">
        <v>82535000</v>
      </c>
      <c r="L16" s="494">
        <v>7806619000</v>
      </c>
      <c r="M16"/>
    </row>
    <row r="17" spans="3:21" ht="18.75">
      <c r="C17" s="524" t="s">
        <v>7811</v>
      </c>
      <c r="D17" s="494"/>
      <c r="E17" s="494"/>
      <c r="F17" s="494"/>
      <c r="G17" s="494"/>
      <c r="H17" s="494"/>
      <c r="I17" s="494"/>
      <c r="J17" s="494"/>
      <c r="K17" s="494">
        <v>30000000</v>
      </c>
      <c r="L17" s="494">
        <v>30000000</v>
      </c>
      <c r="M17"/>
    </row>
    <row r="18" spans="3:21" ht="18.75">
      <c r="C18" s="524" t="s">
        <v>7812</v>
      </c>
      <c r="D18" s="494">
        <v>414514000</v>
      </c>
      <c r="E18" s="494">
        <v>106475000</v>
      </c>
      <c r="F18" s="494">
        <v>121489000</v>
      </c>
      <c r="G18" s="494">
        <v>58312000</v>
      </c>
      <c r="H18" s="494">
        <v>109123000</v>
      </c>
      <c r="I18" s="494">
        <v>733259000</v>
      </c>
      <c r="J18" s="494">
        <v>110720000</v>
      </c>
      <c r="K18" s="494">
        <v>474167000</v>
      </c>
      <c r="L18" s="494">
        <v>2128059000</v>
      </c>
      <c r="M18"/>
    </row>
    <row r="19" spans="3:21" ht="18.75">
      <c r="C19" s="524" t="s">
        <v>7813</v>
      </c>
      <c r="D19" s="494">
        <v>45000000</v>
      </c>
      <c r="E19" s="494"/>
      <c r="F19" s="494"/>
      <c r="G19" s="494"/>
      <c r="H19" s="494"/>
      <c r="I19" s="494">
        <v>142500000</v>
      </c>
      <c r="J19" s="494">
        <v>27500000</v>
      </c>
      <c r="K19" s="494">
        <v>178160000</v>
      </c>
      <c r="L19" s="494">
        <v>393160000</v>
      </c>
      <c r="M19"/>
    </row>
    <row r="20" spans="3:21" ht="18.75">
      <c r="C20" s="524" t="s">
        <v>7814</v>
      </c>
      <c r="D20" s="494">
        <v>1500000</v>
      </c>
      <c r="E20" s="494"/>
      <c r="F20" s="494"/>
      <c r="G20" s="494"/>
      <c r="H20" s="494"/>
      <c r="I20" s="494"/>
      <c r="J20" s="494"/>
      <c r="K20" s="494">
        <v>3000000</v>
      </c>
      <c r="L20" s="494">
        <v>4500000</v>
      </c>
      <c r="M20"/>
    </row>
    <row r="21" spans="3:21" ht="18.75">
      <c r="C21" s="488" t="s">
        <v>3887</v>
      </c>
      <c r="D21" s="494">
        <v>686300000</v>
      </c>
      <c r="E21" s="494">
        <v>152457000</v>
      </c>
      <c r="F21" s="494">
        <v>207606000</v>
      </c>
      <c r="G21" s="494">
        <v>164763000</v>
      </c>
      <c r="H21" s="494">
        <v>169798000</v>
      </c>
      <c r="I21" s="494">
        <v>8876418000</v>
      </c>
      <c r="J21" s="494">
        <v>197920000</v>
      </c>
      <c r="K21" s="494">
        <v>3420542000</v>
      </c>
      <c r="L21" s="494">
        <v>13875804000</v>
      </c>
      <c r="M21"/>
    </row>
    <row r="22" spans="3:21">
      <c r="C22"/>
      <c r="F22"/>
      <c r="K22" s="159"/>
      <c r="U22" s="161"/>
    </row>
    <row r="23" spans="3:21">
      <c r="C23"/>
      <c r="F23"/>
      <c r="K23" s="161"/>
      <c r="U23" s="161"/>
    </row>
    <row r="24" spans="3:21">
      <c r="C24"/>
      <c r="F24"/>
    </row>
    <row r="25" spans="3:21">
      <c r="C25"/>
      <c r="F25"/>
    </row>
    <row r="26" spans="3:21">
      <c r="C26"/>
      <c r="F26"/>
    </row>
    <row r="27" spans="3:21">
      <c r="C27"/>
      <c r="F27"/>
    </row>
    <row r="28" spans="3:21">
      <c r="C28"/>
      <c r="F28"/>
    </row>
    <row r="29" spans="3:21">
      <c r="C29"/>
      <c r="F29"/>
    </row>
    <row r="30" spans="3:21">
      <c r="C30"/>
      <c r="F30"/>
    </row>
    <row r="31" spans="3:21">
      <c r="C31"/>
      <c r="F31"/>
    </row>
    <row r="32" spans="3:21">
      <c r="C32"/>
      <c r="F32"/>
    </row>
    <row r="33" spans="3:15">
      <c r="C33"/>
      <c r="F33"/>
    </row>
    <row r="34" spans="3:15">
      <c r="C34"/>
      <c r="F34"/>
      <c r="O34" s="161"/>
    </row>
    <row r="35" spans="3:15">
      <c r="C35"/>
      <c r="F35"/>
    </row>
    <row r="36" spans="3:15">
      <c r="C36"/>
      <c r="F36"/>
    </row>
    <row r="37" spans="3:15">
      <c r="C37"/>
      <c r="F37"/>
    </row>
    <row r="38" spans="3:15">
      <c r="C38"/>
      <c r="F38"/>
    </row>
    <row r="39" spans="3:15">
      <c r="C39"/>
      <c r="F39"/>
    </row>
    <row r="40" spans="3:15">
      <c r="C40"/>
      <c r="F40"/>
    </row>
    <row r="41" spans="3:15">
      <c r="C41"/>
      <c r="F41"/>
    </row>
    <row r="42" spans="3:15">
      <c r="C42"/>
      <c r="F42"/>
    </row>
    <row r="43" spans="3:15">
      <c r="C43"/>
      <c r="F43"/>
    </row>
    <row r="44" spans="3:15">
      <c r="C44"/>
      <c r="F44"/>
    </row>
    <row r="45" spans="3:15">
      <c r="C45"/>
      <c r="F45"/>
    </row>
    <row r="46" spans="3:15">
      <c r="C46"/>
      <c r="F46"/>
    </row>
    <row r="47" spans="3:15">
      <c r="C47"/>
      <c r="F47"/>
    </row>
    <row r="48" spans="3:15">
      <c r="C48"/>
      <c r="F48"/>
    </row>
    <row r="49" spans="3:10">
      <c r="C49"/>
      <c r="F49"/>
      <c r="I49" s="476"/>
      <c r="J49" s="161"/>
    </row>
    <row r="50" spans="3:10">
      <c r="C50"/>
      <c r="F50"/>
    </row>
    <row r="51" spans="3:10">
      <c r="C51"/>
      <c r="F51"/>
      <c r="I51" s="476"/>
    </row>
    <row r="52" spans="3:10">
      <c r="C52"/>
      <c r="F52"/>
    </row>
    <row r="53" spans="3:10">
      <c r="C53"/>
      <c r="F53"/>
    </row>
    <row r="54" spans="3:10">
      <c r="C54"/>
      <c r="F54"/>
    </row>
    <row r="55" spans="3:10">
      <c r="C55"/>
      <c r="F55"/>
    </row>
    <row r="56" spans="3:10">
      <c r="C56"/>
      <c r="F56"/>
    </row>
    <row r="57" spans="3:10">
      <c r="C57"/>
      <c r="F57"/>
    </row>
    <row r="58" spans="3:10">
      <c r="C58"/>
      <c r="F58"/>
    </row>
    <row r="59" spans="3:10">
      <c r="C59"/>
      <c r="F59"/>
      <c r="I59" s="476"/>
      <c r="J59" s="161"/>
    </row>
    <row r="60" spans="3:10">
      <c r="C60"/>
      <c r="F60"/>
    </row>
    <row r="61" spans="3:10">
      <c r="C61"/>
      <c r="F61"/>
    </row>
    <row r="62" spans="3:10">
      <c r="C62"/>
      <c r="F62"/>
    </row>
    <row r="63" spans="3:10">
      <c r="C63"/>
      <c r="F63"/>
    </row>
    <row r="64" spans="3:10">
      <c r="C64"/>
      <c r="F64"/>
    </row>
    <row r="65" spans="3:6">
      <c r="C65"/>
      <c r="F65"/>
    </row>
    <row r="66" spans="3:6">
      <c r="C66"/>
      <c r="F66"/>
    </row>
    <row r="67" spans="3:6">
      <c r="C67"/>
      <c r="F67"/>
    </row>
    <row r="68" spans="3:6">
      <c r="C68"/>
      <c r="F68"/>
    </row>
    <row r="69" spans="3:6">
      <c r="C69"/>
      <c r="F69"/>
    </row>
    <row r="70" spans="3:6">
      <c r="C70"/>
      <c r="F70"/>
    </row>
    <row r="71" spans="3:6">
      <c r="C71"/>
      <c r="F71"/>
    </row>
    <row r="72" spans="3:6">
      <c r="C72"/>
      <c r="F72"/>
    </row>
    <row r="73" spans="3:6">
      <c r="C73"/>
      <c r="F73"/>
    </row>
    <row r="74" spans="3:6">
      <c r="C74"/>
      <c r="F74"/>
    </row>
    <row r="75" spans="3:6">
      <c r="C75"/>
      <c r="F75"/>
    </row>
    <row r="76" spans="3:6">
      <c r="C76"/>
      <c r="F76"/>
    </row>
    <row r="77" spans="3:6">
      <c r="C77"/>
      <c r="F77"/>
    </row>
    <row r="78" spans="3:6">
      <c r="C78"/>
      <c r="F78"/>
    </row>
    <row r="79" spans="3:6">
      <c r="C79"/>
      <c r="F79"/>
    </row>
    <row r="80" spans="3:6">
      <c r="C80"/>
      <c r="F80"/>
    </row>
    <row r="81" spans="3:6">
      <c r="C81"/>
      <c r="F81"/>
    </row>
    <row r="82" spans="3:6">
      <c r="C82"/>
      <c r="F82"/>
    </row>
    <row r="83" spans="3:6">
      <c r="C83"/>
      <c r="F83"/>
    </row>
    <row r="84" spans="3:6">
      <c r="C84"/>
      <c r="F84"/>
    </row>
    <row r="85" spans="3:6">
      <c r="C85"/>
      <c r="F85"/>
    </row>
    <row r="86" spans="3:6">
      <c r="C86"/>
      <c r="F86"/>
    </row>
    <row r="87" spans="3:6">
      <c r="C87"/>
      <c r="F87"/>
    </row>
    <row r="88" spans="3:6">
      <c r="C88"/>
      <c r="F88"/>
    </row>
    <row r="89" spans="3:6">
      <c r="C89"/>
      <c r="F89"/>
    </row>
    <row r="90" spans="3:6">
      <c r="C90"/>
      <c r="F90"/>
    </row>
    <row r="91" spans="3:6">
      <c r="C91"/>
      <c r="F91"/>
    </row>
    <row r="92" spans="3:6">
      <c r="C92"/>
      <c r="F92"/>
    </row>
    <row r="93" spans="3:6">
      <c r="C93"/>
      <c r="F93"/>
    </row>
    <row r="94" spans="3:6">
      <c r="C94"/>
      <c r="F94"/>
    </row>
    <row r="95" spans="3:6">
      <c r="C95"/>
      <c r="F95"/>
    </row>
    <row r="96" spans="3:6">
      <c r="C96"/>
      <c r="F96"/>
    </row>
    <row r="97" spans="3:6">
      <c r="C97"/>
      <c r="F97"/>
    </row>
    <row r="98" spans="3:6">
      <c r="C98"/>
      <c r="F98"/>
    </row>
    <row r="99" spans="3:6">
      <c r="C99"/>
      <c r="F99"/>
    </row>
    <row r="100" spans="3:6">
      <c r="C100"/>
      <c r="F100"/>
    </row>
    <row r="101" spans="3:6">
      <c r="C101"/>
      <c r="F101"/>
    </row>
    <row r="102" spans="3:6">
      <c r="C102"/>
      <c r="F102"/>
    </row>
    <row r="103" spans="3:6">
      <c r="C103"/>
      <c r="F103"/>
    </row>
    <row r="104" spans="3:6">
      <c r="C104"/>
      <c r="F104"/>
    </row>
    <row r="105" spans="3:6">
      <c r="C105"/>
      <c r="F105"/>
    </row>
    <row r="106" spans="3:6">
      <c r="C106"/>
      <c r="F106"/>
    </row>
    <row r="107" spans="3:6">
      <c r="C107"/>
      <c r="F107"/>
    </row>
    <row r="108" spans="3:6">
      <c r="C108"/>
      <c r="F108"/>
    </row>
    <row r="109" spans="3:6">
      <c r="C109"/>
      <c r="F109"/>
    </row>
    <row r="110" spans="3:6">
      <c r="C110"/>
      <c r="F110"/>
    </row>
    <row r="111" spans="3:6">
      <c r="C111"/>
      <c r="F111"/>
    </row>
    <row r="112" spans="3:6">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4004" priority="2" operator="lessThan">
      <formula>0</formula>
    </cfRule>
  </conditionalFormatting>
  <pageMargins left="0.34" right="0.22" top="0.25" bottom="0.24" header="0.19" footer="0.16"/>
  <pageSetup paperSize="9" scale="44"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A26DE-F622-4657-81B4-A30B5CA16EB2}">
  <sheetPr codeName="Sheet22">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5"/>
  <cols>
    <col min="3" max="3" width="118.85546875" style="233" bestFit="1" customWidth="1"/>
    <col min="4" max="5" width="25.7109375" customWidth="1"/>
    <col min="6" max="6" width="25.7109375" style="208" customWidth="1"/>
    <col min="7" max="8" width="25.7109375" customWidth="1"/>
    <col min="9" max="9" width="25.7109375" style="171" customWidth="1"/>
    <col min="10" max="12" width="25.7109375" customWidth="1"/>
    <col min="13" max="13" width="25.7109375" style="159" customWidth="1"/>
    <col min="14" max="16" width="25.7109375" customWidth="1"/>
    <col min="17" max="17" width="5.7109375" bestFit="1" customWidth="1"/>
    <col min="18" max="18" width="22.28515625" bestFit="1" customWidth="1"/>
    <col min="19" max="19" width="18.140625" bestFit="1" customWidth="1"/>
    <col min="20" max="20" width="44.5703125" bestFit="1" customWidth="1"/>
    <col min="21" max="21" width="14.7109375" bestFit="1" customWidth="1"/>
    <col min="22" max="22" width="23.140625" bestFit="1" customWidth="1"/>
    <col min="23" max="23" width="16" bestFit="1" customWidth="1"/>
    <col min="24" max="24" width="22.28515625" bestFit="1" customWidth="1"/>
    <col min="25" max="25" width="16" bestFit="1" customWidth="1"/>
    <col min="26" max="26" width="22.28515625" bestFit="1" customWidth="1"/>
    <col min="27" max="27" width="13.28515625" bestFit="1" customWidth="1"/>
    <col min="28" max="28" width="15.7109375" bestFit="1" customWidth="1"/>
    <col min="29" max="29" width="18.140625" bestFit="1" customWidth="1"/>
  </cols>
  <sheetData>
    <row r="1" spans="3:29" ht="19.5">
      <c r="C1" s="545" t="s">
        <v>7815</v>
      </c>
      <c r="D1" s="545"/>
      <c r="E1" s="545"/>
      <c r="F1" s="545"/>
      <c r="G1" s="545"/>
      <c r="H1" s="545"/>
    </row>
    <row r="2" spans="3:29" ht="19.5">
      <c r="C2" s="545" t="str">
        <f>'PER BULAN'!B5</f>
        <v>Berdasarkan DIPA Revisi 3 TA. 2022 (Tanggal 13 Juli 2022)</v>
      </c>
      <c r="D2" s="545"/>
      <c r="E2" s="545"/>
      <c r="F2" s="545"/>
      <c r="G2" s="545"/>
      <c r="H2" s="545"/>
    </row>
    <row r="3" spans="3:29" ht="19.5">
      <c r="C3" s="545" t="str">
        <f>'PER BULAN'!B6</f>
        <v>SAMPAI DENGAN 1 SEPTEMBER 2022</v>
      </c>
      <c r="D3" s="545"/>
      <c r="E3" s="545"/>
      <c r="F3" s="545"/>
      <c r="G3" s="545"/>
      <c r="H3" s="545"/>
    </row>
    <row r="4" spans="3:29">
      <c r="D4" s="233"/>
      <c r="E4" s="233"/>
      <c r="G4" s="233"/>
      <c r="H4" s="233"/>
    </row>
    <row r="5" spans="3:29" s="441" customFormat="1" ht="18.75" hidden="1">
      <c r="C5" s="519" t="s">
        <v>7679</v>
      </c>
      <c r="D5" s="519" t="s">
        <v>7802</v>
      </c>
      <c r="E5" s="519"/>
      <c r="F5" s="519"/>
      <c r="G5" s="519"/>
      <c r="H5" s="519"/>
      <c r="I5" s="519"/>
      <c r="J5" s="519"/>
      <c r="K5" s="519"/>
      <c r="L5" s="519"/>
      <c r="M5" s="519"/>
      <c r="N5" s="519"/>
      <c r="O5" s="519"/>
      <c r="P5" s="519"/>
      <c r="Q5"/>
      <c r="R5"/>
      <c r="S5"/>
      <c r="T5"/>
      <c r="U5"/>
      <c r="V5"/>
      <c r="W5"/>
      <c r="X5"/>
      <c r="Y5"/>
      <c r="Z5"/>
      <c r="AA5"/>
      <c r="AB5"/>
      <c r="AC5"/>
    </row>
    <row r="6" spans="3:29" s="523" customFormat="1" ht="56.25">
      <c r="C6" s="522" t="s">
        <v>3893</v>
      </c>
      <c r="D6" s="522" t="s">
        <v>7803</v>
      </c>
      <c r="E6" s="522" t="s">
        <v>7804</v>
      </c>
      <c r="F6" s="522" t="s">
        <v>7805</v>
      </c>
      <c r="G6" s="522" t="s">
        <v>7806</v>
      </c>
      <c r="H6" s="522" t="s">
        <v>7807</v>
      </c>
      <c r="I6" s="522" t="s">
        <v>7808</v>
      </c>
      <c r="J6" s="522" t="s">
        <v>7809</v>
      </c>
      <c r="K6" s="522" t="s">
        <v>7810</v>
      </c>
      <c r="L6" s="522" t="s">
        <v>7811</v>
      </c>
      <c r="M6" s="522" t="s">
        <v>7812</v>
      </c>
      <c r="N6" s="522" t="s">
        <v>7813</v>
      </c>
      <c r="O6" s="522" t="s">
        <v>7814</v>
      </c>
      <c r="P6" s="522" t="s">
        <v>3887</v>
      </c>
      <c r="Q6"/>
      <c r="R6"/>
      <c r="S6"/>
      <c r="T6"/>
      <c r="U6"/>
      <c r="V6"/>
      <c r="W6"/>
      <c r="X6"/>
      <c r="Y6"/>
      <c r="Z6"/>
      <c r="AA6"/>
      <c r="AB6"/>
      <c r="AC6"/>
    </row>
    <row r="7" spans="3:29" ht="18.75">
      <c r="C7" s="489" t="s">
        <v>523</v>
      </c>
      <c r="D7" s="490">
        <v>692386000</v>
      </c>
      <c r="E7" s="490">
        <v>276382000</v>
      </c>
      <c r="F7" s="490">
        <v>533050000</v>
      </c>
      <c r="G7" s="490">
        <v>121852000</v>
      </c>
      <c r="H7" s="490">
        <v>58360000</v>
      </c>
      <c r="I7" s="490">
        <v>1177236000</v>
      </c>
      <c r="J7" s="490">
        <v>654200000</v>
      </c>
      <c r="K7" s="490">
        <v>7806619000</v>
      </c>
      <c r="L7" s="490">
        <v>30000000</v>
      </c>
      <c r="M7" s="490">
        <v>2128059000</v>
      </c>
      <c r="N7" s="490">
        <v>393160000</v>
      </c>
      <c r="O7" s="490">
        <v>4500000</v>
      </c>
      <c r="P7" s="490">
        <v>13875804000</v>
      </c>
    </row>
    <row r="8" spans="3:29" ht="18.75">
      <c r="C8" s="493" t="s">
        <v>3771</v>
      </c>
      <c r="D8" s="494">
        <v>231311000</v>
      </c>
      <c r="E8" s="494">
        <v>95900000</v>
      </c>
      <c r="F8" s="494"/>
      <c r="G8" s="494"/>
      <c r="H8" s="494"/>
      <c r="I8" s="494"/>
      <c r="J8" s="494"/>
      <c r="K8" s="494">
        <v>20384000</v>
      </c>
      <c r="L8" s="494"/>
      <c r="M8" s="494">
        <v>605905000</v>
      </c>
      <c r="N8" s="494">
        <v>45000000</v>
      </c>
      <c r="O8" s="494">
        <v>1500000</v>
      </c>
      <c r="P8" s="494">
        <v>1000000000</v>
      </c>
    </row>
    <row r="9" spans="3:29" ht="18.75">
      <c r="C9" s="493" t="s">
        <v>3781</v>
      </c>
      <c r="D9" s="494">
        <v>231311000</v>
      </c>
      <c r="E9" s="494">
        <v>95900000</v>
      </c>
      <c r="F9" s="494"/>
      <c r="G9" s="494"/>
      <c r="H9" s="494"/>
      <c r="I9" s="494"/>
      <c r="J9" s="494"/>
      <c r="K9" s="494">
        <v>20384000</v>
      </c>
      <c r="L9" s="494"/>
      <c r="M9" s="494">
        <v>605905000</v>
      </c>
      <c r="N9" s="494">
        <v>45000000</v>
      </c>
      <c r="O9" s="494">
        <v>1500000</v>
      </c>
      <c r="P9" s="494">
        <v>1000000000</v>
      </c>
    </row>
    <row r="10" spans="3:29" ht="18.75">
      <c r="C10" s="497" t="s">
        <v>528</v>
      </c>
      <c r="D10" s="498">
        <v>170686000</v>
      </c>
      <c r="E10" s="498">
        <v>71900000</v>
      </c>
      <c r="F10" s="498"/>
      <c r="G10" s="498"/>
      <c r="H10" s="498"/>
      <c r="I10" s="498"/>
      <c r="J10" s="498"/>
      <c r="K10" s="498">
        <v>20384000</v>
      </c>
      <c r="L10" s="498"/>
      <c r="M10" s="498">
        <v>511930000</v>
      </c>
      <c r="N10" s="498">
        <v>45000000</v>
      </c>
      <c r="O10" s="498">
        <v>1500000</v>
      </c>
      <c r="P10" s="498">
        <v>821400000</v>
      </c>
    </row>
    <row r="11" spans="3:29" ht="18.75">
      <c r="C11" s="501" t="s">
        <v>529</v>
      </c>
      <c r="D11" s="502">
        <v>157186000</v>
      </c>
      <c r="E11" s="502">
        <v>56600000</v>
      </c>
      <c r="F11" s="502"/>
      <c r="G11" s="502"/>
      <c r="H11" s="502"/>
      <c r="I11" s="502"/>
      <c r="J11" s="502"/>
      <c r="K11" s="502">
        <v>11500000</v>
      </c>
      <c r="L11" s="502"/>
      <c r="M11" s="502">
        <v>414514000</v>
      </c>
      <c r="N11" s="502">
        <v>45000000</v>
      </c>
      <c r="O11" s="502">
        <v>1500000</v>
      </c>
      <c r="P11" s="502">
        <v>686300000</v>
      </c>
    </row>
    <row r="12" spans="3:29" ht="18.75">
      <c r="C12" s="520" t="s">
        <v>3789</v>
      </c>
      <c r="D12" s="514">
        <v>157186000</v>
      </c>
      <c r="E12" s="514">
        <v>56600000</v>
      </c>
      <c r="F12" s="514"/>
      <c r="G12" s="514"/>
      <c r="H12" s="514"/>
      <c r="I12" s="514"/>
      <c r="J12" s="514"/>
      <c r="K12" s="514">
        <v>11500000</v>
      </c>
      <c r="L12" s="514"/>
      <c r="M12" s="514">
        <v>414514000</v>
      </c>
      <c r="N12" s="514">
        <v>45000000</v>
      </c>
      <c r="O12" s="514">
        <v>1500000</v>
      </c>
      <c r="P12" s="514">
        <v>686300000</v>
      </c>
    </row>
    <row r="13" spans="3:29" ht="18.75">
      <c r="C13" s="521" t="s">
        <v>3790</v>
      </c>
      <c r="D13" s="510">
        <v>64900000</v>
      </c>
      <c r="E13" s="510">
        <v>31200000</v>
      </c>
      <c r="F13" s="510"/>
      <c r="G13" s="510"/>
      <c r="H13" s="510"/>
      <c r="I13" s="510"/>
      <c r="J13" s="510"/>
      <c r="K13" s="510">
        <v>6000000</v>
      </c>
      <c r="L13" s="510"/>
      <c r="M13" s="510">
        <v>253324000</v>
      </c>
      <c r="N13" s="510">
        <v>30000000</v>
      </c>
      <c r="O13" s="510">
        <v>1500000</v>
      </c>
      <c r="P13" s="510">
        <v>386924000</v>
      </c>
    </row>
    <row r="14" spans="3:29" ht="18.75">
      <c r="C14" s="521" t="s">
        <v>3792</v>
      </c>
      <c r="D14" s="510">
        <v>71456000</v>
      </c>
      <c r="E14" s="510">
        <v>18200000</v>
      </c>
      <c r="F14" s="510"/>
      <c r="G14" s="510"/>
      <c r="H14" s="510"/>
      <c r="I14" s="510"/>
      <c r="J14" s="510"/>
      <c r="K14" s="510">
        <v>5000000</v>
      </c>
      <c r="L14" s="510"/>
      <c r="M14" s="510">
        <v>138160000</v>
      </c>
      <c r="N14" s="510">
        <v>15000000</v>
      </c>
      <c r="O14" s="510"/>
      <c r="P14" s="510">
        <v>247816000</v>
      </c>
    </row>
    <row r="15" spans="3:29" ht="18.75">
      <c r="C15" s="521" t="s">
        <v>3806</v>
      </c>
      <c r="D15" s="510">
        <v>20830000</v>
      </c>
      <c r="E15" s="510">
        <v>7200000</v>
      </c>
      <c r="F15" s="510"/>
      <c r="G15" s="510"/>
      <c r="H15" s="510"/>
      <c r="I15" s="510"/>
      <c r="J15" s="510"/>
      <c r="K15" s="510">
        <v>500000</v>
      </c>
      <c r="L15" s="510"/>
      <c r="M15" s="510">
        <v>23030000</v>
      </c>
      <c r="N15" s="510"/>
      <c r="O15" s="510"/>
      <c r="P15" s="510">
        <v>51560000</v>
      </c>
    </row>
    <row r="16" spans="3:29" ht="18.75">
      <c r="C16" s="501" t="s">
        <v>531</v>
      </c>
      <c r="D16" s="502">
        <v>13500000</v>
      </c>
      <c r="E16" s="502">
        <v>15300000</v>
      </c>
      <c r="F16" s="502"/>
      <c r="G16" s="502"/>
      <c r="H16" s="502"/>
      <c r="I16" s="502"/>
      <c r="J16" s="502"/>
      <c r="K16" s="502">
        <v>8884000</v>
      </c>
      <c r="L16" s="502"/>
      <c r="M16" s="502">
        <v>97416000</v>
      </c>
      <c r="N16" s="502"/>
      <c r="O16" s="502"/>
      <c r="P16" s="502">
        <v>135100000</v>
      </c>
    </row>
    <row r="17" spans="3:16" ht="18.75">
      <c r="C17" s="520" t="s">
        <v>3793</v>
      </c>
      <c r="D17" s="514">
        <v>13500000</v>
      </c>
      <c r="E17" s="514">
        <v>15300000</v>
      </c>
      <c r="F17" s="514"/>
      <c r="G17" s="514"/>
      <c r="H17" s="514"/>
      <c r="I17" s="514"/>
      <c r="J17" s="514"/>
      <c r="K17" s="514">
        <v>8884000</v>
      </c>
      <c r="L17" s="514"/>
      <c r="M17" s="514">
        <v>97416000</v>
      </c>
      <c r="N17" s="514"/>
      <c r="O17" s="514"/>
      <c r="P17" s="514">
        <v>135100000</v>
      </c>
    </row>
    <row r="18" spans="3:16" ht="18.75">
      <c r="C18" s="521" t="s">
        <v>3794</v>
      </c>
      <c r="D18" s="510">
        <v>13500000</v>
      </c>
      <c r="E18" s="510">
        <v>15300000</v>
      </c>
      <c r="F18" s="510"/>
      <c r="G18" s="510"/>
      <c r="H18" s="510"/>
      <c r="I18" s="510"/>
      <c r="J18" s="510"/>
      <c r="K18" s="510">
        <v>8884000</v>
      </c>
      <c r="L18" s="510"/>
      <c r="M18" s="510">
        <v>97416000</v>
      </c>
      <c r="N18" s="510"/>
      <c r="O18" s="510"/>
      <c r="P18" s="510">
        <v>135100000</v>
      </c>
    </row>
    <row r="19" spans="3:16" ht="18.75">
      <c r="C19" s="497" t="s">
        <v>524</v>
      </c>
      <c r="D19" s="498">
        <v>60625000</v>
      </c>
      <c r="E19" s="498">
        <v>24000000</v>
      </c>
      <c r="F19" s="498"/>
      <c r="G19" s="498"/>
      <c r="H19" s="498"/>
      <c r="I19" s="498"/>
      <c r="J19" s="498"/>
      <c r="K19" s="498"/>
      <c r="L19" s="498"/>
      <c r="M19" s="498">
        <v>93975000</v>
      </c>
      <c r="N19" s="498"/>
      <c r="O19" s="498"/>
      <c r="P19" s="498">
        <v>178600000</v>
      </c>
    </row>
    <row r="20" spans="3:16" ht="18.75">
      <c r="C20" s="501" t="s">
        <v>525</v>
      </c>
      <c r="D20" s="502">
        <v>39375000</v>
      </c>
      <c r="E20" s="502">
        <v>24000000</v>
      </c>
      <c r="F20" s="502"/>
      <c r="G20" s="502"/>
      <c r="H20" s="502"/>
      <c r="I20" s="502"/>
      <c r="J20" s="502"/>
      <c r="K20" s="502"/>
      <c r="L20" s="502"/>
      <c r="M20" s="502">
        <v>60725000</v>
      </c>
      <c r="N20" s="502"/>
      <c r="O20" s="502"/>
      <c r="P20" s="502">
        <v>124100000</v>
      </c>
    </row>
    <row r="21" spans="3:16" ht="18.75">
      <c r="C21" s="520" t="s">
        <v>3784</v>
      </c>
      <c r="D21" s="514">
        <v>39375000</v>
      </c>
      <c r="E21" s="514">
        <v>24000000</v>
      </c>
      <c r="F21" s="514"/>
      <c r="G21" s="514"/>
      <c r="H21" s="514"/>
      <c r="I21" s="514"/>
      <c r="J21" s="514"/>
      <c r="K21" s="514"/>
      <c r="L21" s="514"/>
      <c r="M21" s="514">
        <v>60725000</v>
      </c>
      <c r="N21" s="514"/>
      <c r="O21" s="514"/>
      <c r="P21" s="514">
        <v>124100000</v>
      </c>
    </row>
    <row r="22" spans="3:16" ht="18.75">
      <c r="C22" s="521" t="s">
        <v>3785</v>
      </c>
      <c r="D22" s="510">
        <v>19875000</v>
      </c>
      <c r="E22" s="510">
        <v>20000000</v>
      </c>
      <c r="F22" s="510"/>
      <c r="G22" s="510"/>
      <c r="H22" s="510"/>
      <c r="I22" s="510"/>
      <c r="J22" s="510"/>
      <c r="K22" s="510"/>
      <c r="L22" s="510"/>
      <c r="M22" s="510">
        <v>43260000</v>
      </c>
      <c r="N22" s="510"/>
      <c r="O22" s="510"/>
      <c r="P22" s="510">
        <v>83135000</v>
      </c>
    </row>
    <row r="23" spans="3:16" ht="18.75">
      <c r="C23" s="521" t="s">
        <v>3787</v>
      </c>
      <c r="D23" s="510">
        <v>19500000</v>
      </c>
      <c r="E23" s="510">
        <v>4000000</v>
      </c>
      <c r="F23" s="510"/>
      <c r="G23" s="510"/>
      <c r="H23" s="510"/>
      <c r="I23" s="510"/>
      <c r="J23" s="510"/>
      <c r="K23" s="510"/>
      <c r="L23" s="510"/>
      <c r="M23" s="510">
        <v>17465000</v>
      </c>
      <c r="N23" s="510"/>
      <c r="O23" s="510"/>
      <c r="P23" s="510">
        <v>40965000</v>
      </c>
    </row>
    <row r="24" spans="3:16" ht="18.75">
      <c r="C24" s="501" t="s">
        <v>527</v>
      </c>
      <c r="D24" s="502">
        <v>21250000</v>
      </c>
      <c r="E24" s="502"/>
      <c r="F24" s="502"/>
      <c r="G24" s="502"/>
      <c r="H24" s="502"/>
      <c r="I24" s="502"/>
      <c r="J24" s="502"/>
      <c r="K24" s="502"/>
      <c r="L24" s="502"/>
      <c r="M24" s="502">
        <v>33250000</v>
      </c>
      <c r="N24" s="502"/>
      <c r="O24" s="502"/>
      <c r="P24" s="502">
        <v>54500000</v>
      </c>
    </row>
    <row r="25" spans="3:16" ht="18.75">
      <c r="C25" s="520" t="s">
        <v>3788</v>
      </c>
      <c r="D25" s="514">
        <v>21250000</v>
      </c>
      <c r="E25" s="514"/>
      <c r="F25" s="514"/>
      <c r="G25" s="514"/>
      <c r="H25" s="514"/>
      <c r="I25" s="514"/>
      <c r="J25" s="514"/>
      <c r="K25" s="514"/>
      <c r="L25" s="514"/>
      <c r="M25" s="514">
        <v>33250000</v>
      </c>
      <c r="N25" s="514"/>
      <c r="O25" s="514"/>
      <c r="P25" s="514">
        <v>54500000</v>
      </c>
    </row>
    <row r="26" spans="3:16" ht="18.75">
      <c r="C26" s="521" t="s">
        <v>3805</v>
      </c>
      <c r="D26" s="510">
        <v>21250000</v>
      </c>
      <c r="E26" s="510"/>
      <c r="F26" s="510"/>
      <c r="G26" s="510"/>
      <c r="H26" s="510"/>
      <c r="I26" s="510"/>
      <c r="J26" s="510"/>
      <c r="K26" s="510"/>
      <c r="L26" s="510"/>
      <c r="M26" s="510">
        <v>33250000</v>
      </c>
      <c r="N26" s="510"/>
      <c r="O26" s="510"/>
      <c r="P26" s="510">
        <v>54500000</v>
      </c>
    </row>
    <row r="27" spans="3:16" ht="18.75">
      <c r="C27" s="493" t="s">
        <v>3796</v>
      </c>
      <c r="D27" s="494">
        <v>461075000</v>
      </c>
      <c r="E27" s="494">
        <v>180482000</v>
      </c>
      <c r="F27" s="494">
        <v>533050000</v>
      </c>
      <c r="G27" s="494">
        <v>121852000</v>
      </c>
      <c r="H27" s="494">
        <v>58360000</v>
      </c>
      <c r="I27" s="494">
        <v>1177236000</v>
      </c>
      <c r="J27" s="494">
        <v>654200000</v>
      </c>
      <c r="K27" s="494">
        <v>7786235000</v>
      </c>
      <c r="L27" s="494">
        <v>30000000</v>
      </c>
      <c r="M27" s="494">
        <v>1522154000</v>
      </c>
      <c r="N27" s="494">
        <v>348160000</v>
      </c>
      <c r="O27" s="494">
        <v>3000000</v>
      </c>
      <c r="P27" s="494">
        <v>12875804000</v>
      </c>
    </row>
    <row r="28" spans="3:16" ht="18.75">
      <c r="C28" s="493" t="s">
        <v>3797</v>
      </c>
      <c r="D28" s="494">
        <v>299975000</v>
      </c>
      <c r="E28" s="494">
        <v>56882000</v>
      </c>
      <c r="F28" s="494">
        <v>533050000</v>
      </c>
      <c r="G28" s="494">
        <v>121852000</v>
      </c>
      <c r="H28" s="494">
        <v>58360000</v>
      </c>
      <c r="I28" s="494">
        <v>1177236000</v>
      </c>
      <c r="J28" s="494">
        <v>654200000</v>
      </c>
      <c r="K28" s="494">
        <v>123676000</v>
      </c>
      <c r="L28" s="494">
        <v>30000000</v>
      </c>
      <c r="M28" s="494">
        <v>971913000</v>
      </c>
      <c r="N28" s="494">
        <v>263160000</v>
      </c>
      <c r="O28" s="494">
        <v>3000000</v>
      </c>
      <c r="P28" s="494">
        <v>4293304000</v>
      </c>
    </row>
    <row r="29" spans="3:16" ht="18.75">
      <c r="C29" s="497" t="s">
        <v>528</v>
      </c>
      <c r="D29" s="498">
        <v>4000000</v>
      </c>
      <c r="E29" s="498"/>
      <c r="F29" s="498"/>
      <c r="G29" s="498"/>
      <c r="H29" s="498"/>
      <c r="I29" s="498"/>
      <c r="J29" s="498"/>
      <c r="K29" s="498">
        <v>4298000</v>
      </c>
      <c r="L29" s="498"/>
      <c r="M29" s="498">
        <v>9059000</v>
      </c>
      <c r="N29" s="498"/>
      <c r="O29" s="498"/>
      <c r="P29" s="498">
        <v>17357000</v>
      </c>
    </row>
    <row r="30" spans="3:16" ht="18.75">
      <c r="C30" s="501" t="s">
        <v>531</v>
      </c>
      <c r="D30" s="502">
        <v>4000000</v>
      </c>
      <c r="E30" s="502"/>
      <c r="F30" s="502"/>
      <c r="G30" s="502"/>
      <c r="H30" s="502"/>
      <c r="I30" s="502"/>
      <c r="J30" s="502"/>
      <c r="K30" s="502">
        <v>4298000</v>
      </c>
      <c r="L30" s="502"/>
      <c r="M30" s="502">
        <v>9059000</v>
      </c>
      <c r="N30" s="502"/>
      <c r="O30" s="502"/>
      <c r="P30" s="502">
        <v>17357000</v>
      </c>
    </row>
    <row r="31" spans="3:16" ht="18.75">
      <c r="C31" s="520" t="s">
        <v>3817</v>
      </c>
      <c r="D31" s="514">
        <v>4000000</v>
      </c>
      <c r="E31" s="514"/>
      <c r="F31" s="514"/>
      <c r="G31" s="514"/>
      <c r="H31" s="514"/>
      <c r="I31" s="514"/>
      <c r="J31" s="514"/>
      <c r="K31" s="514">
        <v>4298000</v>
      </c>
      <c r="L31" s="514"/>
      <c r="M31" s="514">
        <v>9059000</v>
      </c>
      <c r="N31" s="514"/>
      <c r="O31" s="514"/>
      <c r="P31" s="514">
        <v>17357000</v>
      </c>
    </row>
    <row r="32" spans="3:16" ht="18.75">
      <c r="C32" s="521" t="s">
        <v>3822</v>
      </c>
      <c r="D32" s="510">
        <v>4000000</v>
      </c>
      <c r="E32" s="510"/>
      <c r="F32" s="510"/>
      <c r="G32" s="510"/>
      <c r="H32" s="510"/>
      <c r="I32" s="510"/>
      <c r="J32" s="510"/>
      <c r="K32" s="510">
        <v>4298000</v>
      </c>
      <c r="L32" s="510"/>
      <c r="M32" s="510">
        <v>9059000</v>
      </c>
      <c r="N32" s="510"/>
      <c r="O32" s="510"/>
      <c r="P32" s="510">
        <v>17357000</v>
      </c>
    </row>
    <row r="33" spans="3:16" ht="18.75">
      <c r="C33" s="497" t="s">
        <v>524</v>
      </c>
      <c r="D33" s="498">
        <v>30100000</v>
      </c>
      <c r="E33" s="498">
        <v>49000000</v>
      </c>
      <c r="F33" s="498"/>
      <c r="G33" s="498"/>
      <c r="H33" s="498"/>
      <c r="I33" s="498"/>
      <c r="J33" s="498"/>
      <c r="K33" s="498">
        <v>28843000</v>
      </c>
      <c r="L33" s="498"/>
      <c r="M33" s="498">
        <v>85826000</v>
      </c>
      <c r="N33" s="498"/>
      <c r="O33" s="498"/>
      <c r="P33" s="498">
        <v>193769000</v>
      </c>
    </row>
    <row r="34" spans="3:16" ht="18.75">
      <c r="C34" s="501" t="s">
        <v>525</v>
      </c>
      <c r="D34" s="502">
        <v>12550000</v>
      </c>
      <c r="E34" s="502">
        <v>9000000</v>
      </c>
      <c r="F34" s="502"/>
      <c r="G34" s="502"/>
      <c r="H34" s="502"/>
      <c r="I34" s="502"/>
      <c r="J34" s="502"/>
      <c r="K34" s="502">
        <v>1192000</v>
      </c>
      <c r="L34" s="502"/>
      <c r="M34" s="502">
        <v>60764000</v>
      </c>
      <c r="N34" s="502"/>
      <c r="O34" s="502"/>
      <c r="P34" s="502">
        <v>83506000</v>
      </c>
    </row>
    <row r="35" spans="3:16" ht="18.75">
      <c r="C35" s="520" t="s">
        <v>3817</v>
      </c>
      <c r="D35" s="514">
        <v>12550000</v>
      </c>
      <c r="E35" s="514">
        <v>9000000</v>
      </c>
      <c r="F35" s="514"/>
      <c r="G35" s="514"/>
      <c r="H35" s="514"/>
      <c r="I35" s="514"/>
      <c r="J35" s="514"/>
      <c r="K35" s="514">
        <v>1192000</v>
      </c>
      <c r="L35" s="514"/>
      <c r="M35" s="514">
        <v>60764000</v>
      </c>
      <c r="N35" s="514"/>
      <c r="O35" s="514"/>
      <c r="P35" s="514">
        <v>83506000</v>
      </c>
    </row>
    <row r="36" spans="3:16" ht="18.75">
      <c r="C36" s="521" t="s">
        <v>3823</v>
      </c>
      <c r="D36" s="510">
        <v>12550000</v>
      </c>
      <c r="E36" s="510">
        <v>9000000</v>
      </c>
      <c r="F36" s="510"/>
      <c r="G36" s="510"/>
      <c r="H36" s="510"/>
      <c r="I36" s="510"/>
      <c r="J36" s="510"/>
      <c r="K36" s="510">
        <v>1192000</v>
      </c>
      <c r="L36" s="510"/>
      <c r="M36" s="510">
        <v>60764000</v>
      </c>
      <c r="N36" s="510"/>
      <c r="O36" s="510"/>
      <c r="P36" s="510">
        <v>83506000</v>
      </c>
    </row>
    <row r="37" spans="3:16" ht="18.75">
      <c r="C37" s="501" t="s">
        <v>527</v>
      </c>
      <c r="D37" s="502">
        <v>17550000</v>
      </c>
      <c r="E37" s="502">
        <v>40000000</v>
      </c>
      <c r="F37" s="502"/>
      <c r="G37" s="502"/>
      <c r="H37" s="502"/>
      <c r="I37" s="502"/>
      <c r="J37" s="502"/>
      <c r="K37" s="502">
        <v>27651000</v>
      </c>
      <c r="L37" s="502"/>
      <c r="M37" s="502">
        <v>25062000</v>
      </c>
      <c r="N37" s="502"/>
      <c r="O37" s="502"/>
      <c r="P37" s="502">
        <v>110263000</v>
      </c>
    </row>
    <row r="38" spans="3:16" ht="18.75">
      <c r="C38" s="520" t="s">
        <v>3817</v>
      </c>
      <c r="D38" s="514">
        <v>17550000</v>
      </c>
      <c r="E38" s="514">
        <v>40000000</v>
      </c>
      <c r="F38" s="514"/>
      <c r="G38" s="514"/>
      <c r="H38" s="514"/>
      <c r="I38" s="514"/>
      <c r="J38" s="514"/>
      <c r="K38" s="514">
        <v>27651000</v>
      </c>
      <c r="L38" s="514"/>
      <c r="M38" s="514">
        <v>25062000</v>
      </c>
      <c r="N38" s="514"/>
      <c r="O38" s="514"/>
      <c r="P38" s="514">
        <v>110263000</v>
      </c>
    </row>
    <row r="39" spans="3:16" ht="18.75">
      <c r="C39" s="521" t="s">
        <v>3825</v>
      </c>
      <c r="D39" s="510">
        <v>17550000</v>
      </c>
      <c r="E39" s="510">
        <v>40000000</v>
      </c>
      <c r="F39" s="510"/>
      <c r="G39" s="510"/>
      <c r="H39" s="510"/>
      <c r="I39" s="510"/>
      <c r="J39" s="510"/>
      <c r="K39" s="510">
        <v>27651000</v>
      </c>
      <c r="L39" s="510"/>
      <c r="M39" s="510">
        <v>25062000</v>
      </c>
      <c r="N39" s="510"/>
      <c r="O39" s="510"/>
      <c r="P39" s="510">
        <v>110263000</v>
      </c>
    </row>
    <row r="40" spans="3:16" ht="18.75">
      <c r="C40" s="497" t="s">
        <v>532</v>
      </c>
      <c r="D40" s="498">
        <v>106075000</v>
      </c>
      <c r="E40" s="498"/>
      <c r="F40" s="498"/>
      <c r="G40" s="498"/>
      <c r="H40" s="498"/>
      <c r="I40" s="498"/>
      <c r="J40" s="498"/>
      <c r="K40" s="498">
        <v>8000000</v>
      </c>
      <c r="L40" s="498"/>
      <c r="M40" s="498">
        <v>292141000</v>
      </c>
      <c r="N40" s="498">
        <v>57500000</v>
      </c>
      <c r="O40" s="498"/>
      <c r="P40" s="498">
        <v>463716000</v>
      </c>
    </row>
    <row r="41" spans="3:16" ht="18.75">
      <c r="C41" s="501" t="s">
        <v>570</v>
      </c>
      <c r="D41" s="502">
        <v>54675000</v>
      </c>
      <c r="E41" s="502"/>
      <c r="F41" s="502"/>
      <c r="G41" s="502"/>
      <c r="H41" s="502"/>
      <c r="I41" s="502"/>
      <c r="J41" s="502"/>
      <c r="K41" s="502">
        <v>6000000</v>
      </c>
      <c r="L41" s="502"/>
      <c r="M41" s="502">
        <v>109123000</v>
      </c>
      <c r="N41" s="502"/>
      <c r="O41" s="502"/>
      <c r="P41" s="502">
        <v>169798000</v>
      </c>
    </row>
    <row r="42" spans="3:16" ht="18.75">
      <c r="C42" s="520" t="s">
        <v>3849</v>
      </c>
      <c r="D42" s="514">
        <v>36775000</v>
      </c>
      <c r="E42" s="514"/>
      <c r="F42" s="514"/>
      <c r="G42" s="514"/>
      <c r="H42" s="514"/>
      <c r="I42" s="514"/>
      <c r="J42" s="514"/>
      <c r="K42" s="514">
        <v>4000000</v>
      </c>
      <c r="L42" s="514"/>
      <c r="M42" s="514">
        <v>78954000</v>
      </c>
      <c r="N42" s="514"/>
      <c r="O42" s="514"/>
      <c r="P42" s="514">
        <v>119729000</v>
      </c>
    </row>
    <row r="43" spans="3:16" ht="18.75">
      <c r="C43" s="521" t="s">
        <v>3801</v>
      </c>
      <c r="D43" s="510">
        <v>23250000</v>
      </c>
      <c r="E43" s="510"/>
      <c r="F43" s="510"/>
      <c r="G43" s="510"/>
      <c r="H43" s="510"/>
      <c r="I43" s="510"/>
      <c r="J43" s="510"/>
      <c r="K43" s="510">
        <v>2000000</v>
      </c>
      <c r="L43" s="510"/>
      <c r="M43" s="510">
        <v>18539000</v>
      </c>
      <c r="N43" s="510"/>
      <c r="O43" s="510"/>
      <c r="P43" s="510">
        <v>43789000</v>
      </c>
    </row>
    <row r="44" spans="3:16" ht="18.75">
      <c r="C44" s="521" t="s">
        <v>3802</v>
      </c>
      <c r="D44" s="510">
        <v>13525000</v>
      </c>
      <c r="E44" s="510"/>
      <c r="F44" s="510"/>
      <c r="G44" s="510"/>
      <c r="H44" s="510"/>
      <c r="I44" s="510"/>
      <c r="J44" s="510"/>
      <c r="K44" s="510">
        <v>2000000</v>
      </c>
      <c r="L44" s="510"/>
      <c r="M44" s="510">
        <v>60415000</v>
      </c>
      <c r="N44" s="510"/>
      <c r="O44" s="510"/>
      <c r="P44" s="510">
        <v>75940000</v>
      </c>
    </row>
    <row r="45" spans="3:16" ht="18.75">
      <c r="C45" s="520" t="s">
        <v>3851</v>
      </c>
      <c r="D45" s="514">
        <v>17900000</v>
      </c>
      <c r="E45" s="514"/>
      <c r="F45" s="514"/>
      <c r="G45" s="514"/>
      <c r="H45" s="514"/>
      <c r="I45" s="514"/>
      <c r="J45" s="514"/>
      <c r="K45" s="514">
        <v>2000000</v>
      </c>
      <c r="L45" s="514"/>
      <c r="M45" s="514">
        <v>30169000</v>
      </c>
      <c r="N45" s="514"/>
      <c r="O45" s="514"/>
      <c r="P45" s="514">
        <v>50069000</v>
      </c>
    </row>
    <row r="46" spans="3:16" ht="18.75">
      <c r="C46" s="521" t="s">
        <v>3852</v>
      </c>
      <c r="D46" s="510">
        <v>17900000</v>
      </c>
      <c r="E46" s="510"/>
      <c r="F46" s="510"/>
      <c r="G46" s="510"/>
      <c r="H46" s="510"/>
      <c r="I46" s="510"/>
      <c r="J46" s="510"/>
      <c r="K46" s="510">
        <v>2000000</v>
      </c>
      <c r="L46" s="510"/>
      <c r="M46" s="510">
        <v>30169000</v>
      </c>
      <c r="N46" s="510"/>
      <c r="O46" s="510"/>
      <c r="P46" s="510">
        <v>50069000</v>
      </c>
    </row>
    <row r="47" spans="3:16" ht="18.75">
      <c r="C47" s="501" t="s">
        <v>533</v>
      </c>
      <c r="D47" s="502">
        <v>51400000</v>
      </c>
      <c r="E47" s="502"/>
      <c r="F47" s="502"/>
      <c r="G47" s="502"/>
      <c r="H47" s="502"/>
      <c r="I47" s="502"/>
      <c r="J47" s="502"/>
      <c r="K47" s="502">
        <v>2000000</v>
      </c>
      <c r="L47" s="502"/>
      <c r="M47" s="502">
        <v>183018000</v>
      </c>
      <c r="N47" s="502">
        <v>57500000</v>
      </c>
      <c r="O47" s="502"/>
      <c r="P47" s="502">
        <v>293918000</v>
      </c>
    </row>
    <row r="48" spans="3:16" ht="18.75">
      <c r="C48" s="520" t="s">
        <v>3845</v>
      </c>
      <c r="D48" s="514">
        <v>39000000</v>
      </c>
      <c r="E48" s="514"/>
      <c r="F48" s="514"/>
      <c r="G48" s="514"/>
      <c r="H48" s="514"/>
      <c r="I48" s="514"/>
      <c r="J48" s="514"/>
      <c r="K48" s="514">
        <v>2000000</v>
      </c>
      <c r="L48" s="514"/>
      <c r="M48" s="514">
        <v>92072000</v>
      </c>
      <c r="N48" s="514">
        <v>47500000</v>
      </c>
      <c r="O48" s="514"/>
      <c r="P48" s="514">
        <v>180572000</v>
      </c>
    </row>
    <row r="49" spans="3:16" ht="18.75">
      <c r="C49" s="521" t="s">
        <v>3846</v>
      </c>
      <c r="D49" s="510">
        <v>6000000</v>
      </c>
      <c r="E49" s="510"/>
      <c r="F49" s="510"/>
      <c r="G49" s="510"/>
      <c r="H49" s="510"/>
      <c r="I49" s="510"/>
      <c r="J49" s="510"/>
      <c r="K49" s="510">
        <v>1000000</v>
      </c>
      <c r="L49" s="510"/>
      <c r="M49" s="510">
        <v>5164000</v>
      </c>
      <c r="N49" s="510">
        <v>10000000</v>
      </c>
      <c r="O49" s="510"/>
      <c r="P49" s="510">
        <v>22164000</v>
      </c>
    </row>
    <row r="50" spans="3:16" ht="18.75">
      <c r="C50" s="521" t="s">
        <v>3847</v>
      </c>
      <c r="D50" s="510">
        <v>12000000</v>
      </c>
      <c r="E50" s="510"/>
      <c r="F50" s="510"/>
      <c r="G50" s="510"/>
      <c r="H50" s="510"/>
      <c r="I50" s="510"/>
      <c r="J50" s="510"/>
      <c r="K50" s="510">
        <v>1000000</v>
      </c>
      <c r="L50" s="510"/>
      <c r="M50" s="510">
        <v>45000000</v>
      </c>
      <c r="N50" s="510">
        <v>20000000</v>
      </c>
      <c r="O50" s="510"/>
      <c r="P50" s="510">
        <v>78000000</v>
      </c>
    </row>
    <row r="51" spans="3:16" ht="18.75">
      <c r="C51" s="521" t="s">
        <v>3848</v>
      </c>
      <c r="D51" s="510">
        <v>21000000</v>
      </c>
      <c r="E51" s="510"/>
      <c r="F51" s="510"/>
      <c r="G51" s="510"/>
      <c r="H51" s="510"/>
      <c r="I51" s="510"/>
      <c r="J51" s="510"/>
      <c r="K51" s="510"/>
      <c r="L51" s="510"/>
      <c r="M51" s="510">
        <v>41908000</v>
      </c>
      <c r="N51" s="510">
        <v>17500000</v>
      </c>
      <c r="O51" s="510"/>
      <c r="P51" s="510">
        <v>80408000</v>
      </c>
    </row>
    <row r="52" spans="3:16" ht="18.75">
      <c r="C52" s="520" t="s">
        <v>3815</v>
      </c>
      <c r="D52" s="514">
        <v>12400000</v>
      </c>
      <c r="E52" s="514"/>
      <c r="F52" s="514"/>
      <c r="G52" s="514"/>
      <c r="H52" s="514"/>
      <c r="I52" s="514"/>
      <c r="J52" s="514"/>
      <c r="K52" s="514"/>
      <c r="L52" s="514"/>
      <c r="M52" s="514">
        <v>90946000</v>
      </c>
      <c r="N52" s="514">
        <v>10000000</v>
      </c>
      <c r="O52" s="514"/>
      <c r="P52" s="514">
        <v>113346000</v>
      </c>
    </row>
    <row r="53" spans="3:16" ht="18.75">
      <c r="C53" s="521" t="s">
        <v>3814</v>
      </c>
      <c r="D53" s="510">
        <v>12400000</v>
      </c>
      <c r="E53" s="510"/>
      <c r="F53" s="510"/>
      <c r="G53" s="510"/>
      <c r="H53" s="510"/>
      <c r="I53" s="510"/>
      <c r="J53" s="510"/>
      <c r="K53" s="510"/>
      <c r="L53" s="510"/>
      <c r="M53" s="510">
        <v>90946000</v>
      </c>
      <c r="N53" s="510">
        <v>10000000</v>
      </c>
      <c r="O53" s="510"/>
      <c r="P53" s="510">
        <v>113346000</v>
      </c>
    </row>
    <row r="54" spans="3:16" ht="18.75">
      <c r="C54" s="497" t="s">
        <v>565</v>
      </c>
      <c r="D54" s="498">
        <v>159800000</v>
      </c>
      <c r="E54" s="498">
        <v>7882000</v>
      </c>
      <c r="F54" s="498">
        <v>533050000</v>
      </c>
      <c r="G54" s="498">
        <v>121852000</v>
      </c>
      <c r="H54" s="498">
        <v>58360000</v>
      </c>
      <c r="I54" s="498">
        <v>1177236000</v>
      </c>
      <c r="J54" s="498">
        <v>654200000</v>
      </c>
      <c r="K54" s="498">
        <v>82535000</v>
      </c>
      <c r="L54" s="498">
        <v>30000000</v>
      </c>
      <c r="M54" s="498">
        <v>584887000</v>
      </c>
      <c r="N54" s="498">
        <v>205660000</v>
      </c>
      <c r="O54" s="498">
        <v>3000000</v>
      </c>
      <c r="P54" s="498">
        <v>3618462000</v>
      </c>
    </row>
    <row r="55" spans="3:16" ht="18.75">
      <c r="C55" s="501" t="s">
        <v>535</v>
      </c>
      <c r="D55" s="502">
        <v>59700000</v>
      </c>
      <c r="E55" s="502"/>
      <c r="F55" s="502"/>
      <c r="G55" s="502"/>
      <c r="H55" s="502"/>
      <c r="I55" s="502"/>
      <c r="J55" s="502"/>
      <c r="K55" s="502"/>
      <c r="L55" s="502"/>
      <c r="M55" s="502">
        <v>110720000</v>
      </c>
      <c r="N55" s="502">
        <v>27500000</v>
      </c>
      <c r="O55" s="502"/>
      <c r="P55" s="502">
        <v>197920000</v>
      </c>
    </row>
    <row r="56" spans="3:16" ht="18.75">
      <c r="C56" s="520" t="s">
        <v>3854</v>
      </c>
      <c r="D56" s="514">
        <v>59700000</v>
      </c>
      <c r="E56" s="514"/>
      <c r="F56" s="514"/>
      <c r="G56" s="514"/>
      <c r="H56" s="514"/>
      <c r="I56" s="514"/>
      <c r="J56" s="514"/>
      <c r="K56" s="514"/>
      <c r="L56" s="514"/>
      <c r="M56" s="514">
        <v>110720000</v>
      </c>
      <c r="N56" s="514">
        <v>27500000</v>
      </c>
      <c r="O56" s="514"/>
      <c r="P56" s="514">
        <v>197920000</v>
      </c>
    </row>
    <row r="57" spans="3:16" ht="18.75">
      <c r="C57" s="521" t="s">
        <v>3855</v>
      </c>
      <c r="D57" s="510">
        <v>18400000</v>
      </c>
      <c r="E57" s="510"/>
      <c r="F57" s="510"/>
      <c r="G57" s="510"/>
      <c r="H57" s="510"/>
      <c r="I57" s="510"/>
      <c r="J57" s="510"/>
      <c r="K57" s="510"/>
      <c r="L57" s="510"/>
      <c r="M57" s="510">
        <v>8702000</v>
      </c>
      <c r="N57" s="510"/>
      <c r="O57" s="510"/>
      <c r="P57" s="510">
        <v>27102000</v>
      </c>
    </row>
    <row r="58" spans="3:16" ht="18.75">
      <c r="C58" s="521" t="s">
        <v>3856</v>
      </c>
      <c r="D58" s="510">
        <v>7500000</v>
      </c>
      <c r="E58" s="510"/>
      <c r="F58" s="510"/>
      <c r="G58" s="510"/>
      <c r="H58" s="510"/>
      <c r="I58" s="510"/>
      <c r="J58" s="510"/>
      <c r="K58" s="510"/>
      <c r="L58" s="510"/>
      <c r="M58" s="510">
        <v>5350000</v>
      </c>
      <c r="N58" s="510"/>
      <c r="O58" s="510"/>
      <c r="P58" s="510">
        <v>12850000</v>
      </c>
    </row>
    <row r="59" spans="3:16" ht="18.75">
      <c r="C59" s="521" t="s">
        <v>3857</v>
      </c>
      <c r="D59" s="510">
        <v>7500000</v>
      </c>
      <c r="E59" s="510"/>
      <c r="F59" s="510"/>
      <c r="G59" s="510"/>
      <c r="H59" s="510"/>
      <c r="I59" s="510"/>
      <c r="J59" s="510"/>
      <c r="K59" s="510"/>
      <c r="L59" s="510"/>
      <c r="M59" s="510"/>
      <c r="N59" s="510"/>
      <c r="O59" s="510"/>
      <c r="P59" s="510">
        <v>7500000</v>
      </c>
    </row>
    <row r="60" spans="3:16" ht="18.75">
      <c r="C60" s="521" t="s">
        <v>3858</v>
      </c>
      <c r="D60" s="510">
        <v>14000000</v>
      </c>
      <c r="E60" s="510"/>
      <c r="F60" s="510"/>
      <c r="G60" s="510"/>
      <c r="H60" s="510"/>
      <c r="I60" s="510"/>
      <c r="J60" s="510"/>
      <c r="K60" s="510"/>
      <c r="L60" s="510"/>
      <c r="M60" s="510">
        <v>20635000</v>
      </c>
      <c r="N60" s="510"/>
      <c r="O60" s="510"/>
      <c r="P60" s="510">
        <v>34635000</v>
      </c>
    </row>
    <row r="61" spans="3:16" ht="18.75">
      <c r="C61" s="521" t="s">
        <v>3859</v>
      </c>
      <c r="D61" s="510">
        <v>7500000</v>
      </c>
      <c r="E61" s="510"/>
      <c r="F61" s="510"/>
      <c r="G61" s="510"/>
      <c r="H61" s="510"/>
      <c r="I61" s="510"/>
      <c r="J61" s="510"/>
      <c r="K61" s="510"/>
      <c r="L61" s="510"/>
      <c r="M61" s="510"/>
      <c r="N61" s="510"/>
      <c r="O61" s="510"/>
      <c r="P61" s="510">
        <v>7500000</v>
      </c>
    </row>
    <row r="62" spans="3:16" ht="18.75">
      <c r="C62" s="521" t="s">
        <v>3860</v>
      </c>
      <c r="D62" s="510">
        <v>4800000</v>
      </c>
      <c r="E62" s="510"/>
      <c r="F62" s="510"/>
      <c r="G62" s="510"/>
      <c r="H62" s="510"/>
      <c r="I62" s="510"/>
      <c r="J62" s="510"/>
      <c r="K62" s="510"/>
      <c r="L62" s="510"/>
      <c r="M62" s="510">
        <v>76033000</v>
      </c>
      <c r="N62" s="510">
        <v>27500000</v>
      </c>
      <c r="O62" s="510"/>
      <c r="P62" s="510">
        <v>108333000</v>
      </c>
    </row>
    <row r="63" spans="3:16" ht="18.75">
      <c r="C63" s="501" t="s">
        <v>549</v>
      </c>
      <c r="D63" s="502">
        <v>100100000</v>
      </c>
      <c r="E63" s="502">
        <v>7882000</v>
      </c>
      <c r="F63" s="502">
        <v>533050000</v>
      </c>
      <c r="G63" s="502">
        <v>121852000</v>
      </c>
      <c r="H63" s="502">
        <v>58360000</v>
      </c>
      <c r="I63" s="502">
        <v>1177236000</v>
      </c>
      <c r="J63" s="502">
        <v>654200000</v>
      </c>
      <c r="K63" s="502">
        <v>82535000</v>
      </c>
      <c r="L63" s="502">
        <v>30000000</v>
      </c>
      <c r="M63" s="502">
        <v>474167000</v>
      </c>
      <c r="N63" s="502">
        <v>178160000</v>
      </c>
      <c r="O63" s="502">
        <v>3000000</v>
      </c>
      <c r="P63" s="502">
        <v>3420542000</v>
      </c>
    </row>
    <row r="64" spans="3:16" ht="18.75">
      <c r="C64" s="520" t="s">
        <v>3840</v>
      </c>
      <c r="D64" s="514"/>
      <c r="E64" s="514"/>
      <c r="F64" s="514"/>
      <c r="G64" s="514"/>
      <c r="H64" s="514"/>
      <c r="I64" s="514"/>
      <c r="J64" s="514">
        <v>540000000</v>
      </c>
      <c r="K64" s="514"/>
      <c r="L64" s="514"/>
      <c r="M64" s="514"/>
      <c r="N64" s="514"/>
      <c r="O64" s="514"/>
      <c r="P64" s="514">
        <v>540000000</v>
      </c>
    </row>
    <row r="65" spans="3:16" ht="18.75">
      <c r="C65" s="521" t="s">
        <v>3841</v>
      </c>
      <c r="D65" s="510"/>
      <c r="E65" s="510"/>
      <c r="F65" s="510"/>
      <c r="G65" s="510"/>
      <c r="H65" s="510"/>
      <c r="I65" s="510"/>
      <c r="J65" s="510">
        <v>540000000</v>
      </c>
      <c r="K65" s="510"/>
      <c r="L65" s="510"/>
      <c r="M65" s="510"/>
      <c r="N65" s="510"/>
      <c r="O65" s="510"/>
      <c r="P65" s="510">
        <v>540000000</v>
      </c>
    </row>
    <row r="66" spans="3:16" ht="18.75">
      <c r="C66" s="520" t="s">
        <v>3817</v>
      </c>
      <c r="D66" s="514">
        <v>100100000</v>
      </c>
      <c r="E66" s="514">
        <v>7882000</v>
      </c>
      <c r="F66" s="514"/>
      <c r="G66" s="514">
        <v>3000000</v>
      </c>
      <c r="H66" s="514"/>
      <c r="I66" s="514"/>
      <c r="J66" s="514"/>
      <c r="K66" s="514">
        <v>82535000</v>
      </c>
      <c r="L66" s="514"/>
      <c r="M66" s="514">
        <v>474167000</v>
      </c>
      <c r="N66" s="514"/>
      <c r="O66" s="514">
        <v>3000000</v>
      </c>
      <c r="P66" s="514">
        <v>670684000</v>
      </c>
    </row>
    <row r="67" spans="3:16" ht="18.75">
      <c r="C67" s="521" t="s">
        <v>3798</v>
      </c>
      <c r="D67" s="510">
        <v>5000000</v>
      </c>
      <c r="E67" s="510"/>
      <c r="F67" s="510"/>
      <c r="G67" s="510"/>
      <c r="H67" s="510"/>
      <c r="I67" s="510"/>
      <c r="J67" s="510"/>
      <c r="K67" s="510"/>
      <c r="L67" s="510"/>
      <c r="M67" s="510">
        <v>12989000</v>
      </c>
      <c r="N67" s="510"/>
      <c r="O67" s="510">
        <v>750000</v>
      </c>
      <c r="P67" s="510">
        <v>18739000</v>
      </c>
    </row>
    <row r="68" spans="3:16" ht="18.75">
      <c r="C68" s="521" t="s">
        <v>3799</v>
      </c>
      <c r="D68" s="510">
        <v>10000000</v>
      </c>
      <c r="E68" s="510">
        <v>2031000</v>
      </c>
      <c r="F68" s="510"/>
      <c r="G68" s="510"/>
      <c r="H68" s="510"/>
      <c r="I68" s="510"/>
      <c r="J68" s="510"/>
      <c r="K68" s="510"/>
      <c r="L68" s="510"/>
      <c r="M68" s="510">
        <v>373634000</v>
      </c>
      <c r="N68" s="510"/>
      <c r="O68" s="510"/>
      <c r="P68" s="510">
        <v>385665000</v>
      </c>
    </row>
    <row r="69" spans="3:16" ht="18.75">
      <c r="C69" s="521" t="s">
        <v>3819</v>
      </c>
      <c r="D69" s="510">
        <v>33500000</v>
      </c>
      <c r="E69" s="510"/>
      <c r="F69" s="510"/>
      <c r="G69" s="510">
        <v>3000000</v>
      </c>
      <c r="H69" s="510"/>
      <c r="I69" s="510"/>
      <c r="J69" s="510"/>
      <c r="K69" s="510"/>
      <c r="L69" s="510"/>
      <c r="M69" s="510">
        <v>18000000</v>
      </c>
      <c r="N69" s="510"/>
      <c r="O69" s="510">
        <v>2250000</v>
      </c>
      <c r="P69" s="510">
        <v>56750000</v>
      </c>
    </row>
    <row r="70" spans="3:16" ht="18.75">
      <c r="C70" s="521" t="s">
        <v>3800</v>
      </c>
      <c r="D70" s="510">
        <v>13500000</v>
      </c>
      <c r="E70" s="510"/>
      <c r="F70" s="510"/>
      <c r="G70" s="510"/>
      <c r="H70" s="510"/>
      <c r="I70" s="510"/>
      <c r="J70" s="510"/>
      <c r="K70" s="510"/>
      <c r="L70" s="510"/>
      <c r="M70" s="510">
        <v>47693000</v>
      </c>
      <c r="N70" s="510"/>
      <c r="O70" s="510"/>
      <c r="P70" s="510">
        <v>61193000</v>
      </c>
    </row>
    <row r="71" spans="3:16" ht="18.75">
      <c r="C71" s="521" t="s">
        <v>3820</v>
      </c>
      <c r="D71" s="510">
        <v>38100000</v>
      </c>
      <c r="E71" s="510">
        <v>5851000</v>
      </c>
      <c r="F71" s="510"/>
      <c r="G71" s="510"/>
      <c r="H71" s="510"/>
      <c r="I71" s="510"/>
      <c r="J71" s="510"/>
      <c r="K71" s="510">
        <v>82535000</v>
      </c>
      <c r="L71" s="510"/>
      <c r="M71" s="510">
        <v>21851000</v>
      </c>
      <c r="N71" s="510"/>
      <c r="O71" s="510"/>
      <c r="P71" s="510">
        <v>148337000</v>
      </c>
    </row>
    <row r="72" spans="3:16" ht="18.75">
      <c r="C72" s="520" t="s">
        <v>3811</v>
      </c>
      <c r="D72" s="514"/>
      <c r="E72" s="514"/>
      <c r="F72" s="514"/>
      <c r="G72" s="514"/>
      <c r="H72" s="514"/>
      <c r="I72" s="514"/>
      <c r="J72" s="514">
        <v>114200000</v>
      </c>
      <c r="K72" s="514"/>
      <c r="L72" s="514"/>
      <c r="M72" s="514"/>
      <c r="N72" s="514"/>
      <c r="O72" s="514"/>
      <c r="P72" s="514">
        <v>114200000</v>
      </c>
    </row>
    <row r="73" spans="3:16" ht="18.75">
      <c r="C73" s="521" t="s">
        <v>3810</v>
      </c>
      <c r="D73" s="510"/>
      <c r="E73" s="510"/>
      <c r="F73" s="510"/>
      <c r="G73" s="510"/>
      <c r="H73" s="510"/>
      <c r="I73" s="510"/>
      <c r="J73" s="510">
        <v>114200000</v>
      </c>
      <c r="K73" s="510"/>
      <c r="L73" s="510"/>
      <c r="M73" s="510"/>
      <c r="N73" s="510"/>
      <c r="O73" s="510"/>
      <c r="P73" s="510">
        <v>114200000</v>
      </c>
    </row>
    <row r="74" spans="3:16" ht="18.75">
      <c r="C74" s="520" t="s">
        <v>3734</v>
      </c>
      <c r="D74" s="514"/>
      <c r="E74" s="514"/>
      <c r="F74" s="514">
        <v>533050000</v>
      </c>
      <c r="G74" s="514">
        <v>118852000</v>
      </c>
      <c r="H74" s="514">
        <v>58360000</v>
      </c>
      <c r="I74" s="514">
        <v>1177236000</v>
      </c>
      <c r="J74" s="514"/>
      <c r="K74" s="514"/>
      <c r="L74" s="514">
        <v>30000000</v>
      </c>
      <c r="M74" s="514"/>
      <c r="N74" s="514">
        <v>178160000</v>
      </c>
      <c r="O74" s="514"/>
      <c r="P74" s="514">
        <v>2095658000</v>
      </c>
    </row>
    <row r="75" spans="3:16" ht="18.75">
      <c r="C75" s="521" t="s">
        <v>3827</v>
      </c>
      <c r="D75" s="510"/>
      <c r="E75" s="510"/>
      <c r="F75" s="510"/>
      <c r="G75" s="510"/>
      <c r="H75" s="510"/>
      <c r="I75" s="510">
        <v>1076220000</v>
      </c>
      <c r="J75" s="510"/>
      <c r="K75" s="510"/>
      <c r="L75" s="510"/>
      <c r="M75" s="510"/>
      <c r="N75" s="510">
        <v>178160000</v>
      </c>
      <c r="O75" s="510"/>
      <c r="P75" s="510">
        <v>1254380000</v>
      </c>
    </row>
    <row r="76" spans="3:16" ht="18.75">
      <c r="C76" s="521" t="s">
        <v>3829</v>
      </c>
      <c r="D76" s="510"/>
      <c r="E76" s="510"/>
      <c r="F76" s="510"/>
      <c r="G76" s="510">
        <v>118852000</v>
      </c>
      <c r="H76" s="510"/>
      <c r="I76" s="510"/>
      <c r="J76" s="510"/>
      <c r="K76" s="510"/>
      <c r="L76" s="510">
        <v>30000000</v>
      </c>
      <c r="M76" s="510"/>
      <c r="N76" s="510"/>
      <c r="O76" s="510"/>
      <c r="P76" s="510">
        <v>148852000</v>
      </c>
    </row>
    <row r="77" spans="3:16" ht="18.75">
      <c r="C77" s="521" t="s">
        <v>3831</v>
      </c>
      <c r="D77" s="510"/>
      <c r="E77" s="510"/>
      <c r="F77" s="510">
        <v>533050000</v>
      </c>
      <c r="G77" s="510"/>
      <c r="H77" s="510"/>
      <c r="I77" s="510"/>
      <c r="J77" s="510"/>
      <c r="K77" s="510"/>
      <c r="L77" s="510"/>
      <c r="M77" s="510"/>
      <c r="N77" s="510"/>
      <c r="O77" s="510"/>
      <c r="P77" s="510">
        <v>533050000</v>
      </c>
    </row>
    <row r="78" spans="3:16" ht="18.75">
      <c r="C78" s="521" t="s">
        <v>3834</v>
      </c>
      <c r="D78" s="510"/>
      <c r="E78" s="510"/>
      <c r="F78" s="510"/>
      <c r="G78" s="510"/>
      <c r="H78" s="510">
        <v>58360000</v>
      </c>
      <c r="I78" s="510">
        <v>101016000</v>
      </c>
      <c r="J78" s="510"/>
      <c r="K78" s="510"/>
      <c r="L78" s="510"/>
      <c r="M78" s="510"/>
      <c r="N78" s="510"/>
      <c r="O78" s="510"/>
      <c r="P78" s="510">
        <v>159376000</v>
      </c>
    </row>
    <row r="79" spans="3:16" ht="18.75">
      <c r="C79" s="493" t="s">
        <v>3803</v>
      </c>
      <c r="D79" s="494">
        <v>161100000</v>
      </c>
      <c r="E79" s="494">
        <v>123600000</v>
      </c>
      <c r="F79" s="494"/>
      <c r="G79" s="494"/>
      <c r="H79" s="494"/>
      <c r="I79" s="494"/>
      <c r="J79" s="494"/>
      <c r="K79" s="494">
        <v>7662559000</v>
      </c>
      <c r="L79" s="494"/>
      <c r="M79" s="494">
        <v>550241000</v>
      </c>
      <c r="N79" s="494">
        <v>85000000</v>
      </c>
      <c r="O79" s="494"/>
      <c r="P79" s="494">
        <v>8582500000</v>
      </c>
    </row>
    <row r="80" spans="3:16" ht="18.75">
      <c r="C80" s="497" t="s">
        <v>532</v>
      </c>
      <c r="D80" s="498">
        <v>161100000</v>
      </c>
      <c r="E80" s="498">
        <v>123600000</v>
      </c>
      <c r="F80" s="498"/>
      <c r="G80" s="498"/>
      <c r="H80" s="498"/>
      <c r="I80" s="498"/>
      <c r="J80" s="498"/>
      <c r="K80" s="498">
        <v>7662559000</v>
      </c>
      <c r="L80" s="498"/>
      <c r="M80" s="498">
        <v>550241000</v>
      </c>
      <c r="N80" s="498">
        <v>85000000</v>
      </c>
      <c r="O80" s="498"/>
      <c r="P80" s="498">
        <v>8582500000</v>
      </c>
    </row>
    <row r="81" spans="3:16" ht="18.75">
      <c r="C81" s="501" t="s">
        <v>533</v>
      </c>
      <c r="D81" s="502">
        <v>161100000</v>
      </c>
      <c r="E81" s="502">
        <v>123600000</v>
      </c>
      <c r="F81" s="502"/>
      <c r="G81" s="502"/>
      <c r="H81" s="502"/>
      <c r="I81" s="502"/>
      <c r="J81" s="502"/>
      <c r="K81" s="502">
        <v>7662559000</v>
      </c>
      <c r="L81" s="502"/>
      <c r="M81" s="502">
        <v>550241000</v>
      </c>
      <c r="N81" s="502">
        <v>85000000</v>
      </c>
      <c r="O81" s="502"/>
      <c r="P81" s="502">
        <v>8582500000</v>
      </c>
    </row>
    <row r="82" spans="3:16" ht="18.75">
      <c r="C82" s="520" t="s">
        <v>3864</v>
      </c>
      <c r="D82" s="514">
        <v>136100000</v>
      </c>
      <c r="E82" s="514">
        <v>123600000</v>
      </c>
      <c r="F82" s="514"/>
      <c r="G82" s="514"/>
      <c r="H82" s="514"/>
      <c r="I82" s="514"/>
      <c r="J82" s="514"/>
      <c r="K82" s="514">
        <v>7662559000</v>
      </c>
      <c r="L82" s="514"/>
      <c r="M82" s="514">
        <v>496041000</v>
      </c>
      <c r="N82" s="514">
        <v>55000000</v>
      </c>
      <c r="O82" s="514"/>
      <c r="P82" s="514">
        <v>8473300000</v>
      </c>
    </row>
    <row r="83" spans="3:16" ht="18.75">
      <c r="C83" s="521" t="s">
        <v>3865</v>
      </c>
      <c r="D83" s="510">
        <v>99100000</v>
      </c>
      <c r="E83" s="510">
        <v>117600000</v>
      </c>
      <c r="F83" s="510"/>
      <c r="G83" s="510"/>
      <c r="H83" s="510"/>
      <c r="I83" s="510"/>
      <c r="J83" s="510"/>
      <c r="K83" s="510">
        <v>1333864000</v>
      </c>
      <c r="L83" s="510"/>
      <c r="M83" s="510">
        <v>138000000</v>
      </c>
      <c r="N83" s="510">
        <v>25000000</v>
      </c>
      <c r="O83" s="510"/>
      <c r="P83" s="510">
        <v>1713564000</v>
      </c>
    </row>
    <row r="84" spans="3:16" ht="18.75">
      <c r="C84" s="521" t="s">
        <v>3867</v>
      </c>
      <c r="D84" s="510">
        <v>25000000</v>
      </c>
      <c r="E84" s="510">
        <v>6000000</v>
      </c>
      <c r="F84" s="510"/>
      <c r="G84" s="510"/>
      <c r="H84" s="510"/>
      <c r="I84" s="510"/>
      <c r="J84" s="510"/>
      <c r="K84" s="510">
        <v>6308695000</v>
      </c>
      <c r="L84" s="510"/>
      <c r="M84" s="510">
        <v>216000000</v>
      </c>
      <c r="N84" s="510">
        <v>30000000</v>
      </c>
      <c r="O84" s="510"/>
      <c r="P84" s="510">
        <v>6585695000</v>
      </c>
    </row>
    <row r="85" spans="3:16" ht="18.75">
      <c r="C85" s="521" t="s">
        <v>3868</v>
      </c>
      <c r="D85" s="510">
        <v>12000000</v>
      </c>
      <c r="E85" s="510"/>
      <c r="F85" s="510"/>
      <c r="G85" s="510"/>
      <c r="H85" s="510"/>
      <c r="I85" s="510"/>
      <c r="J85" s="510"/>
      <c r="K85" s="510">
        <v>20000000</v>
      </c>
      <c r="L85" s="510"/>
      <c r="M85" s="510">
        <v>142041000</v>
      </c>
      <c r="N85" s="510"/>
      <c r="O85" s="510"/>
      <c r="P85" s="510">
        <v>174041000</v>
      </c>
    </row>
    <row r="86" spans="3:16" ht="18.75">
      <c r="C86" s="520" t="s">
        <v>3879</v>
      </c>
      <c r="D86" s="514">
        <v>25000000</v>
      </c>
      <c r="E86" s="514"/>
      <c r="F86" s="514"/>
      <c r="G86" s="514"/>
      <c r="H86" s="514"/>
      <c r="I86" s="514"/>
      <c r="J86" s="514"/>
      <c r="K86" s="514"/>
      <c r="L86" s="514"/>
      <c r="M86" s="514">
        <v>54200000</v>
      </c>
      <c r="N86" s="514">
        <v>30000000</v>
      </c>
      <c r="O86" s="514"/>
      <c r="P86" s="514">
        <v>109200000</v>
      </c>
    </row>
    <row r="87" spans="3:16" ht="18.75">
      <c r="C87" s="521" t="s">
        <v>3880</v>
      </c>
      <c r="D87" s="510">
        <v>25000000</v>
      </c>
      <c r="E87" s="510"/>
      <c r="F87" s="510"/>
      <c r="G87" s="510"/>
      <c r="H87" s="510"/>
      <c r="I87" s="510"/>
      <c r="J87" s="510"/>
      <c r="K87" s="510"/>
      <c r="L87" s="510"/>
      <c r="M87" s="510">
        <v>54200000</v>
      </c>
      <c r="N87" s="510">
        <v>30000000</v>
      </c>
      <c r="O87" s="510"/>
      <c r="P87" s="510">
        <v>109200000</v>
      </c>
    </row>
    <row r="88" spans="3:16" ht="18.75">
      <c r="C88" s="488" t="s">
        <v>3887</v>
      </c>
      <c r="D88" s="494">
        <v>692386000</v>
      </c>
      <c r="E88" s="494">
        <v>276382000</v>
      </c>
      <c r="F88" s="494">
        <v>533050000</v>
      </c>
      <c r="G88" s="494">
        <v>121852000</v>
      </c>
      <c r="H88" s="494">
        <v>58360000</v>
      </c>
      <c r="I88" s="494">
        <v>1177236000</v>
      </c>
      <c r="J88" s="494">
        <v>654200000</v>
      </c>
      <c r="K88" s="494">
        <v>7806619000</v>
      </c>
      <c r="L88" s="494">
        <v>30000000</v>
      </c>
      <c r="M88" s="494">
        <v>2128059000</v>
      </c>
      <c r="N88" s="494">
        <v>393160000</v>
      </c>
      <c r="O88" s="494">
        <v>4500000</v>
      </c>
      <c r="P88" s="494">
        <v>13875804000</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1:G5 G262:G1048576">
    <cfRule type="cellIs" dxfId="3946" priority="2"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3AA-ACF8-49BF-AA34-EE76316DD25A}">
  <sheetPr codeName="Sheet18">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5"/>
  <cols>
    <col min="3" max="3" width="131.5703125" style="233" bestFit="1" customWidth="1"/>
    <col min="4" max="4" width="26.85546875" bestFit="1" customWidth="1"/>
    <col min="5" max="5" width="23.85546875" bestFit="1" customWidth="1"/>
    <col min="6" max="6" width="26" style="208" bestFit="1" customWidth="1"/>
    <col min="7" max="7" width="25.28515625" bestFit="1" customWidth="1"/>
    <col min="8" max="8" width="33.42578125" bestFit="1" customWidth="1"/>
    <col min="9" max="9" width="25.28515625" style="171" bestFit="1" customWidth="1"/>
    <col min="10" max="10" width="16.42578125" bestFit="1" customWidth="1"/>
    <col min="11" max="11" width="30" bestFit="1" customWidth="1"/>
    <col min="12" max="12" width="30.7109375" bestFit="1" customWidth="1"/>
    <col min="13" max="13" width="30.7109375" style="159" bestFit="1" customWidth="1"/>
    <col min="14" max="14" width="22" bestFit="1" customWidth="1"/>
    <col min="15" max="15" width="29.7109375" bestFit="1" customWidth="1"/>
    <col min="16" max="16" width="21" bestFit="1" customWidth="1"/>
    <col min="17" max="17" width="9.28515625" bestFit="1" customWidth="1"/>
    <col min="18" max="18" width="22" bestFit="1" customWidth="1"/>
    <col min="19" max="19" width="9.85546875" bestFit="1" customWidth="1"/>
    <col min="20" max="20" width="44.5703125" bestFit="1" customWidth="1"/>
    <col min="21" max="21" width="9.28515625" bestFit="1" customWidth="1"/>
    <col min="22" max="22" width="23.140625" bestFit="1" customWidth="1"/>
    <col min="23" max="23" width="9.85546875" bestFit="1" customWidth="1"/>
    <col min="24" max="24" width="16" bestFit="1" customWidth="1"/>
    <col min="25" max="25" width="9.28515625" bestFit="1" customWidth="1"/>
    <col min="26" max="26" width="22.28515625" bestFit="1" customWidth="1"/>
    <col min="27" max="27" width="9.85546875" bestFit="1" customWidth="1"/>
    <col min="28" max="28" width="18.140625" bestFit="1" customWidth="1"/>
    <col min="29" max="29" width="14.7109375" bestFit="1" customWidth="1"/>
  </cols>
  <sheetData>
    <row r="1" spans="3:29" ht="19.5">
      <c r="C1" s="545" t="s">
        <v>7816</v>
      </c>
      <c r="D1" s="545"/>
      <c r="E1" s="545"/>
      <c r="F1" s="545"/>
      <c r="G1" s="545"/>
      <c r="H1" s="545"/>
    </row>
    <row r="2" spans="3:29" ht="19.5">
      <c r="C2" s="545" t="str">
        <f>'PER BULAN'!B5</f>
        <v>Berdasarkan DIPA Revisi 3 TA. 2022 (Tanggal 13 Juli 2022)</v>
      </c>
      <c r="D2" s="545"/>
      <c r="E2" s="545"/>
      <c r="F2" s="545"/>
      <c r="G2" s="545"/>
      <c r="H2" s="545"/>
    </row>
    <row r="3" spans="3:29" ht="19.5">
      <c r="C3" s="545" t="str">
        <f>'PER BULAN'!B6</f>
        <v>SAMPAI DENGAN 1 SEPTEMBER 2022</v>
      </c>
      <c r="D3" s="545"/>
      <c r="E3" s="545"/>
      <c r="F3" s="545"/>
      <c r="G3" s="545"/>
      <c r="H3" s="545"/>
    </row>
    <row r="4" spans="3:29">
      <c r="D4" s="233"/>
      <c r="E4" s="233"/>
      <c r="G4" s="233"/>
      <c r="H4" s="233"/>
    </row>
    <row r="5" spans="3:29" s="441" customFormat="1" ht="18.75" hidden="1">
      <c r="C5" s="519" t="s">
        <v>3891</v>
      </c>
      <c r="D5" s="519" t="s">
        <v>7802</v>
      </c>
      <c r="E5" s="519"/>
      <c r="F5" s="519"/>
      <c r="G5" s="519"/>
      <c r="H5" s="519"/>
      <c r="I5" s="519"/>
      <c r="J5" s="519"/>
      <c r="K5" s="519"/>
      <c r="L5" s="519"/>
      <c r="M5" s="519"/>
      <c r="N5" s="519"/>
      <c r="O5" s="519"/>
      <c r="P5" s="519"/>
      <c r="Q5"/>
      <c r="R5"/>
      <c r="S5"/>
      <c r="T5"/>
      <c r="U5"/>
      <c r="V5"/>
      <c r="W5"/>
      <c r="X5"/>
      <c r="Y5"/>
      <c r="Z5"/>
      <c r="AA5"/>
      <c r="AB5"/>
      <c r="AC5"/>
    </row>
    <row r="6" spans="3:29" s="523" customFormat="1" ht="56.25">
      <c r="C6" s="522" t="s">
        <v>3893</v>
      </c>
      <c r="D6" s="522" t="s">
        <v>7803</v>
      </c>
      <c r="E6" s="522" t="s">
        <v>7804</v>
      </c>
      <c r="F6" s="522" t="s">
        <v>7805</v>
      </c>
      <c r="G6" s="522" t="s">
        <v>7806</v>
      </c>
      <c r="H6" s="522" t="s">
        <v>7807</v>
      </c>
      <c r="I6" s="522" t="s">
        <v>7808</v>
      </c>
      <c r="J6" s="522" t="s">
        <v>7809</v>
      </c>
      <c r="K6" s="522" t="s">
        <v>7810</v>
      </c>
      <c r="L6" s="522" t="s">
        <v>7811</v>
      </c>
      <c r="M6" s="522" t="s">
        <v>7812</v>
      </c>
      <c r="N6" s="522" t="s">
        <v>7813</v>
      </c>
      <c r="O6" s="522" t="s">
        <v>7814</v>
      </c>
      <c r="P6" s="522" t="s">
        <v>3887</v>
      </c>
    </row>
    <row r="7" spans="3:29" ht="18.75">
      <c r="C7" s="489" t="s">
        <v>523</v>
      </c>
      <c r="D7" s="490">
        <v>339632610</v>
      </c>
      <c r="E7" s="490">
        <v>189740000</v>
      </c>
      <c r="F7" s="490">
        <v>344152440</v>
      </c>
      <c r="G7" s="490">
        <v>42152000</v>
      </c>
      <c r="H7" s="490">
        <v>29992000</v>
      </c>
      <c r="I7" s="490">
        <v>489782094</v>
      </c>
      <c r="J7" s="490">
        <v>0</v>
      </c>
      <c r="K7" s="490">
        <v>2879875328</v>
      </c>
      <c r="L7" s="490">
        <v>27222950</v>
      </c>
      <c r="M7" s="490">
        <v>914380403</v>
      </c>
      <c r="N7" s="490">
        <v>231431500</v>
      </c>
      <c r="O7" s="490">
        <v>3150000</v>
      </c>
      <c r="P7" s="490">
        <v>5491511325</v>
      </c>
    </row>
    <row r="8" spans="3:29" ht="18.75">
      <c r="C8" s="493" t="s">
        <v>3771</v>
      </c>
      <c r="D8" s="494">
        <v>135509450</v>
      </c>
      <c r="E8" s="494">
        <v>63135000</v>
      </c>
      <c r="F8" s="494">
        <v>0</v>
      </c>
      <c r="G8" s="494">
        <v>0</v>
      </c>
      <c r="H8" s="494">
        <v>0</v>
      </c>
      <c r="I8" s="494">
        <v>0</v>
      </c>
      <c r="J8" s="494">
        <v>0</v>
      </c>
      <c r="K8" s="494">
        <v>10644600</v>
      </c>
      <c r="L8" s="494">
        <v>0</v>
      </c>
      <c r="M8" s="494">
        <v>173862515</v>
      </c>
      <c r="N8" s="494">
        <v>30540000</v>
      </c>
      <c r="O8" s="494">
        <v>1500000</v>
      </c>
      <c r="P8" s="494">
        <v>415191565</v>
      </c>
    </row>
    <row r="9" spans="3:29" ht="18.75">
      <c r="C9" s="493" t="s">
        <v>3781</v>
      </c>
      <c r="D9" s="494">
        <v>135509450</v>
      </c>
      <c r="E9" s="494">
        <v>63135000</v>
      </c>
      <c r="F9" s="494">
        <v>0</v>
      </c>
      <c r="G9" s="494">
        <v>0</v>
      </c>
      <c r="H9" s="494">
        <v>0</v>
      </c>
      <c r="I9" s="494">
        <v>0</v>
      </c>
      <c r="J9" s="494">
        <v>0</v>
      </c>
      <c r="K9" s="494">
        <v>10644600</v>
      </c>
      <c r="L9" s="494">
        <v>0</v>
      </c>
      <c r="M9" s="494">
        <v>173862515</v>
      </c>
      <c r="N9" s="494">
        <v>30540000</v>
      </c>
      <c r="O9" s="494">
        <v>1500000</v>
      </c>
      <c r="P9" s="494">
        <v>415191565</v>
      </c>
    </row>
    <row r="10" spans="3:29" ht="18.75">
      <c r="C10" s="497" t="s">
        <v>528</v>
      </c>
      <c r="D10" s="498">
        <v>97446450</v>
      </c>
      <c r="E10" s="498">
        <v>46335000</v>
      </c>
      <c r="F10" s="498">
        <v>0</v>
      </c>
      <c r="G10" s="498">
        <v>0</v>
      </c>
      <c r="H10" s="498">
        <v>0</v>
      </c>
      <c r="I10" s="498">
        <v>0</v>
      </c>
      <c r="J10" s="498">
        <v>0</v>
      </c>
      <c r="K10" s="498">
        <v>10644600</v>
      </c>
      <c r="L10" s="498">
        <v>0</v>
      </c>
      <c r="M10" s="498">
        <v>161179100</v>
      </c>
      <c r="N10" s="498">
        <v>30540000</v>
      </c>
      <c r="O10" s="498">
        <v>1500000</v>
      </c>
      <c r="P10" s="498">
        <v>347645150</v>
      </c>
    </row>
    <row r="11" spans="3:29" ht="18.75">
      <c r="C11" s="501" t="s">
        <v>529</v>
      </c>
      <c r="D11" s="502">
        <v>97435700</v>
      </c>
      <c r="E11" s="502">
        <v>38235000</v>
      </c>
      <c r="F11" s="502">
        <v>0</v>
      </c>
      <c r="G11" s="502">
        <v>0</v>
      </c>
      <c r="H11" s="502">
        <v>0</v>
      </c>
      <c r="I11" s="502">
        <v>0</v>
      </c>
      <c r="J11" s="502">
        <v>0</v>
      </c>
      <c r="K11" s="502">
        <v>2860600</v>
      </c>
      <c r="L11" s="502">
        <v>0</v>
      </c>
      <c r="M11" s="502">
        <v>124675710</v>
      </c>
      <c r="N11" s="502">
        <v>30540000</v>
      </c>
      <c r="O11" s="502">
        <v>1500000</v>
      </c>
      <c r="P11" s="502">
        <v>295247010</v>
      </c>
    </row>
    <row r="12" spans="3:29" ht="18.75">
      <c r="C12" s="520" t="s">
        <v>3789</v>
      </c>
      <c r="D12" s="514">
        <v>97435700</v>
      </c>
      <c r="E12" s="514">
        <v>38235000</v>
      </c>
      <c r="F12" s="514">
        <v>0</v>
      </c>
      <c r="G12" s="514">
        <v>0</v>
      </c>
      <c r="H12" s="514">
        <v>0</v>
      </c>
      <c r="I12" s="514">
        <v>0</v>
      </c>
      <c r="J12" s="514">
        <v>0</v>
      </c>
      <c r="K12" s="514">
        <v>2860600</v>
      </c>
      <c r="L12" s="514">
        <v>0</v>
      </c>
      <c r="M12" s="514">
        <v>124675710</v>
      </c>
      <c r="N12" s="514">
        <v>30540000</v>
      </c>
      <c r="O12" s="514">
        <v>1500000</v>
      </c>
      <c r="P12" s="514">
        <v>295247010</v>
      </c>
    </row>
    <row r="13" spans="3:29" ht="18.75">
      <c r="C13" s="521" t="s">
        <v>3790</v>
      </c>
      <c r="D13" s="510">
        <v>23532250</v>
      </c>
      <c r="E13" s="510">
        <v>19500000</v>
      </c>
      <c r="F13" s="510">
        <v>0</v>
      </c>
      <c r="G13" s="510">
        <v>0</v>
      </c>
      <c r="H13" s="510">
        <v>0</v>
      </c>
      <c r="I13" s="510">
        <v>0</v>
      </c>
      <c r="J13" s="510">
        <v>0</v>
      </c>
      <c r="K13" s="510">
        <v>1957000</v>
      </c>
      <c r="L13" s="510">
        <v>0</v>
      </c>
      <c r="M13" s="510">
        <v>99742400</v>
      </c>
      <c r="N13" s="510">
        <v>17993500</v>
      </c>
      <c r="O13" s="510">
        <v>1500000</v>
      </c>
      <c r="P13" s="510">
        <v>164225150</v>
      </c>
    </row>
    <row r="14" spans="3:29" ht="18.75">
      <c r="C14" s="521" t="s">
        <v>3792</v>
      </c>
      <c r="D14" s="510">
        <v>55557450</v>
      </c>
      <c r="E14" s="510">
        <v>11535000</v>
      </c>
      <c r="F14" s="510">
        <v>0</v>
      </c>
      <c r="G14" s="510">
        <v>0</v>
      </c>
      <c r="H14" s="510">
        <v>0</v>
      </c>
      <c r="I14" s="510">
        <v>0</v>
      </c>
      <c r="J14" s="510">
        <v>0</v>
      </c>
      <c r="K14" s="510">
        <v>403600</v>
      </c>
      <c r="L14" s="510">
        <v>0</v>
      </c>
      <c r="M14" s="510">
        <v>6723310</v>
      </c>
      <c r="N14" s="510">
        <v>12546500</v>
      </c>
      <c r="O14" s="510">
        <v>0</v>
      </c>
      <c r="P14" s="510">
        <v>86765860</v>
      </c>
    </row>
    <row r="15" spans="3:29" ht="18.75">
      <c r="C15" s="521" t="s">
        <v>3806</v>
      </c>
      <c r="D15" s="510">
        <v>18346000</v>
      </c>
      <c r="E15" s="510">
        <v>7200000</v>
      </c>
      <c r="F15" s="510">
        <v>0</v>
      </c>
      <c r="G15" s="510">
        <v>0</v>
      </c>
      <c r="H15" s="510">
        <v>0</v>
      </c>
      <c r="I15" s="510">
        <v>0</v>
      </c>
      <c r="J15" s="510">
        <v>0</v>
      </c>
      <c r="K15" s="510">
        <v>500000</v>
      </c>
      <c r="L15" s="510">
        <v>0</v>
      </c>
      <c r="M15" s="510">
        <v>18210000</v>
      </c>
      <c r="N15" s="510">
        <v>0</v>
      </c>
      <c r="O15" s="510">
        <v>0</v>
      </c>
      <c r="P15" s="510">
        <v>44256000</v>
      </c>
    </row>
    <row r="16" spans="3:29" ht="18.75">
      <c r="C16" s="501" t="s">
        <v>531</v>
      </c>
      <c r="D16" s="502">
        <v>10750</v>
      </c>
      <c r="E16" s="502">
        <v>8100000</v>
      </c>
      <c r="F16" s="502">
        <v>0</v>
      </c>
      <c r="G16" s="502">
        <v>0</v>
      </c>
      <c r="H16" s="502">
        <v>0</v>
      </c>
      <c r="I16" s="502">
        <v>0</v>
      </c>
      <c r="J16" s="502">
        <v>0</v>
      </c>
      <c r="K16" s="502">
        <v>7784000</v>
      </c>
      <c r="L16" s="502">
        <v>0</v>
      </c>
      <c r="M16" s="502">
        <v>36503390</v>
      </c>
      <c r="N16" s="502">
        <v>0</v>
      </c>
      <c r="O16" s="502">
        <v>0</v>
      </c>
      <c r="P16" s="502">
        <v>52398140</v>
      </c>
    </row>
    <row r="17" spans="3:16" ht="18.75">
      <c r="C17" s="520" t="s">
        <v>3793</v>
      </c>
      <c r="D17" s="514">
        <v>10750</v>
      </c>
      <c r="E17" s="514">
        <v>8100000</v>
      </c>
      <c r="F17" s="514">
        <v>0</v>
      </c>
      <c r="G17" s="514">
        <v>0</v>
      </c>
      <c r="H17" s="514">
        <v>0</v>
      </c>
      <c r="I17" s="514">
        <v>0</v>
      </c>
      <c r="J17" s="514">
        <v>0</v>
      </c>
      <c r="K17" s="514">
        <v>7784000</v>
      </c>
      <c r="L17" s="514">
        <v>0</v>
      </c>
      <c r="M17" s="514">
        <v>36503390</v>
      </c>
      <c r="N17" s="514">
        <v>0</v>
      </c>
      <c r="O17" s="514">
        <v>0</v>
      </c>
      <c r="P17" s="514">
        <v>52398140</v>
      </c>
    </row>
    <row r="18" spans="3:16" ht="18.75">
      <c r="C18" s="521" t="s">
        <v>3794</v>
      </c>
      <c r="D18" s="510">
        <v>10750</v>
      </c>
      <c r="E18" s="510">
        <v>8100000</v>
      </c>
      <c r="F18" s="510">
        <v>0</v>
      </c>
      <c r="G18" s="510">
        <v>0</v>
      </c>
      <c r="H18" s="510">
        <v>0</v>
      </c>
      <c r="I18" s="510">
        <v>0</v>
      </c>
      <c r="J18" s="510">
        <v>0</v>
      </c>
      <c r="K18" s="510">
        <v>7784000</v>
      </c>
      <c r="L18" s="510">
        <v>0</v>
      </c>
      <c r="M18" s="510">
        <v>36503390</v>
      </c>
      <c r="N18" s="510">
        <v>0</v>
      </c>
      <c r="O18" s="510">
        <v>0</v>
      </c>
      <c r="P18" s="510">
        <v>52398140</v>
      </c>
    </row>
    <row r="19" spans="3:16" ht="18.75">
      <c r="C19" s="497" t="s">
        <v>524</v>
      </c>
      <c r="D19" s="498">
        <v>38063000</v>
      </c>
      <c r="E19" s="498">
        <v>16800000</v>
      </c>
      <c r="F19" s="498">
        <v>0</v>
      </c>
      <c r="G19" s="498">
        <v>0</v>
      </c>
      <c r="H19" s="498">
        <v>0</v>
      </c>
      <c r="I19" s="498">
        <v>0</v>
      </c>
      <c r="J19" s="498">
        <v>0</v>
      </c>
      <c r="K19" s="498">
        <v>0</v>
      </c>
      <c r="L19" s="498">
        <v>0</v>
      </c>
      <c r="M19" s="498">
        <v>12683415</v>
      </c>
      <c r="N19" s="498">
        <v>0</v>
      </c>
      <c r="O19" s="498">
        <v>0</v>
      </c>
      <c r="P19" s="498">
        <v>67546415</v>
      </c>
    </row>
    <row r="20" spans="3:16" ht="18.75">
      <c r="C20" s="501" t="s">
        <v>525</v>
      </c>
      <c r="D20" s="502">
        <v>21433000</v>
      </c>
      <c r="E20" s="502">
        <v>16800000</v>
      </c>
      <c r="F20" s="502">
        <v>0</v>
      </c>
      <c r="G20" s="502">
        <v>0</v>
      </c>
      <c r="H20" s="502">
        <v>0</v>
      </c>
      <c r="I20" s="502">
        <v>0</v>
      </c>
      <c r="J20" s="502">
        <v>0</v>
      </c>
      <c r="K20" s="502">
        <v>0</v>
      </c>
      <c r="L20" s="502">
        <v>0</v>
      </c>
      <c r="M20" s="502">
        <v>7789000</v>
      </c>
      <c r="N20" s="502">
        <v>0</v>
      </c>
      <c r="O20" s="502">
        <v>0</v>
      </c>
      <c r="P20" s="502">
        <v>46022000</v>
      </c>
    </row>
    <row r="21" spans="3:16" ht="18.75">
      <c r="C21" s="520" t="s">
        <v>3784</v>
      </c>
      <c r="D21" s="514">
        <v>21433000</v>
      </c>
      <c r="E21" s="514">
        <v>16800000</v>
      </c>
      <c r="F21" s="514">
        <v>0</v>
      </c>
      <c r="G21" s="514">
        <v>0</v>
      </c>
      <c r="H21" s="514">
        <v>0</v>
      </c>
      <c r="I21" s="514">
        <v>0</v>
      </c>
      <c r="J21" s="514">
        <v>0</v>
      </c>
      <c r="K21" s="514">
        <v>0</v>
      </c>
      <c r="L21" s="514">
        <v>0</v>
      </c>
      <c r="M21" s="514">
        <v>7789000</v>
      </c>
      <c r="N21" s="514">
        <v>0</v>
      </c>
      <c r="O21" s="514">
        <v>0</v>
      </c>
      <c r="P21" s="514">
        <v>46022000</v>
      </c>
    </row>
    <row r="22" spans="3:16" ht="18.75">
      <c r="C22" s="521" t="s">
        <v>3785</v>
      </c>
      <c r="D22" s="510">
        <v>8444000</v>
      </c>
      <c r="E22" s="510">
        <v>13700000</v>
      </c>
      <c r="F22" s="510">
        <v>0</v>
      </c>
      <c r="G22" s="510">
        <v>0</v>
      </c>
      <c r="H22" s="510">
        <v>0</v>
      </c>
      <c r="I22" s="510">
        <v>0</v>
      </c>
      <c r="J22" s="510">
        <v>0</v>
      </c>
      <c r="K22" s="510">
        <v>0</v>
      </c>
      <c r="L22" s="510">
        <v>0</v>
      </c>
      <c r="M22" s="510">
        <v>7784000</v>
      </c>
      <c r="N22" s="510">
        <v>0</v>
      </c>
      <c r="O22" s="510">
        <v>0</v>
      </c>
      <c r="P22" s="510">
        <v>29928000</v>
      </c>
    </row>
    <row r="23" spans="3:16" ht="18.75">
      <c r="C23" s="521" t="s">
        <v>3787</v>
      </c>
      <c r="D23" s="510">
        <v>12989000</v>
      </c>
      <c r="E23" s="510">
        <v>3100000</v>
      </c>
      <c r="F23" s="510">
        <v>0</v>
      </c>
      <c r="G23" s="510">
        <v>0</v>
      </c>
      <c r="H23" s="510">
        <v>0</v>
      </c>
      <c r="I23" s="510">
        <v>0</v>
      </c>
      <c r="J23" s="510">
        <v>0</v>
      </c>
      <c r="K23" s="510">
        <v>0</v>
      </c>
      <c r="L23" s="510">
        <v>0</v>
      </c>
      <c r="M23" s="510">
        <v>5000</v>
      </c>
      <c r="N23" s="510">
        <v>0</v>
      </c>
      <c r="O23" s="510">
        <v>0</v>
      </c>
      <c r="P23" s="510">
        <v>16094000</v>
      </c>
    </row>
    <row r="24" spans="3:16" ht="18.75">
      <c r="C24" s="501" t="s">
        <v>527</v>
      </c>
      <c r="D24" s="502">
        <v>16630000</v>
      </c>
      <c r="E24" s="502">
        <v>0</v>
      </c>
      <c r="F24" s="502">
        <v>0</v>
      </c>
      <c r="G24" s="502">
        <v>0</v>
      </c>
      <c r="H24" s="502">
        <v>0</v>
      </c>
      <c r="I24" s="502">
        <v>0</v>
      </c>
      <c r="J24" s="502">
        <v>0</v>
      </c>
      <c r="K24" s="502">
        <v>0</v>
      </c>
      <c r="L24" s="502">
        <v>0</v>
      </c>
      <c r="M24" s="502">
        <v>4894415</v>
      </c>
      <c r="N24" s="502">
        <v>0</v>
      </c>
      <c r="O24" s="502">
        <v>0</v>
      </c>
      <c r="P24" s="502">
        <v>21524415</v>
      </c>
    </row>
    <row r="25" spans="3:16" ht="18.75">
      <c r="C25" s="520" t="s">
        <v>3788</v>
      </c>
      <c r="D25" s="514">
        <v>16630000</v>
      </c>
      <c r="E25" s="514">
        <v>0</v>
      </c>
      <c r="F25" s="514">
        <v>0</v>
      </c>
      <c r="G25" s="514">
        <v>0</v>
      </c>
      <c r="H25" s="514">
        <v>0</v>
      </c>
      <c r="I25" s="514">
        <v>0</v>
      </c>
      <c r="J25" s="514">
        <v>0</v>
      </c>
      <c r="K25" s="514">
        <v>0</v>
      </c>
      <c r="L25" s="514">
        <v>0</v>
      </c>
      <c r="M25" s="514">
        <v>4894415</v>
      </c>
      <c r="N25" s="514">
        <v>0</v>
      </c>
      <c r="O25" s="514">
        <v>0</v>
      </c>
      <c r="P25" s="514">
        <v>21524415</v>
      </c>
    </row>
    <row r="26" spans="3:16" ht="18.75">
      <c r="C26" s="521" t="s">
        <v>3805</v>
      </c>
      <c r="D26" s="510">
        <v>16630000</v>
      </c>
      <c r="E26" s="510">
        <v>0</v>
      </c>
      <c r="F26" s="510">
        <v>0</v>
      </c>
      <c r="G26" s="510">
        <v>0</v>
      </c>
      <c r="H26" s="510">
        <v>0</v>
      </c>
      <c r="I26" s="510">
        <v>0</v>
      </c>
      <c r="J26" s="510">
        <v>0</v>
      </c>
      <c r="K26" s="510">
        <v>0</v>
      </c>
      <c r="L26" s="510">
        <v>0</v>
      </c>
      <c r="M26" s="510">
        <v>4894415</v>
      </c>
      <c r="N26" s="510">
        <v>0</v>
      </c>
      <c r="O26" s="510">
        <v>0</v>
      </c>
      <c r="P26" s="510">
        <v>21524415</v>
      </c>
    </row>
    <row r="27" spans="3:16" ht="18.75">
      <c r="C27" s="493" t="s">
        <v>3796</v>
      </c>
      <c r="D27" s="494">
        <v>204123160</v>
      </c>
      <c r="E27" s="494">
        <v>126605000</v>
      </c>
      <c r="F27" s="494">
        <v>344152440</v>
      </c>
      <c r="G27" s="494">
        <v>42152000</v>
      </c>
      <c r="H27" s="494">
        <v>29992000</v>
      </c>
      <c r="I27" s="494">
        <v>489782094</v>
      </c>
      <c r="J27" s="494">
        <v>0</v>
      </c>
      <c r="K27" s="494">
        <v>2869230728</v>
      </c>
      <c r="L27" s="494">
        <v>27222950</v>
      </c>
      <c r="M27" s="494">
        <v>740517888</v>
      </c>
      <c r="N27" s="494">
        <v>200891500</v>
      </c>
      <c r="O27" s="494">
        <v>1650000</v>
      </c>
      <c r="P27" s="494">
        <v>5076319760</v>
      </c>
    </row>
    <row r="28" spans="3:16" ht="18.75">
      <c r="C28" s="493" t="s">
        <v>3797</v>
      </c>
      <c r="D28" s="494">
        <v>56781110</v>
      </c>
      <c r="E28" s="494">
        <v>3005000</v>
      </c>
      <c r="F28" s="494">
        <v>344152440</v>
      </c>
      <c r="G28" s="494">
        <v>42152000</v>
      </c>
      <c r="H28" s="494">
        <v>29992000</v>
      </c>
      <c r="I28" s="494">
        <v>489782094</v>
      </c>
      <c r="J28" s="494">
        <v>0</v>
      </c>
      <c r="K28" s="494">
        <v>32081820</v>
      </c>
      <c r="L28" s="494">
        <v>27222950</v>
      </c>
      <c r="M28" s="494">
        <v>272719594</v>
      </c>
      <c r="N28" s="494">
        <v>143479500</v>
      </c>
      <c r="O28" s="494">
        <v>1650000</v>
      </c>
      <c r="P28" s="494">
        <v>1443018508</v>
      </c>
    </row>
    <row r="29" spans="3:16" ht="18.75">
      <c r="C29" s="497" t="s">
        <v>528</v>
      </c>
      <c r="D29" s="498">
        <v>800</v>
      </c>
      <c r="E29" s="498">
        <v>0</v>
      </c>
      <c r="F29" s="498">
        <v>0</v>
      </c>
      <c r="G29" s="498">
        <v>0</v>
      </c>
      <c r="H29" s="498">
        <v>0</v>
      </c>
      <c r="I29" s="498">
        <v>0</v>
      </c>
      <c r="J29" s="498">
        <v>0</v>
      </c>
      <c r="K29" s="498">
        <v>542</v>
      </c>
      <c r="L29" s="498">
        <v>0</v>
      </c>
      <c r="M29" s="498">
        <v>3708300</v>
      </c>
      <c r="N29" s="498">
        <v>0</v>
      </c>
      <c r="O29" s="498">
        <v>0</v>
      </c>
      <c r="P29" s="498">
        <v>3709642</v>
      </c>
    </row>
    <row r="30" spans="3:16" ht="18.75">
      <c r="C30" s="501" t="s">
        <v>531</v>
      </c>
      <c r="D30" s="502">
        <v>800</v>
      </c>
      <c r="E30" s="502">
        <v>0</v>
      </c>
      <c r="F30" s="502">
        <v>0</v>
      </c>
      <c r="G30" s="502">
        <v>0</v>
      </c>
      <c r="H30" s="502">
        <v>0</v>
      </c>
      <c r="I30" s="502">
        <v>0</v>
      </c>
      <c r="J30" s="502">
        <v>0</v>
      </c>
      <c r="K30" s="502">
        <v>542</v>
      </c>
      <c r="L30" s="502">
        <v>0</v>
      </c>
      <c r="M30" s="502">
        <v>3708300</v>
      </c>
      <c r="N30" s="502">
        <v>0</v>
      </c>
      <c r="O30" s="502">
        <v>0</v>
      </c>
      <c r="P30" s="502">
        <v>3709642</v>
      </c>
    </row>
    <row r="31" spans="3:16" ht="18.75">
      <c r="C31" s="520" t="s">
        <v>3817</v>
      </c>
      <c r="D31" s="514">
        <v>800</v>
      </c>
      <c r="E31" s="514">
        <v>0</v>
      </c>
      <c r="F31" s="514">
        <v>0</v>
      </c>
      <c r="G31" s="514">
        <v>0</v>
      </c>
      <c r="H31" s="514">
        <v>0</v>
      </c>
      <c r="I31" s="514">
        <v>0</v>
      </c>
      <c r="J31" s="514">
        <v>0</v>
      </c>
      <c r="K31" s="514">
        <v>542</v>
      </c>
      <c r="L31" s="514">
        <v>0</v>
      </c>
      <c r="M31" s="514">
        <v>3708300</v>
      </c>
      <c r="N31" s="514">
        <v>0</v>
      </c>
      <c r="O31" s="514">
        <v>0</v>
      </c>
      <c r="P31" s="514">
        <v>3709642</v>
      </c>
    </row>
    <row r="32" spans="3:16" ht="18.75">
      <c r="C32" s="521" t="s">
        <v>3822</v>
      </c>
      <c r="D32" s="510">
        <v>800</v>
      </c>
      <c r="E32" s="510">
        <v>0</v>
      </c>
      <c r="F32" s="510">
        <v>0</v>
      </c>
      <c r="G32" s="510">
        <v>0</v>
      </c>
      <c r="H32" s="510">
        <v>0</v>
      </c>
      <c r="I32" s="510">
        <v>0</v>
      </c>
      <c r="J32" s="510">
        <v>0</v>
      </c>
      <c r="K32" s="510">
        <v>542</v>
      </c>
      <c r="L32" s="510">
        <v>0</v>
      </c>
      <c r="M32" s="510">
        <v>3708300</v>
      </c>
      <c r="N32" s="510">
        <v>0</v>
      </c>
      <c r="O32" s="510">
        <v>0</v>
      </c>
      <c r="P32" s="510">
        <v>3709642</v>
      </c>
    </row>
    <row r="33" spans="3:16" ht="18.75">
      <c r="C33" s="497" t="s">
        <v>524</v>
      </c>
      <c r="D33" s="498">
        <v>7313500</v>
      </c>
      <c r="E33" s="498">
        <v>3000000</v>
      </c>
      <c r="F33" s="498">
        <v>0</v>
      </c>
      <c r="G33" s="498">
        <v>0</v>
      </c>
      <c r="H33" s="498">
        <v>0</v>
      </c>
      <c r="I33" s="498">
        <v>0</v>
      </c>
      <c r="J33" s="498">
        <v>0</v>
      </c>
      <c r="K33" s="498">
        <v>27031582</v>
      </c>
      <c r="L33" s="498">
        <v>0</v>
      </c>
      <c r="M33" s="498">
        <v>328</v>
      </c>
      <c r="N33" s="498">
        <v>0</v>
      </c>
      <c r="O33" s="498">
        <v>0</v>
      </c>
      <c r="P33" s="498">
        <v>37345410</v>
      </c>
    </row>
    <row r="34" spans="3:16" ht="18.75">
      <c r="C34" s="501" t="s">
        <v>525</v>
      </c>
      <c r="D34" s="502">
        <v>32500</v>
      </c>
      <c r="E34" s="502">
        <v>3000000</v>
      </c>
      <c r="F34" s="502">
        <v>0</v>
      </c>
      <c r="G34" s="502">
        <v>0</v>
      </c>
      <c r="H34" s="502">
        <v>0</v>
      </c>
      <c r="I34" s="502">
        <v>0</v>
      </c>
      <c r="J34" s="502">
        <v>0</v>
      </c>
      <c r="K34" s="502">
        <v>582</v>
      </c>
      <c r="L34" s="502">
        <v>0</v>
      </c>
      <c r="M34" s="502">
        <v>328</v>
      </c>
      <c r="N34" s="502">
        <v>0</v>
      </c>
      <c r="O34" s="502">
        <v>0</v>
      </c>
      <c r="P34" s="502">
        <v>3033410</v>
      </c>
    </row>
    <row r="35" spans="3:16" ht="18.75">
      <c r="C35" s="520" t="s">
        <v>3817</v>
      </c>
      <c r="D35" s="514">
        <v>32500</v>
      </c>
      <c r="E35" s="514">
        <v>3000000</v>
      </c>
      <c r="F35" s="514">
        <v>0</v>
      </c>
      <c r="G35" s="514">
        <v>0</v>
      </c>
      <c r="H35" s="514">
        <v>0</v>
      </c>
      <c r="I35" s="514">
        <v>0</v>
      </c>
      <c r="J35" s="514">
        <v>0</v>
      </c>
      <c r="K35" s="514">
        <v>582</v>
      </c>
      <c r="L35" s="514">
        <v>0</v>
      </c>
      <c r="M35" s="514">
        <v>328</v>
      </c>
      <c r="N35" s="514">
        <v>0</v>
      </c>
      <c r="O35" s="514">
        <v>0</v>
      </c>
      <c r="P35" s="514">
        <v>3033410</v>
      </c>
    </row>
    <row r="36" spans="3:16" ht="18.75">
      <c r="C36" s="521" t="s">
        <v>3823</v>
      </c>
      <c r="D36" s="510">
        <v>32500</v>
      </c>
      <c r="E36" s="510">
        <v>3000000</v>
      </c>
      <c r="F36" s="510">
        <v>0</v>
      </c>
      <c r="G36" s="510">
        <v>0</v>
      </c>
      <c r="H36" s="510">
        <v>0</v>
      </c>
      <c r="I36" s="510">
        <v>0</v>
      </c>
      <c r="J36" s="510">
        <v>0</v>
      </c>
      <c r="K36" s="510">
        <v>582</v>
      </c>
      <c r="L36" s="510">
        <v>0</v>
      </c>
      <c r="M36" s="510">
        <v>328</v>
      </c>
      <c r="N36" s="510">
        <v>0</v>
      </c>
      <c r="O36" s="510">
        <v>0</v>
      </c>
      <c r="P36" s="510">
        <v>3033410</v>
      </c>
    </row>
    <row r="37" spans="3:16" ht="18.75">
      <c r="C37" s="501" t="s">
        <v>527</v>
      </c>
      <c r="D37" s="502">
        <v>7281000</v>
      </c>
      <c r="E37" s="502">
        <v>0</v>
      </c>
      <c r="F37" s="502">
        <v>0</v>
      </c>
      <c r="G37" s="502">
        <v>0</v>
      </c>
      <c r="H37" s="502">
        <v>0</v>
      </c>
      <c r="I37" s="502">
        <v>0</v>
      </c>
      <c r="J37" s="502">
        <v>0</v>
      </c>
      <c r="K37" s="502">
        <v>27031000</v>
      </c>
      <c r="L37" s="502">
        <v>0</v>
      </c>
      <c r="M37" s="502">
        <v>0</v>
      </c>
      <c r="N37" s="502">
        <v>0</v>
      </c>
      <c r="O37" s="502">
        <v>0</v>
      </c>
      <c r="P37" s="502">
        <v>34312000</v>
      </c>
    </row>
    <row r="38" spans="3:16" ht="18.75">
      <c r="C38" s="520" t="s">
        <v>3817</v>
      </c>
      <c r="D38" s="514">
        <v>7281000</v>
      </c>
      <c r="E38" s="514">
        <v>0</v>
      </c>
      <c r="F38" s="514">
        <v>0</v>
      </c>
      <c r="G38" s="514">
        <v>0</v>
      </c>
      <c r="H38" s="514">
        <v>0</v>
      </c>
      <c r="I38" s="514">
        <v>0</v>
      </c>
      <c r="J38" s="514">
        <v>0</v>
      </c>
      <c r="K38" s="514">
        <v>27031000</v>
      </c>
      <c r="L38" s="514">
        <v>0</v>
      </c>
      <c r="M38" s="514">
        <v>0</v>
      </c>
      <c r="N38" s="514">
        <v>0</v>
      </c>
      <c r="O38" s="514">
        <v>0</v>
      </c>
      <c r="P38" s="514">
        <v>34312000</v>
      </c>
    </row>
    <row r="39" spans="3:16" ht="18.75">
      <c r="C39" s="521" t="s">
        <v>3825</v>
      </c>
      <c r="D39" s="510">
        <v>7281000</v>
      </c>
      <c r="E39" s="510">
        <v>0</v>
      </c>
      <c r="F39" s="510">
        <v>0</v>
      </c>
      <c r="G39" s="510">
        <v>0</v>
      </c>
      <c r="H39" s="510">
        <v>0</v>
      </c>
      <c r="I39" s="510">
        <v>0</v>
      </c>
      <c r="J39" s="510">
        <v>0</v>
      </c>
      <c r="K39" s="510">
        <v>27031000</v>
      </c>
      <c r="L39" s="510">
        <v>0</v>
      </c>
      <c r="M39" s="510">
        <v>0</v>
      </c>
      <c r="N39" s="510">
        <v>0</v>
      </c>
      <c r="O39" s="510">
        <v>0</v>
      </c>
      <c r="P39" s="510">
        <v>34312000</v>
      </c>
    </row>
    <row r="40" spans="3:16" ht="18.75">
      <c r="C40" s="497" t="s">
        <v>532</v>
      </c>
      <c r="D40" s="498">
        <v>32642350</v>
      </c>
      <c r="E40" s="498">
        <v>0</v>
      </c>
      <c r="F40" s="498">
        <v>0</v>
      </c>
      <c r="G40" s="498">
        <v>0</v>
      </c>
      <c r="H40" s="498">
        <v>0</v>
      </c>
      <c r="I40" s="498">
        <v>0</v>
      </c>
      <c r="J40" s="498">
        <v>0</v>
      </c>
      <c r="K40" s="498">
        <v>5048976</v>
      </c>
      <c r="L40" s="498">
        <v>0</v>
      </c>
      <c r="M40" s="498">
        <v>111500795</v>
      </c>
      <c r="N40" s="498">
        <v>21902500</v>
      </c>
      <c r="O40" s="498">
        <v>0</v>
      </c>
      <c r="P40" s="498">
        <v>171094621</v>
      </c>
    </row>
    <row r="41" spans="3:16" ht="18.75">
      <c r="C41" s="501" t="s">
        <v>570</v>
      </c>
      <c r="D41" s="502">
        <v>23690500</v>
      </c>
      <c r="E41" s="502">
        <v>0</v>
      </c>
      <c r="F41" s="502">
        <v>0</v>
      </c>
      <c r="G41" s="502">
        <v>0</v>
      </c>
      <c r="H41" s="502">
        <v>0</v>
      </c>
      <c r="I41" s="502">
        <v>0</v>
      </c>
      <c r="J41" s="502">
        <v>0</v>
      </c>
      <c r="K41" s="502">
        <v>4284136</v>
      </c>
      <c r="L41" s="502">
        <v>0</v>
      </c>
      <c r="M41" s="502">
        <v>19129745</v>
      </c>
      <c r="N41" s="502">
        <v>0</v>
      </c>
      <c r="O41" s="502">
        <v>0</v>
      </c>
      <c r="P41" s="502">
        <v>47104381</v>
      </c>
    </row>
    <row r="42" spans="3:16" ht="18.75">
      <c r="C42" s="520" t="s">
        <v>3849</v>
      </c>
      <c r="D42" s="514">
        <v>17059500</v>
      </c>
      <c r="E42" s="514">
        <v>0</v>
      </c>
      <c r="F42" s="514">
        <v>0</v>
      </c>
      <c r="G42" s="514">
        <v>0</v>
      </c>
      <c r="H42" s="514">
        <v>0</v>
      </c>
      <c r="I42" s="514">
        <v>0</v>
      </c>
      <c r="J42" s="514">
        <v>0</v>
      </c>
      <c r="K42" s="514">
        <v>2586799</v>
      </c>
      <c r="L42" s="514">
        <v>0</v>
      </c>
      <c r="M42" s="514">
        <v>18539745</v>
      </c>
      <c r="N42" s="514">
        <v>0</v>
      </c>
      <c r="O42" s="514">
        <v>0</v>
      </c>
      <c r="P42" s="514">
        <v>38186044</v>
      </c>
    </row>
    <row r="43" spans="3:16" ht="18.75">
      <c r="C43" s="521" t="s">
        <v>3801</v>
      </c>
      <c r="D43" s="510">
        <v>13053500</v>
      </c>
      <c r="E43" s="510">
        <v>0</v>
      </c>
      <c r="F43" s="510">
        <v>0</v>
      </c>
      <c r="G43" s="510">
        <v>0</v>
      </c>
      <c r="H43" s="510">
        <v>0</v>
      </c>
      <c r="I43" s="510">
        <v>0</v>
      </c>
      <c r="J43" s="510">
        <v>0</v>
      </c>
      <c r="K43" s="510">
        <v>1500472</v>
      </c>
      <c r="L43" s="510">
        <v>0</v>
      </c>
      <c r="M43" s="510">
        <v>18539000</v>
      </c>
      <c r="N43" s="510">
        <v>0</v>
      </c>
      <c r="O43" s="510">
        <v>0</v>
      </c>
      <c r="P43" s="510">
        <v>33092972</v>
      </c>
    </row>
    <row r="44" spans="3:16" ht="18.75">
      <c r="C44" s="521" t="s">
        <v>3802</v>
      </c>
      <c r="D44" s="510">
        <v>4006000</v>
      </c>
      <c r="E44" s="510">
        <v>0</v>
      </c>
      <c r="F44" s="510">
        <v>0</v>
      </c>
      <c r="G44" s="510">
        <v>0</v>
      </c>
      <c r="H44" s="510">
        <v>0</v>
      </c>
      <c r="I44" s="510">
        <v>0</v>
      </c>
      <c r="J44" s="510">
        <v>0</v>
      </c>
      <c r="K44" s="510">
        <v>1086327</v>
      </c>
      <c r="L44" s="510">
        <v>0</v>
      </c>
      <c r="M44" s="510">
        <v>745</v>
      </c>
      <c r="N44" s="510">
        <v>0</v>
      </c>
      <c r="O44" s="510">
        <v>0</v>
      </c>
      <c r="P44" s="510">
        <v>5093072</v>
      </c>
    </row>
    <row r="45" spans="3:16" ht="18.75">
      <c r="C45" s="520" t="s">
        <v>3851</v>
      </c>
      <c r="D45" s="514">
        <v>6631000</v>
      </c>
      <c r="E45" s="514">
        <v>0</v>
      </c>
      <c r="F45" s="514">
        <v>0</v>
      </c>
      <c r="G45" s="514">
        <v>0</v>
      </c>
      <c r="H45" s="514">
        <v>0</v>
      </c>
      <c r="I45" s="514">
        <v>0</v>
      </c>
      <c r="J45" s="514">
        <v>0</v>
      </c>
      <c r="K45" s="514">
        <v>1697337</v>
      </c>
      <c r="L45" s="514">
        <v>0</v>
      </c>
      <c r="M45" s="514">
        <v>590000</v>
      </c>
      <c r="N45" s="514">
        <v>0</v>
      </c>
      <c r="O45" s="514">
        <v>0</v>
      </c>
      <c r="P45" s="514">
        <v>8918337</v>
      </c>
    </row>
    <row r="46" spans="3:16" ht="18.75">
      <c r="C46" s="521" t="s">
        <v>3852</v>
      </c>
      <c r="D46" s="510">
        <v>6631000</v>
      </c>
      <c r="E46" s="510">
        <v>0</v>
      </c>
      <c r="F46" s="510">
        <v>0</v>
      </c>
      <c r="G46" s="510">
        <v>0</v>
      </c>
      <c r="H46" s="510">
        <v>0</v>
      </c>
      <c r="I46" s="510">
        <v>0</v>
      </c>
      <c r="J46" s="510">
        <v>0</v>
      </c>
      <c r="K46" s="510">
        <v>1697337</v>
      </c>
      <c r="L46" s="510">
        <v>0</v>
      </c>
      <c r="M46" s="510">
        <v>590000</v>
      </c>
      <c r="N46" s="510">
        <v>0</v>
      </c>
      <c r="O46" s="510">
        <v>0</v>
      </c>
      <c r="P46" s="510">
        <v>8918337</v>
      </c>
    </row>
    <row r="47" spans="3:16" ht="18.75">
      <c r="C47" s="501" t="s">
        <v>533</v>
      </c>
      <c r="D47" s="502">
        <v>8951850</v>
      </c>
      <c r="E47" s="502">
        <v>0</v>
      </c>
      <c r="F47" s="502">
        <v>0</v>
      </c>
      <c r="G47" s="502">
        <v>0</v>
      </c>
      <c r="H47" s="502">
        <v>0</v>
      </c>
      <c r="I47" s="502">
        <v>0</v>
      </c>
      <c r="J47" s="502">
        <v>0</v>
      </c>
      <c r="K47" s="502">
        <v>764840</v>
      </c>
      <c r="L47" s="502">
        <v>0</v>
      </c>
      <c r="M47" s="502">
        <v>92371050</v>
      </c>
      <c r="N47" s="502">
        <v>21902500</v>
      </c>
      <c r="O47" s="502">
        <v>0</v>
      </c>
      <c r="P47" s="502">
        <v>123990240</v>
      </c>
    </row>
    <row r="48" spans="3:16" ht="18.75">
      <c r="C48" s="520" t="s">
        <v>3845</v>
      </c>
      <c r="D48" s="514">
        <v>7807250</v>
      </c>
      <c r="E48" s="514">
        <v>0</v>
      </c>
      <c r="F48" s="514">
        <v>0</v>
      </c>
      <c r="G48" s="514">
        <v>0</v>
      </c>
      <c r="H48" s="514">
        <v>0</v>
      </c>
      <c r="I48" s="514">
        <v>0</v>
      </c>
      <c r="J48" s="514">
        <v>0</v>
      </c>
      <c r="K48" s="514">
        <v>764840</v>
      </c>
      <c r="L48" s="514">
        <v>0</v>
      </c>
      <c r="M48" s="514">
        <v>25422850</v>
      </c>
      <c r="N48" s="514">
        <v>17232250</v>
      </c>
      <c r="O48" s="514">
        <v>0</v>
      </c>
      <c r="P48" s="514">
        <v>51227190</v>
      </c>
    </row>
    <row r="49" spans="3:16" ht="18.75">
      <c r="C49" s="521" t="s">
        <v>3846</v>
      </c>
      <c r="D49" s="510">
        <v>1551450</v>
      </c>
      <c r="E49" s="510">
        <v>0</v>
      </c>
      <c r="F49" s="510">
        <v>0</v>
      </c>
      <c r="G49" s="510">
        <v>0</v>
      </c>
      <c r="H49" s="510">
        <v>0</v>
      </c>
      <c r="I49" s="510">
        <v>0</v>
      </c>
      <c r="J49" s="510">
        <v>0</v>
      </c>
      <c r="K49" s="510">
        <v>123671</v>
      </c>
      <c r="L49" s="510">
        <v>0</v>
      </c>
      <c r="M49" s="510">
        <v>500</v>
      </c>
      <c r="N49" s="510">
        <v>3656000</v>
      </c>
      <c r="O49" s="510">
        <v>0</v>
      </c>
      <c r="P49" s="510">
        <v>5331621</v>
      </c>
    </row>
    <row r="50" spans="3:16" ht="18.75">
      <c r="C50" s="521" t="s">
        <v>3847</v>
      </c>
      <c r="D50" s="510">
        <v>4565150</v>
      </c>
      <c r="E50" s="510">
        <v>0</v>
      </c>
      <c r="F50" s="510">
        <v>0</v>
      </c>
      <c r="G50" s="510">
        <v>0</v>
      </c>
      <c r="H50" s="510">
        <v>0</v>
      </c>
      <c r="I50" s="510">
        <v>0</v>
      </c>
      <c r="J50" s="510">
        <v>0</v>
      </c>
      <c r="K50" s="510">
        <v>641169</v>
      </c>
      <c r="L50" s="510">
        <v>0</v>
      </c>
      <c r="M50" s="510">
        <v>25422150</v>
      </c>
      <c r="N50" s="510">
        <v>7352000</v>
      </c>
      <c r="O50" s="510">
        <v>0</v>
      </c>
      <c r="P50" s="510">
        <v>37980469</v>
      </c>
    </row>
    <row r="51" spans="3:16" ht="18.75">
      <c r="C51" s="521" t="s">
        <v>3848</v>
      </c>
      <c r="D51" s="510">
        <v>1690650</v>
      </c>
      <c r="E51" s="510">
        <v>0</v>
      </c>
      <c r="F51" s="510">
        <v>0</v>
      </c>
      <c r="G51" s="510">
        <v>0</v>
      </c>
      <c r="H51" s="510">
        <v>0</v>
      </c>
      <c r="I51" s="510">
        <v>0</v>
      </c>
      <c r="J51" s="510">
        <v>0</v>
      </c>
      <c r="K51" s="510">
        <v>0</v>
      </c>
      <c r="L51" s="510">
        <v>0</v>
      </c>
      <c r="M51" s="510">
        <v>200</v>
      </c>
      <c r="N51" s="510">
        <v>6224250</v>
      </c>
      <c r="O51" s="510">
        <v>0</v>
      </c>
      <c r="P51" s="510">
        <v>7915100</v>
      </c>
    </row>
    <row r="52" spans="3:16" ht="18.75">
      <c r="C52" s="520" t="s">
        <v>3815</v>
      </c>
      <c r="D52" s="514">
        <v>1144600</v>
      </c>
      <c r="E52" s="514">
        <v>0</v>
      </c>
      <c r="F52" s="514">
        <v>0</v>
      </c>
      <c r="G52" s="514">
        <v>0</v>
      </c>
      <c r="H52" s="514">
        <v>0</v>
      </c>
      <c r="I52" s="514">
        <v>0</v>
      </c>
      <c r="J52" s="514">
        <v>0</v>
      </c>
      <c r="K52" s="514">
        <v>0</v>
      </c>
      <c r="L52" s="514">
        <v>0</v>
      </c>
      <c r="M52" s="514">
        <v>66948200</v>
      </c>
      <c r="N52" s="514">
        <v>4670250</v>
      </c>
      <c r="O52" s="514">
        <v>0</v>
      </c>
      <c r="P52" s="514">
        <v>72763050</v>
      </c>
    </row>
    <row r="53" spans="3:16" ht="18.75">
      <c r="C53" s="521" t="s">
        <v>3814</v>
      </c>
      <c r="D53" s="510">
        <v>1144600</v>
      </c>
      <c r="E53" s="510">
        <v>0</v>
      </c>
      <c r="F53" s="510">
        <v>0</v>
      </c>
      <c r="G53" s="510">
        <v>0</v>
      </c>
      <c r="H53" s="510">
        <v>0</v>
      </c>
      <c r="I53" s="510">
        <v>0</v>
      </c>
      <c r="J53" s="510">
        <v>0</v>
      </c>
      <c r="K53" s="510">
        <v>0</v>
      </c>
      <c r="L53" s="510">
        <v>0</v>
      </c>
      <c r="M53" s="510">
        <v>66948200</v>
      </c>
      <c r="N53" s="510">
        <v>4670250</v>
      </c>
      <c r="O53" s="510">
        <v>0</v>
      </c>
      <c r="P53" s="510">
        <v>72763050</v>
      </c>
    </row>
    <row r="54" spans="3:16" ht="18.75">
      <c r="C54" s="497" t="s">
        <v>565</v>
      </c>
      <c r="D54" s="498">
        <v>16824460</v>
      </c>
      <c r="E54" s="498">
        <v>5000</v>
      </c>
      <c r="F54" s="498">
        <v>344152440</v>
      </c>
      <c r="G54" s="498">
        <v>42152000</v>
      </c>
      <c r="H54" s="498">
        <v>29992000</v>
      </c>
      <c r="I54" s="498">
        <v>489782094</v>
      </c>
      <c r="J54" s="498">
        <v>0</v>
      </c>
      <c r="K54" s="498">
        <v>720</v>
      </c>
      <c r="L54" s="498">
        <v>27222950</v>
      </c>
      <c r="M54" s="498">
        <v>157510171</v>
      </c>
      <c r="N54" s="498">
        <v>121577000</v>
      </c>
      <c r="O54" s="498">
        <v>1650000</v>
      </c>
      <c r="P54" s="498">
        <v>1230868835</v>
      </c>
    </row>
    <row r="55" spans="3:16" ht="18.75">
      <c r="C55" s="501" t="s">
        <v>535</v>
      </c>
      <c r="D55" s="502">
        <v>10063500</v>
      </c>
      <c r="E55" s="502">
        <v>0</v>
      </c>
      <c r="F55" s="502">
        <v>0</v>
      </c>
      <c r="G55" s="502">
        <v>0</v>
      </c>
      <c r="H55" s="502">
        <v>0</v>
      </c>
      <c r="I55" s="502">
        <v>0</v>
      </c>
      <c r="J55" s="502">
        <v>0</v>
      </c>
      <c r="K55" s="502">
        <v>0</v>
      </c>
      <c r="L55" s="502">
        <v>0</v>
      </c>
      <c r="M55" s="502">
        <v>20153980</v>
      </c>
      <c r="N55" s="502">
        <v>12600000</v>
      </c>
      <c r="O55" s="502">
        <v>0</v>
      </c>
      <c r="P55" s="502">
        <v>42817480</v>
      </c>
    </row>
    <row r="56" spans="3:16" ht="18.75">
      <c r="C56" s="520" t="s">
        <v>3854</v>
      </c>
      <c r="D56" s="514">
        <v>10063500</v>
      </c>
      <c r="E56" s="514">
        <v>0</v>
      </c>
      <c r="F56" s="514">
        <v>0</v>
      </c>
      <c r="G56" s="514">
        <v>0</v>
      </c>
      <c r="H56" s="514">
        <v>0</v>
      </c>
      <c r="I56" s="514">
        <v>0</v>
      </c>
      <c r="J56" s="514">
        <v>0</v>
      </c>
      <c r="K56" s="514">
        <v>0</v>
      </c>
      <c r="L56" s="514">
        <v>0</v>
      </c>
      <c r="M56" s="514">
        <v>20153980</v>
      </c>
      <c r="N56" s="514">
        <v>12600000</v>
      </c>
      <c r="O56" s="514">
        <v>0</v>
      </c>
      <c r="P56" s="514">
        <v>42817480</v>
      </c>
    </row>
    <row r="57" spans="3:16" ht="18.75">
      <c r="C57" s="521" t="s">
        <v>3855</v>
      </c>
      <c r="D57" s="510">
        <v>1579000</v>
      </c>
      <c r="E57" s="510">
        <v>0</v>
      </c>
      <c r="F57" s="510">
        <v>0</v>
      </c>
      <c r="G57" s="510">
        <v>0</v>
      </c>
      <c r="H57" s="510">
        <v>0</v>
      </c>
      <c r="I57" s="510">
        <v>0</v>
      </c>
      <c r="J57" s="510">
        <v>0</v>
      </c>
      <c r="K57" s="510">
        <v>0</v>
      </c>
      <c r="L57" s="510">
        <v>0</v>
      </c>
      <c r="M57" s="510">
        <v>448</v>
      </c>
      <c r="N57" s="510">
        <v>0</v>
      </c>
      <c r="O57" s="510">
        <v>0</v>
      </c>
      <c r="P57" s="510">
        <v>1579448</v>
      </c>
    </row>
    <row r="58" spans="3:16" ht="18.75">
      <c r="C58" s="521" t="s">
        <v>3856</v>
      </c>
      <c r="D58" s="510">
        <v>136000</v>
      </c>
      <c r="E58" s="510">
        <v>0</v>
      </c>
      <c r="F58" s="510">
        <v>0</v>
      </c>
      <c r="G58" s="510">
        <v>0</v>
      </c>
      <c r="H58" s="510">
        <v>0</v>
      </c>
      <c r="I58" s="510">
        <v>0</v>
      </c>
      <c r="J58" s="510">
        <v>0</v>
      </c>
      <c r="K58" s="510">
        <v>0</v>
      </c>
      <c r="L58" s="510">
        <v>0</v>
      </c>
      <c r="M58" s="510">
        <v>2500000</v>
      </c>
      <c r="N58" s="510">
        <v>0</v>
      </c>
      <c r="O58" s="510">
        <v>0</v>
      </c>
      <c r="P58" s="510">
        <v>2636000</v>
      </c>
    </row>
    <row r="59" spans="3:16" ht="18.75">
      <c r="C59" s="521" t="s">
        <v>3857</v>
      </c>
      <c r="D59" s="510">
        <v>32500</v>
      </c>
      <c r="E59" s="510">
        <v>0</v>
      </c>
      <c r="F59" s="510">
        <v>0</v>
      </c>
      <c r="G59" s="510">
        <v>0</v>
      </c>
      <c r="H59" s="510">
        <v>0</v>
      </c>
      <c r="I59" s="510">
        <v>0</v>
      </c>
      <c r="J59" s="510">
        <v>0</v>
      </c>
      <c r="K59" s="510">
        <v>0</v>
      </c>
      <c r="L59" s="510">
        <v>0</v>
      </c>
      <c r="M59" s="510">
        <v>0</v>
      </c>
      <c r="N59" s="510">
        <v>0</v>
      </c>
      <c r="O59" s="510">
        <v>0</v>
      </c>
      <c r="P59" s="510">
        <v>32500</v>
      </c>
    </row>
    <row r="60" spans="3:16" ht="18.75">
      <c r="C60" s="521" t="s">
        <v>3858</v>
      </c>
      <c r="D60" s="510">
        <v>1535000</v>
      </c>
      <c r="E60" s="510">
        <v>0</v>
      </c>
      <c r="F60" s="510">
        <v>0</v>
      </c>
      <c r="G60" s="510">
        <v>0</v>
      </c>
      <c r="H60" s="510">
        <v>0</v>
      </c>
      <c r="I60" s="510">
        <v>0</v>
      </c>
      <c r="J60" s="510">
        <v>0</v>
      </c>
      <c r="K60" s="510">
        <v>0</v>
      </c>
      <c r="L60" s="510">
        <v>0</v>
      </c>
      <c r="M60" s="510">
        <v>532</v>
      </c>
      <c r="N60" s="510">
        <v>0</v>
      </c>
      <c r="O60" s="510">
        <v>0</v>
      </c>
      <c r="P60" s="510">
        <v>1535532</v>
      </c>
    </row>
    <row r="61" spans="3:16" ht="18.75">
      <c r="C61" s="521" t="s">
        <v>3859</v>
      </c>
      <c r="D61" s="510">
        <v>2556000</v>
      </c>
      <c r="E61" s="510">
        <v>0</v>
      </c>
      <c r="F61" s="510">
        <v>0</v>
      </c>
      <c r="G61" s="510">
        <v>0</v>
      </c>
      <c r="H61" s="510">
        <v>0</v>
      </c>
      <c r="I61" s="510">
        <v>0</v>
      </c>
      <c r="J61" s="510">
        <v>0</v>
      </c>
      <c r="K61" s="510">
        <v>0</v>
      </c>
      <c r="L61" s="510">
        <v>0</v>
      </c>
      <c r="M61" s="510">
        <v>0</v>
      </c>
      <c r="N61" s="510">
        <v>0</v>
      </c>
      <c r="O61" s="510">
        <v>0</v>
      </c>
      <c r="P61" s="510">
        <v>2556000</v>
      </c>
    </row>
    <row r="62" spans="3:16" ht="18.75">
      <c r="C62" s="521" t="s">
        <v>3860</v>
      </c>
      <c r="D62" s="510">
        <v>4225000</v>
      </c>
      <c r="E62" s="510">
        <v>0</v>
      </c>
      <c r="F62" s="510">
        <v>0</v>
      </c>
      <c r="G62" s="510">
        <v>0</v>
      </c>
      <c r="H62" s="510">
        <v>0</v>
      </c>
      <c r="I62" s="510">
        <v>0</v>
      </c>
      <c r="J62" s="510">
        <v>0</v>
      </c>
      <c r="K62" s="510">
        <v>0</v>
      </c>
      <c r="L62" s="510">
        <v>0</v>
      </c>
      <c r="M62" s="510">
        <v>17653000</v>
      </c>
      <c r="N62" s="510">
        <v>12600000</v>
      </c>
      <c r="O62" s="510">
        <v>0</v>
      </c>
      <c r="P62" s="510">
        <v>34478000</v>
      </c>
    </row>
    <row r="63" spans="3:16" ht="18.75">
      <c r="C63" s="501" t="s">
        <v>549</v>
      </c>
      <c r="D63" s="502">
        <v>6760960</v>
      </c>
      <c r="E63" s="502">
        <v>5000</v>
      </c>
      <c r="F63" s="502">
        <v>344152440</v>
      </c>
      <c r="G63" s="502">
        <v>42152000</v>
      </c>
      <c r="H63" s="502">
        <v>29992000</v>
      </c>
      <c r="I63" s="502">
        <v>489782094</v>
      </c>
      <c r="J63" s="502">
        <v>0</v>
      </c>
      <c r="K63" s="502">
        <v>720</v>
      </c>
      <c r="L63" s="502">
        <v>27222950</v>
      </c>
      <c r="M63" s="502">
        <v>137356191</v>
      </c>
      <c r="N63" s="502">
        <v>108977000</v>
      </c>
      <c r="O63" s="502">
        <v>1650000</v>
      </c>
      <c r="P63" s="502">
        <v>1188051355</v>
      </c>
    </row>
    <row r="64" spans="3:16" ht="18.75">
      <c r="C64" s="520" t="s">
        <v>3840</v>
      </c>
      <c r="D64" s="514">
        <v>0</v>
      </c>
      <c r="E64" s="514">
        <v>0</v>
      </c>
      <c r="F64" s="514">
        <v>0</v>
      </c>
      <c r="G64" s="514">
        <v>0</v>
      </c>
      <c r="H64" s="514">
        <v>0</v>
      </c>
      <c r="I64" s="514">
        <v>0</v>
      </c>
      <c r="J64" s="514">
        <v>0</v>
      </c>
      <c r="K64" s="514">
        <v>0</v>
      </c>
      <c r="L64" s="514">
        <v>0</v>
      </c>
      <c r="M64" s="514">
        <v>0</v>
      </c>
      <c r="N64" s="514">
        <v>0</v>
      </c>
      <c r="O64" s="514">
        <v>0</v>
      </c>
      <c r="P64" s="514">
        <v>0</v>
      </c>
    </row>
    <row r="65" spans="3:16" ht="18.75">
      <c r="C65" s="521" t="s">
        <v>3841</v>
      </c>
      <c r="D65" s="510">
        <v>0</v>
      </c>
      <c r="E65" s="510">
        <v>0</v>
      </c>
      <c r="F65" s="510">
        <v>0</v>
      </c>
      <c r="G65" s="510">
        <v>0</v>
      </c>
      <c r="H65" s="510">
        <v>0</v>
      </c>
      <c r="I65" s="510">
        <v>0</v>
      </c>
      <c r="J65" s="510">
        <v>0</v>
      </c>
      <c r="K65" s="510">
        <v>0</v>
      </c>
      <c r="L65" s="510">
        <v>0</v>
      </c>
      <c r="M65" s="510">
        <v>0</v>
      </c>
      <c r="N65" s="510">
        <v>0</v>
      </c>
      <c r="O65" s="510">
        <v>0</v>
      </c>
      <c r="P65" s="510">
        <v>0</v>
      </c>
    </row>
    <row r="66" spans="3:16" ht="18.75">
      <c r="C66" s="520" t="s">
        <v>3817</v>
      </c>
      <c r="D66" s="514">
        <v>6760960</v>
      </c>
      <c r="E66" s="514">
        <v>5000</v>
      </c>
      <c r="F66" s="514">
        <v>0</v>
      </c>
      <c r="G66" s="514">
        <v>3000000</v>
      </c>
      <c r="H66" s="514">
        <v>0</v>
      </c>
      <c r="I66" s="514">
        <v>0</v>
      </c>
      <c r="J66" s="514">
        <v>0</v>
      </c>
      <c r="K66" s="514">
        <v>720</v>
      </c>
      <c r="L66" s="514">
        <v>0</v>
      </c>
      <c r="M66" s="514">
        <v>137356191</v>
      </c>
      <c r="N66" s="514">
        <v>0</v>
      </c>
      <c r="O66" s="514">
        <v>1650000</v>
      </c>
      <c r="P66" s="514">
        <v>148772871</v>
      </c>
    </row>
    <row r="67" spans="3:16" ht="18.75">
      <c r="C67" s="521" t="s">
        <v>3798</v>
      </c>
      <c r="D67" s="510">
        <v>1200</v>
      </c>
      <c r="E67" s="510">
        <v>0</v>
      </c>
      <c r="F67" s="510">
        <v>0</v>
      </c>
      <c r="G67" s="510">
        <v>0</v>
      </c>
      <c r="H67" s="510">
        <v>0</v>
      </c>
      <c r="I67" s="510">
        <v>0</v>
      </c>
      <c r="J67" s="510">
        <v>0</v>
      </c>
      <c r="K67" s="510">
        <v>0</v>
      </c>
      <c r="L67" s="510">
        <v>0</v>
      </c>
      <c r="M67" s="510">
        <v>300500</v>
      </c>
      <c r="N67" s="510">
        <v>0</v>
      </c>
      <c r="O67" s="510">
        <v>0</v>
      </c>
      <c r="P67" s="510">
        <v>301700</v>
      </c>
    </row>
    <row r="68" spans="3:16" ht="18.75">
      <c r="C68" s="521" t="s">
        <v>3799</v>
      </c>
      <c r="D68" s="510">
        <v>2575000</v>
      </c>
      <c r="E68" s="510">
        <v>0</v>
      </c>
      <c r="F68" s="510">
        <v>0</v>
      </c>
      <c r="G68" s="510">
        <v>0</v>
      </c>
      <c r="H68" s="510">
        <v>0</v>
      </c>
      <c r="I68" s="510">
        <v>0</v>
      </c>
      <c r="J68" s="510">
        <v>0</v>
      </c>
      <c r="K68" s="510">
        <v>0</v>
      </c>
      <c r="L68" s="510">
        <v>0</v>
      </c>
      <c r="M68" s="510">
        <v>110112129</v>
      </c>
      <c r="N68" s="510">
        <v>0</v>
      </c>
      <c r="O68" s="510">
        <v>0</v>
      </c>
      <c r="P68" s="510">
        <v>112687129</v>
      </c>
    </row>
    <row r="69" spans="3:16" ht="18.75">
      <c r="C69" s="521" t="s">
        <v>3819</v>
      </c>
      <c r="D69" s="510">
        <v>128260</v>
      </c>
      <c r="E69" s="510">
        <v>0</v>
      </c>
      <c r="F69" s="510">
        <v>0</v>
      </c>
      <c r="G69" s="510">
        <v>3000000</v>
      </c>
      <c r="H69" s="510">
        <v>0</v>
      </c>
      <c r="I69" s="510">
        <v>0</v>
      </c>
      <c r="J69" s="510">
        <v>0</v>
      </c>
      <c r="K69" s="510">
        <v>0</v>
      </c>
      <c r="L69" s="510">
        <v>0</v>
      </c>
      <c r="M69" s="510">
        <v>9020000</v>
      </c>
      <c r="N69" s="510">
        <v>0</v>
      </c>
      <c r="O69" s="510">
        <v>1650000</v>
      </c>
      <c r="P69" s="510">
        <v>13798260</v>
      </c>
    </row>
    <row r="70" spans="3:16" ht="18.75">
      <c r="C70" s="521" t="s">
        <v>3800</v>
      </c>
      <c r="D70" s="510">
        <v>4051500</v>
      </c>
      <c r="E70" s="510">
        <v>0</v>
      </c>
      <c r="F70" s="510">
        <v>0</v>
      </c>
      <c r="G70" s="510">
        <v>0</v>
      </c>
      <c r="H70" s="510">
        <v>0</v>
      </c>
      <c r="I70" s="510">
        <v>0</v>
      </c>
      <c r="J70" s="510">
        <v>0</v>
      </c>
      <c r="K70" s="510">
        <v>0</v>
      </c>
      <c r="L70" s="510">
        <v>0</v>
      </c>
      <c r="M70" s="510">
        <v>17923262</v>
      </c>
      <c r="N70" s="510">
        <v>0</v>
      </c>
      <c r="O70" s="510">
        <v>0</v>
      </c>
      <c r="P70" s="510">
        <v>21974762</v>
      </c>
    </row>
    <row r="71" spans="3:16" ht="18.75">
      <c r="C71" s="521" t="s">
        <v>3820</v>
      </c>
      <c r="D71" s="510">
        <v>5000</v>
      </c>
      <c r="E71" s="510">
        <v>5000</v>
      </c>
      <c r="F71" s="510">
        <v>0</v>
      </c>
      <c r="G71" s="510">
        <v>0</v>
      </c>
      <c r="H71" s="510">
        <v>0</v>
      </c>
      <c r="I71" s="510">
        <v>0</v>
      </c>
      <c r="J71" s="510">
        <v>0</v>
      </c>
      <c r="K71" s="510">
        <v>720</v>
      </c>
      <c r="L71" s="510">
        <v>0</v>
      </c>
      <c r="M71" s="510">
        <v>300</v>
      </c>
      <c r="N71" s="510">
        <v>0</v>
      </c>
      <c r="O71" s="510">
        <v>0</v>
      </c>
      <c r="P71" s="510">
        <v>11020</v>
      </c>
    </row>
    <row r="72" spans="3:16" ht="18.75">
      <c r="C72" s="520" t="s">
        <v>3811</v>
      </c>
      <c r="D72" s="514">
        <v>0</v>
      </c>
      <c r="E72" s="514">
        <v>0</v>
      </c>
      <c r="F72" s="514">
        <v>0</v>
      </c>
      <c r="G72" s="514">
        <v>0</v>
      </c>
      <c r="H72" s="514">
        <v>0</v>
      </c>
      <c r="I72" s="514">
        <v>0</v>
      </c>
      <c r="J72" s="514">
        <v>0</v>
      </c>
      <c r="K72" s="514">
        <v>0</v>
      </c>
      <c r="L72" s="514">
        <v>0</v>
      </c>
      <c r="M72" s="514">
        <v>0</v>
      </c>
      <c r="N72" s="514">
        <v>0</v>
      </c>
      <c r="O72" s="514">
        <v>0</v>
      </c>
      <c r="P72" s="514">
        <v>0</v>
      </c>
    </row>
    <row r="73" spans="3:16" ht="18.75">
      <c r="C73" s="521" t="s">
        <v>3810</v>
      </c>
      <c r="D73" s="510">
        <v>0</v>
      </c>
      <c r="E73" s="510">
        <v>0</v>
      </c>
      <c r="F73" s="510">
        <v>0</v>
      </c>
      <c r="G73" s="510">
        <v>0</v>
      </c>
      <c r="H73" s="510">
        <v>0</v>
      </c>
      <c r="I73" s="510">
        <v>0</v>
      </c>
      <c r="J73" s="510">
        <v>0</v>
      </c>
      <c r="K73" s="510">
        <v>0</v>
      </c>
      <c r="L73" s="510">
        <v>0</v>
      </c>
      <c r="M73" s="510">
        <v>0</v>
      </c>
      <c r="N73" s="510">
        <v>0</v>
      </c>
      <c r="O73" s="510">
        <v>0</v>
      </c>
      <c r="P73" s="510">
        <v>0</v>
      </c>
    </row>
    <row r="74" spans="3:16" ht="18.75">
      <c r="C74" s="520" t="s">
        <v>3734</v>
      </c>
      <c r="D74" s="514">
        <v>0</v>
      </c>
      <c r="E74" s="514">
        <v>0</v>
      </c>
      <c r="F74" s="514">
        <v>344152440</v>
      </c>
      <c r="G74" s="514">
        <v>39152000</v>
      </c>
      <c r="H74" s="514">
        <v>29992000</v>
      </c>
      <c r="I74" s="514">
        <v>489782094</v>
      </c>
      <c r="J74" s="514">
        <v>0</v>
      </c>
      <c r="K74" s="514">
        <v>0</v>
      </c>
      <c r="L74" s="514">
        <v>27222950</v>
      </c>
      <c r="M74" s="514">
        <v>0</v>
      </c>
      <c r="N74" s="514">
        <v>108977000</v>
      </c>
      <c r="O74" s="514">
        <v>0</v>
      </c>
      <c r="P74" s="514">
        <v>1039278484</v>
      </c>
    </row>
    <row r="75" spans="3:16" ht="18.75">
      <c r="C75" s="521" t="s">
        <v>3827</v>
      </c>
      <c r="D75" s="510">
        <v>0</v>
      </c>
      <c r="E75" s="510">
        <v>0</v>
      </c>
      <c r="F75" s="510">
        <v>0</v>
      </c>
      <c r="G75" s="510">
        <v>0</v>
      </c>
      <c r="H75" s="510">
        <v>0</v>
      </c>
      <c r="I75" s="510">
        <v>433176094</v>
      </c>
      <c r="J75" s="510">
        <v>0</v>
      </c>
      <c r="K75" s="510">
        <v>0</v>
      </c>
      <c r="L75" s="510">
        <v>0</v>
      </c>
      <c r="M75" s="510">
        <v>0</v>
      </c>
      <c r="N75" s="510">
        <v>108977000</v>
      </c>
      <c r="O75" s="510">
        <v>0</v>
      </c>
      <c r="P75" s="510">
        <v>542153094</v>
      </c>
    </row>
    <row r="76" spans="3:16" ht="18.75">
      <c r="C76" s="521" t="s">
        <v>3829</v>
      </c>
      <c r="D76" s="510">
        <v>0</v>
      </c>
      <c r="E76" s="510">
        <v>0</v>
      </c>
      <c r="F76" s="510">
        <v>0</v>
      </c>
      <c r="G76" s="510">
        <v>39152000</v>
      </c>
      <c r="H76" s="510">
        <v>0</v>
      </c>
      <c r="I76" s="510">
        <v>0</v>
      </c>
      <c r="J76" s="510">
        <v>0</v>
      </c>
      <c r="K76" s="510">
        <v>0</v>
      </c>
      <c r="L76" s="510">
        <v>27222950</v>
      </c>
      <c r="M76" s="510">
        <v>0</v>
      </c>
      <c r="N76" s="510">
        <v>0</v>
      </c>
      <c r="O76" s="510">
        <v>0</v>
      </c>
      <c r="P76" s="510">
        <v>66374950</v>
      </c>
    </row>
    <row r="77" spans="3:16" ht="18.75">
      <c r="C77" s="521" t="s">
        <v>3831</v>
      </c>
      <c r="D77" s="510">
        <v>0</v>
      </c>
      <c r="E77" s="510">
        <v>0</v>
      </c>
      <c r="F77" s="510">
        <v>344152440</v>
      </c>
      <c r="G77" s="510">
        <v>0</v>
      </c>
      <c r="H77" s="510">
        <v>0</v>
      </c>
      <c r="I77" s="510">
        <v>0</v>
      </c>
      <c r="J77" s="510">
        <v>0</v>
      </c>
      <c r="K77" s="510">
        <v>0</v>
      </c>
      <c r="L77" s="510">
        <v>0</v>
      </c>
      <c r="M77" s="510">
        <v>0</v>
      </c>
      <c r="N77" s="510">
        <v>0</v>
      </c>
      <c r="O77" s="510">
        <v>0</v>
      </c>
      <c r="P77" s="510">
        <v>344152440</v>
      </c>
    </row>
    <row r="78" spans="3:16" ht="18.75">
      <c r="C78" s="521" t="s">
        <v>3834</v>
      </c>
      <c r="D78" s="510">
        <v>0</v>
      </c>
      <c r="E78" s="510">
        <v>0</v>
      </c>
      <c r="F78" s="510">
        <v>0</v>
      </c>
      <c r="G78" s="510">
        <v>0</v>
      </c>
      <c r="H78" s="510">
        <v>29992000</v>
      </c>
      <c r="I78" s="510">
        <v>56606000</v>
      </c>
      <c r="J78" s="510">
        <v>0</v>
      </c>
      <c r="K78" s="510">
        <v>0</v>
      </c>
      <c r="L78" s="510">
        <v>0</v>
      </c>
      <c r="M78" s="510">
        <v>0</v>
      </c>
      <c r="N78" s="510">
        <v>0</v>
      </c>
      <c r="O78" s="510">
        <v>0</v>
      </c>
      <c r="P78" s="510">
        <v>86598000</v>
      </c>
    </row>
    <row r="79" spans="3:16" ht="18.75">
      <c r="C79" s="493" t="s">
        <v>3803</v>
      </c>
      <c r="D79" s="494">
        <v>147342050</v>
      </c>
      <c r="E79" s="494">
        <v>123600000</v>
      </c>
      <c r="F79" s="494">
        <v>0</v>
      </c>
      <c r="G79" s="494">
        <v>0</v>
      </c>
      <c r="H79" s="494">
        <v>0</v>
      </c>
      <c r="I79" s="494">
        <v>0</v>
      </c>
      <c r="J79" s="494">
        <v>0</v>
      </c>
      <c r="K79" s="494">
        <v>2837148908</v>
      </c>
      <c r="L79" s="494">
        <v>0</v>
      </c>
      <c r="M79" s="494">
        <v>467798294</v>
      </c>
      <c r="N79" s="494">
        <v>57412000</v>
      </c>
      <c r="O79" s="494">
        <v>0</v>
      </c>
      <c r="P79" s="494">
        <v>3633301252</v>
      </c>
    </row>
    <row r="80" spans="3:16" ht="18.75">
      <c r="C80" s="497" t="s">
        <v>532</v>
      </c>
      <c r="D80" s="498">
        <v>147342050</v>
      </c>
      <c r="E80" s="498">
        <v>123600000</v>
      </c>
      <c r="F80" s="498">
        <v>0</v>
      </c>
      <c r="G80" s="498">
        <v>0</v>
      </c>
      <c r="H80" s="498">
        <v>0</v>
      </c>
      <c r="I80" s="498">
        <v>0</v>
      </c>
      <c r="J80" s="498">
        <v>0</v>
      </c>
      <c r="K80" s="498">
        <v>2837148908</v>
      </c>
      <c r="L80" s="498">
        <v>0</v>
      </c>
      <c r="M80" s="498">
        <v>467798294</v>
      </c>
      <c r="N80" s="498">
        <v>57412000</v>
      </c>
      <c r="O80" s="498">
        <v>0</v>
      </c>
      <c r="P80" s="498">
        <v>3633301252</v>
      </c>
    </row>
    <row r="81" spans="3:16" ht="18.75">
      <c r="C81" s="501" t="s">
        <v>533</v>
      </c>
      <c r="D81" s="502">
        <v>147342050</v>
      </c>
      <c r="E81" s="502">
        <v>123600000</v>
      </c>
      <c r="F81" s="502">
        <v>0</v>
      </c>
      <c r="G81" s="502">
        <v>0</v>
      </c>
      <c r="H81" s="502">
        <v>0</v>
      </c>
      <c r="I81" s="502">
        <v>0</v>
      </c>
      <c r="J81" s="502">
        <v>0</v>
      </c>
      <c r="K81" s="502">
        <v>2837148908</v>
      </c>
      <c r="L81" s="502">
        <v>0</v>
      </c>
      <c r="M81" s="502">
        <v>467798294</v>
      </c>
      <c r="N81" s="502">
        <v>57412000</v>
      </c>
      <c r="O81" s="502">
        <v>0</v>
      </c>
      <c r="P81" s="502">
        <v>3633301252</v>
      </c>
    </row>
    <row r="82" spans="3:16" ht="18.75">
      <c r="C82" s="520" t="s">
        <v>3864</v>
      </c>
      <c r="D82" s="514">
        <v>128262450</v>
      </c>
      <c r="E82" s="514">
        <v>123600000</v>
      </c>
      <c r="F82" s="514">
        <v>0</v>
      </c>
      <c r="G82" s="514">
        <v>0</v>
      </c>
      <c r="H82" s="514">
        <v>0</v>
      </c>
      <c r="I82" s="514">
        <v>0</v>
      </c>
      <c r="J82" s="514">
        <v>0</v>
      </c>
      <c r="K82" s="514">
        <v>2837148908</v>
      </c>
      <c r="L82" s="514">
        <v>0</v>
      </c>
      <c r="M82" s="514">
        <v>413598294</v>
      </c>
      <c r="N82" s="514">
        <v>35632000</v>
      </c>
      <c r="O82" s="514">
        <v>0</v>
      </c>
      <c r="P82" s="514">
        <v>3538241652</v>
      </c>
    </row>
    <row r="83" spans="3:16" ht="18.75">
      <c r="C83" s="521" t="s">
        <v>3865</v>
      </c>
      <c r="D83" s="510">
        <v>99100000</v>
      </c>
      <c r="E83" s="510">
        <v>117600000</v>
      </c>
      <c r="F83" s="510">
        <v>0</v>
      </c>
      <c r="G83" s="510">
        <v>0</v>
      </c>
      <c r="H83" s="510">
        <v>0</v>
      </c>
      <c r="I83" s="510">
        <v>0</v>
      </c>
      <c r="J83" s="510">
        <v>0</v>
      </c>
      <c r="K83" s="510">
        <v>1333864000</v>
      </c>
      <c r="L83" s="510">
        <v>0</v>
      </c>
      <c r="M83" s="510">
        <v>117465000</v>
      </c>
      <c r="N83" s="510">
        <v>15310000</v>
      </c>
      <c r="O83" s="510">
        <v>0</v>
      </c>
      <c r="P83" s="510">
        <v>1683339000</v>
      </c>
    </row>
    <row r="84" spans="3:16" ht="18.75">
      <c r="C84" s="521" t="s">
        <v>3867</v>
      </c>
      <c r="D84" s="510">
        <v>17162450</v>
      </c>
      <c r="E84" s="510">
        <v>6000000</v>
      </c>
      <c r="F84" s="510">
        <v>0</v>
      </c>
      <c r="G84" s="510">
        <v>0</v>
      </c>
      <c r="H84" s="510">
        <v>0</v>
      </c>
      <c r="I84" s="510">
        <v>0</v>
      </c>
      <c r="J84" s="510">
        <v>0</v>
      </c>
      <c r="K84" s="510">
        <v>1483284908</v>
      </c>
      <c r="L84" s="510">
        <v>0</v>
      </c>
      <c r="M84" s="510">
        <v>154092294</v>
      </c>
      <c r="N84" s="510">
        <v>20322000</v>
      </c>
      <c r="O84" s="510">
        <v>0</v>
      </c>
      <c r="P84" s="510">
        <v>1680861652</v>
      </c>
    </row>
    <row r="85" spans="3:16" ht="18.75">
      <c r="C85" s="521" t="s">
        <v>3868</v>
      </c>
      <c r="D85" s="510">
        <v>12000000</v>
      </c>
      <c r="E85" s="510">
        <v>0</v>
      </c>
      <c r="F85" s="510">
        <v>0</v>
      </c>
      <c r="G85" s="510">
        <v>0</v>
      </c>
      <c r="H85" s="510">
        <v>0</v>
      </c>
      <c r="I85" s="510">
        <v>0</v>
      </c>
      <c r="J85" s="510">
        <v>0</v>
      </c>
      <c r="K85" s="510">
        <v>20000000</v>
      </c>
      <c r="L85" s="510">
        <v>0</v>
      </c>
      <c r="M85" s="510">
        <v>142041000</v>
      </c>
      <c r="N85" s="510">
        <v>0</v>
      </c>
      <c r="O85" s="510">
        <v>0</v>
      </c>
      <c r="P85" s="510">
        <v>174041000</v>
      </c>
    </row>
    <row r="86" spans="3:16" ht="18.75">
      <c r="C86" s="520" t="s">
        <v>3879</v>
      </c>
      <c r="D86" s="514">
        <v>19079600</v>
      </c>
      <c r="E86" s="514">
        <v>0</v>
      </c>
      <c r="F86" s="514">
        <v>0</v>
      </c>
      <c r="G86" s="514">
        <v>0</v>
      </c>
      <c r="H86" s="514">
        <v>0</v>
      </c>
      <c r="I86" s="514">
        <v>0</v>
      </c>
      <c r="J86" s="514">
        <v>0</v>
      </c>
      <c r="K86" s="514">
        <v>0</v>
      </c>
      <c r="L86" s="514">
        <v>0</v>
      </c>
      <c r="M86" s="514">
        <v>54200000</v>
      </c>
      <c r="N86" s="514">
        <v>21780000</v>
      </c>
      <c r="O86" s="514">
        <v>0</v>
      </c>
      <c r="P86" s="514">
        <v>95059600</v>
      </c>
    </row>
    <row r="87" spans="3:16" ht="18.75">
      <c r="C87" s="521" t="s">
        <v>3880</v>
      </c>
      <c r="D87" s="510">
        <v>19079600</v>
      </c>
      <c r="E87" s="510">
        <v>0</v>
      </c>
      <c r="F87" s="510">
        <v>0</v>
      </c>
      <c r="G87" s="510">
        <v>0</v>
      </c>
      <c r="H87" s="510">
        <v>0</v>
      </c>
      <c r="I87" s="510">
        <v>0</v>
      </c>
      <c r="J87" s="510">
        <v>0</v>
      </c>
      <c r="K87" s="510">
        <v>0</v>
      </c>
      <c r="L87" s="510">
        <v>0</v>
      </c>
      <c r="M87" s="510">
        <v>54200000</v>
      </c>
      <c r="N87" s="510">
        <v>21780000</v>
      </c>
      <c r="O87" s="510">
        <v>0</v>
      </c>
      <c r="P87" s="510">
        <v>95059600</v>
      </c>
    </row>
    <row r="88" spans="3:16" ht="18.75">
      <c r="C88" s="488" t="s">
        <v>3887</v>
      </c>
      <c r="D88" s="494">
        <v>339632610</v>
      </c>
      <c r="E88" s="494">
        <v>189740000</v>
      </c>
      <c r="F88" s="494">
        <v>344152440</v>
      </c>
      <c r="G88" s="494">
        <v>42152000</v>
      </c>
      <c r="H88" s="494">
        <v>29992000</v>
      </c>
      <c r="I88" s="494">
        <v>489782094</v>
      </c>
      <c r="J88" s="494">
        <v>0</v>
      </c>
      <c r="K88" s="494">
        <v>2879875328</v>
      </c>
      <c r="L88" s="494">
        <v>27222950</v>
      </c>
      <c r="M88" s="494">
        <v>914380403</v>
      </c>
      <c r="N88" s="494">
        <v>231431500</v>
      </c>
      <c r="O88" s="494">
        <v>3150000</v>
      </c>
      <c r="P88" s="494">
        <v>5491511325</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2:G5 G262:G1048576">
    <cfRule type="cellIs" dxfId="3635" priority="3" operator="lessThan">
      <formula>0</formula>
    </cfRule>
  </conditionalFormatting>
  <conditionalFormatting pivot="1" sqref="D7:P88">
    <cfRule type="cellIs" dxfId="3634" priority="2" operator="lessThan">
      <formula>0</formula>
    </cfRule>
  </conditionalFormatting>
  <conditionalFormatting sqref="G1">
    <cfRule type="cellIs" dxfId="3633" priority="1" operator="lessThan">
      <formula>0</formula>
    </cfRule>
  </conditionalFormatting>
  <pageMargins left="0.34" right="0.22" top="0.25" bottom="0.24" header="0.19" footer="0.16"/>
  <pageSetup paperSize="9" scale="30"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tabSelected="1"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M33" sqref="M33"/>
    </sheetView>
  </sheetViews>
  <sheetFormatPr defaultRowHeight="15"/>
  <cols>
    <col min="3" max="3" width="141.28515625" style="233" bestFit="1" customWidth="1"/>
    <col min="4" max="4" width="21.140625" bestFit="1" customWidth="1"/>
    <col min="5" max="5" width="19.7109375" bestFit="1" customWidth="1"/>
    <col min="6" max="6" width="15.7109375" style="208" bestFit="1" customWidth="1"/>
    <col min="7" max="7" width="19.7109375" bestFit="1" customWidth="1"/>
    <col min="8" max="8" width="15" bestFit="1" customWidth="1"/>
    <col min="9" max="9" width="18.5703125" style="171" bestFit="1" customWidth="1"/>
    <col min="10" max="10" width="21.42578125" customWidth="1"/>
    <col min="11" max="11" width="14.28515625" bestFit="1" customWidth="1"/>
    <col min="13" max="13" width="14.28515625" style="159" customWidth="1"/>
    <col min="15" max="15" width="13" bestFit="1" customWidth="1"/>
    <col min="18" max="18" width="19.28515625" customWidth="1"/>
    <col min="21" max="21" width="11.5703125" bestFit="1" customWidth="1"/>
  </cols>
  <sheetData>
    <row r="1" spans="3:18" ht="19.5">
      <c r="C1" s="545" t="str">
        <f>'PERSUBBID - Gaji'!A1</f>
        <v>REALISASI TANPA GAJI (BERDASARKAN PAGU SETELAH BLOKIR)</v>
      </c>
      <c r="D1" s="545"/>
      <c r="E1" s="545"/>
      <c r="F1" s="545"/>
      <c r="G1" s="545"/>
      <c r="H1" s="545"/>
    </row>
    <row r="2" spans="3:18" ht="19.5">
      <c r="C2" s="545" t="str">
        <f>'PER BULAN'!B5</f>
        <v>Berdasarkan DIPA Revisi 3 TA. 2022 (Tanggal 13 Juli 2022)</v>
      </c>
      <c r="D2" s="545"/>
      <c r="E2" s="545"/>
      <c r="F2" s="545"/>
      <c r="G2" s="545"/>
      <c r="H2" s="545"/>
    </row>
    <row r="3" spans="3:18" ht="19.5">
      <c r="C3" s="545" t="str">
        <f>'PER BULAN'!B6</f>
        <v>SAMPAI DENGAN 1 SEPTEMBER 2022</v>
      </c>
      <c r="D3" s="545"/>
      <c r="E3" s="545"/>
      <c r="F3" s="545"/>
      <c r="G3" s="545"/>
      <c r="H3" s="545"/>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8384292675</v>
      </c>
      <c r="F6" s="491">
        <v>60.423833278417597</v>
      </c>
      <c r="G6" s="490">
        <v>5491511325</v>
      </c>
      <c r="H6" s="492">
        <v>39.576166721582403</v>
      </c>
      <c r="J6" s="161"/>
      <c r="R6" s="159"/>
    </row>
    <row r="7" spans="3:18" ht="18.75">
      <c r="C7" s="493" t="s">
        <v>3771</v>
      </c>
      <c r="D7" s="494">
        <v>1000000000</v>
      </c>
      <c r="E7" s="494">
        <v>584808435</v>
      </c>
      <c r="F7" s="495">
        <v>58.480843499999999</v>
      </c>
      <c r="G7" s="494">
        <v>415191565</v>
      </c>
      <c r="H7" s="496">
        <v>41.519156500000001</v>
      </c>
      <c r="R7" s="159"/>
    </row>
    <row r="8" spans="3:18" ht="18.75">
      <c r="C8" s="493" t="s">
        <v>3781</v>
      </c>
      <c r="D8" s="494">
        <v>1000000000</v>
      </c>
      <c r="E8" s="494">
        <v>584808435</v>
      </c>
      <c r="F8" s="495">
        <v>58.480843499999999</v>
      </c>
      <c r="G8" s="494">
        <v>415191565</v>
      </c>
      <c r="H8" s="496">
        <v>41.519156500000001</v>
      </c>
    </row>
    <row r="9" spans="3:18" ht="18.75">
      <c r="C9" s="497" t="s">
        <v>528</v>
      </c>
      <c r="D9" s="498">
        <v>821400000</v>
      </c>
      <c r="E9" s="498">
        <v>473754850</v>
      </c>
      <c r="F9" s="499">
        <v>57.676509617725834</v>
      </c>
      <c r="G9" s="498">
        <v>347645150</v>
      </c>
      <c r="H9" s="500">
        <v>42.323490382274166</v>
      </c>
    </row>
    <row r="10" spans="3:18" ht="18.75">
      <c r="C10" s="501" t="s">
        <v>529</v>
      </c>
      <c r="D10" s="502">
        <v>686300000</v>
      </c>
      <c r="E10" s="502">
        <v>391052990</v>
      </c>
      <c r="F10" s="503">
        <v>56.979890718344748</v>
      </c>
      <c r="G10" s="502">
        <v>295247010</v>
      </c>
      <c r="H10" s="504">
        <v>43.020109281655259</v>
      </c>
    </row>
    <row r="11" spans="3:18" ht="18.75">
      <c r="C11" s="493" t="s">
        <v>3783</v>
      </c>
      <c r="D11" s="494">
        <v>686300000</v>
      </c>
      <c r="E11" s="494">
        <v>391052990</v>
      </c>
      <c r="F11" s="495">
        <v>56.979890718344748</v>
      </c>
      <c r="G11" s="494">
        <v>295247010</v>
      </c>
      <c r="H11" s="496">
        <v>43.020109281655259</v>
      </c>
    </row>
    <row r="12" spans="3:18" ht="18.75">
      <c r="C12" s="505" t="s">
        <v>3789</v>
      </c>
      <c r="D12" s="506">
        <v>686300000</v>
      </c>
      <c r="E12" s="506">
        <v>391052990</v>
      </c>
      <c r="F12" s="507">
        <v>56.979890718344748</v>
      </c>
      <c r="G12" s="506">
        <v>295247010</v>
      </c>
      <c r="H12" s="508">
        <v>43.020109281655259</v>
      </c>
    </row>
    <row r="13" spans="3:18" ht="18.75">
      <c r="C13" s="509" t="s">
        <v>3790</v>
      </c>
      <c r="D13" s="510">
        <v>386924000</v>
      </c>
      <c r="E13" s="510">
        <v>222698850</v>
      </c>
      <c r="F13" s="511">
        <v>57.556225511986845</v>
      </c>
      <c r="G13" s="510">
        <v>164225150</v>
      </c>
      <c r="H13" s="512">
        <v>42.443774488013148</v>
      </c>
    </row>
    <row r="14" spans="3:18" ht="18.75">
      <c r="C14" s="513" t="s">
        <v>3773</v>
      </c>
      <c r="D14" s="494">
        <v>64900000</v>
      </c>
      <c r="E14" s="494">
        <v>41367750</v>
      </c>
      <c r="F14" s="495">
        <v>63.740755007704166</v>
      </c>
      <c r="G14" s="494">
        <v>23532250</v>
      </c>
      <c r="H14" s="496">
        <v>36.259244992295841</v>
      </c>
    </row>
    <row r="15" spans="3:18" ht="18.75">
      <c r="C15" s="513" t="s">
        <v>3786</v>
      </c>
      <c r="D15" s="494">
        <v>6000000</v>
      </c>
      <c r="E15" s="494">
        <v>4043000</v>
      </c>
      <c r="F15" s="495">
        <v>67.383333333333326</v>
      </c>
      <c r="G15" s="494">
        <v>1957000</v>
      </c>
      <c r="H15" s="496">
        <v>32.616666666666667</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11700000</v>
      </c>
      <c r="F17" s="495">
        <v>46.428571428571431</v>
      </c>
      <c r="G17" s="494">
        <v>13500000</v>
      </c>
      <c r="H17" s="496">
        <v>53.571428571428569</v>
      </c>
    </row>
    <row r="18" spans="3:21" ht="18.75">
      <c r="C18" s="513" t="s">
        <v>3778</v>
      </c>
      <c r="D18" s="494">
        <v>6000000</v>
      </c>
      <c r="E18" s="494">
        <v>0</v>
      </c>
      <c r="F18" s="495">
        <v>0</v>
      </c>
      <c r="G18" s="494">
        <v>6000000</v>
      </c>
      <c r="H18" s="496">
        <v>100</v>
      </c>
    </row>
    <row r="19" spans="3:21" ht="18.75">
      <c r="C19" s="513" t="s">
        <v>3777</v>
      </c>
      <c r="D19" s="494">
        <v>253324000</v>
      </c>
      <c r="E19" s="494">
        <v>153581600</v>
      </c>
      <c r="F19" s="495">
        <v>60.626549399188391</v>
      </c>
      <c r="G19" s="494">
        <v>99742400</v>
      </c>
      <c r="H19" s="496">
        <v>39.373450600811609</v>
      </c>
      <c r="I19" s="476"/>
      <c r="J19" s="161"/>
    </row>
    <row r="20" spans="3:21" ht="18.75">
      <c r="C20" s="513" t="s">
        <v>505</v>
      </c>
      <c r="D20" s="494">
        <v>1500000</v>
      </c>
      <c r="E20" s="494">
        <v>0</v>
      </c>
      <c r="F20" s="495">
        <v>0</v>
      </c>
      <c r="G20" s="494">
        <v>1500000</v>
      </c>
      <c r="H20" s="496">
        <v>100</v>
      </c>
    </row>
    <row r="21" spans="3:21" ht="18.75">
      <c r="C21" s="509" t="s">
        <v>3792</v>
      </c>
      <c r="D21" s="510">
        <v>247816000</v>
      </c>
      <c r="E21" s="510">
        <v>161050140</v>
      </c>
      <c r="F21" s="511">
        <v>64.987789327565622</v>
      </c>
      <c r="G21" s="510">
        <v>86765860</v>
      </c>
      <c r="H21" s="512">
        <v>35.012210672434385</v>
      </c>
    </row>
    <row r="22" spans="3:21" ht="18.75">
      <c r="C22" s="513" t="s">
        <v>3773</v>
      </c>
      <c r="D22" s="494">
        <v>71456000</v>
      </c>
      <c r="E22" s="494">
        <v>15898550</v>
      </c>
      <c r="F22" s="495">
        <v>22.249426220331394</v>
      </c>
      <c r="G22" s="494">
        <v>55557450</v>
      </c>
      <c r="H22" s="496">
        <v>77.750573779668613</v>
      </c>
      <c r="K22" s="159">
        <v>8308332675</v>
      </c>
      <c r="U22" s="161"/>
    </row>
    <row r="23" spans="3:21" ht="18.75">
      <c r="C23" s="513" t="s">
        <v>3786</v>
      </c>
      <c r="D23" s="494">
        <v>5000000</v>
      </c>
      <c r="E23" s="494">
        <v>4596400</v>
      </c>
      <c r="F23" s="495">
        <v>91.927999999999997</v>
      </c>
      <c r="G23" s="494">
        <v>403600</v>
      </c>
      <c r="H23" s="496">
        <v>8.0719999999999992</v>
      </c>
      <c r="K23" s="161">
        <f>GETPIVOTDATA("Realisasi ",$C$5,"eselon2","Pusat Pendidikan KP")-K22</f>
        <v>75960000</v>
      </c>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7304000</v>
      </c>
      <c r="F28" s="511">
        <v>14.166020170674942</v>
      </c>
      <c r="G28" s="510">
        <v>44256000</v>
      </c>
      <c r="H28" s="512">
        <v>85.83397982932506</v>
      </c>
    </row>
    <row r="29" spans="3:21" ht="18.75">
      <c r="C29" s="513" t="s">
        <v>3773</v>
      </c>
      <c r="D29" s="494">
        <v>20830000</v>
      </c>
      <c r="E29" s="494">
        <v>2484000</v>
      </c>
      <c r="F29" s="495">
        <v>11.925108017282765</v>
      </c>
      <c r="G29" s="494">
        <v>18346000</v>
      </c>
      <c r="H29" s="496">
        <v>88.074891982717233</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4820000</v>
      </c>
      <c r="F32" s="495">
        <v>20.929222752930958</v>
      </c>
      <c r="G32" s="494">
        <v>18210000</v>
      </c>
      <c r="H32" s="496">
        <v>79.070777247069032</v>
      </c>
    </row>
    <row r="33" spans="3:15" ht="18.75">
      <c r="C33" s="501" t="s">
        <v>531</v>
      </c>
      <c r="D33" s="502">
        <v>135100000</v>
      </c>
      <c r="E33" s="502">
        <v>82701860</v>
      </c>
      <c r="F33" s="503">
        <v>61.215292376017757</v>
      </c>
      <c r="G33" s="502">
        <v>52398140</v>
      </c>
      <c r="H33" s="504">
        <v>38.784707623982236</v>
      </c>
    </row>
    <row r="34" spans="3:15" ht="18.75">
      <c r="C34" s="493" t="s">
        <v>3783</v>
      </c>
      <c r="D34" s="494">
        <v>135100000</v>
      </c>
      <c r="E34" s="494">
        <v>82701860</v>
      </c>
      <c r="F34" s="495">
        <v>61.215292376017757</v>
      </c>
      <c r="G34" s="494">
        <v>52398140</v>
      </c>
      <c r="H34" s="496">
        <v>38.784707623982236</v>
      </c>
      <c r="O34" s="161"/>
    </row>
    <row r="35" spans="3:15" ht="18.75">
      <c r="C35" s="505" t="s">
        <v>3793</v>
      </c>
      <c r="D35" s="506">
        <v>135100000</v>
      </c>
      <c r="E35" s="506">
        <v>82701860</v>
      </c>
      <c r="F35" s="507">
        <v>61.215292376017757</v>
      </c>
      <c r="G35" s="506">
        <v>52398140</v>
      </c>
      <c r="H35" s="508">
        <v>38.784707623982236</v>
      </c>
    </row>
    <row r="36" spans="3:15" ht="18.75">
      <c r="C36" s="509" t="s">
        <v>3794</v>
      </c>
      <c r="D36" s="510">
        <v>135100000</v>
      </c>
      <c r="E36" s="510">
        <v>82701860</v>
      </c>
      <c r="F36" s="511">
        <v>61.215292376017757</v>
      </c>
      <c r="G36" s="510">
        <v>52398140</v>
      </c>
      <c r="H36" s="512">
        <v>38.784707623982236</v>
      </c>
    </row>
    <row r="37" spans="3:15" ht="18.75">
      <c r="C37" s="513" t="s">
        <v>3773</v>
      </c>
      <c r="D37" s="494">
        <v>13500000</v>
      </c>
      <c r="E37" s="494">
        <v>13489250</v>
      </c>
      <c r="F37" s="495">
        <v>99.920370370370364</v>
      </c>
      <c r="G37" s="494">
        <v>10750</v>
      </c>
      <c r="H37" s="496">
        <v>7.962962962962962E-2</v>
      </c>
    </row>
    <row r="38" spans="3:15" ht="18.75">
      <c r="C38" s="513" t="s">
        <v>3786</v>
      </c>
      <c r="D38" s="494">
        <v>8884000</v>
      </c>
      <c r="E38" s="494">
        <v>1100000</v>
      </c>
      <c r="F38" s="495">
        <v>12.381809995497523</v>
      </c>
      <c r="G38" s="494">
        <v>7784000</v>
      </c>
      <c r="H38" s="496">
        <v>87.618190004502466</v>
      </c>
    </row>
    <row r="39" spans="3:15" ht="18.75">
      <c r="C39" s="513" t="s">
        <v>3776</v>
      </c>
      <c r="D39" s="494">
        <v>15300000</v>
      </c>
      <c r="E39" s="494">
        <v>7200000</v>
      </c>
      <c r="F39" s="495">
        <v>47.058823529411761</v>
      </c>
      <c r="G39" s="494">
        <v>8100000</v>
      </c>
      <c r="H39" s="496">
        <v>52.941176470588239</v>
      </c>
    </row>
    <row r="40" spans="3:15" ht="18.75">
      <c r="C40" s="513" t="s">
        <v>3777</v>
      </c>
      <c r="D40" s="494">
        <v>97416000</v>
      </c>
      <c r="E40" s="494">
        <v>60912610</v>
      </c>
      <c r="F40" s="495">
        <v>62.528342366757009</v>
      </c>
      <c r="G40" s="494">
        <v>36503390</v>
      </c>
      <c r="H40" s="496">
        <v>37.471657633242998</v>
      </c>
    </row>
    <row r="41" spans="3:15" ht="18.75">
      <c r="C41" s="497" t="s">
        <v>524</v>
      </c>
      <c r="D41" s="498">
        <v>178600000</v>
      </c>
      <c r="E41" s="498">
        <v>111053585</v>
      </c>
      <c r="F41" s="499">
        <v>62.180058790593506</v>
      </c>
      <c r="G41" s="498">
        <v>67546415</v>
      </c>
      <c r="H41" s="500">
        <v>37.819941209406494</v>
      </c>
    </row>
    <row r="42" spans="3:15" ht="18.75">
      <c r="C42" s="501" t="s">
        <v>525</v>
      </c>
      <c r="D42" s="502">
        <v>124100000</v>
      </c>
      <c r="E42" s="502">
        <v>78078000</v>
      </c>
      <c r="F42" s="503">
        <v>62.915390813859794</v>
      </c>
      <c r="G42" s="502">
        <v>46022000</v>
      </c>
      <c r="H42" s="504">
        <v>37.084609186140213</v>
      </c>
    </row>
    <row r="43" spans="3:15" ht="18.75">
      <c r="C43" s="493" t="s">
        <v>3783</v>
      </c>
      <c r="D43" s="494">
        <v>124100000</v>
      </c>
      <c r="E43" s="494">
        <v>78078000</v>
      </c>
      <c r="F43" s="495">
        <v>62.915390813859794</v>
      </c>
      <c r="G43" s="494">
        <v>46022000</v>
      </c>
      <c r="H43" s="496">
        <v>37.084609186140213</v>
      </c>
    </row>
    <row r="44" spans="3:15" ht="18.75">
      <c r="C44" s="505" t="s">
        <v>3784</v>
      </c>
      <c r="D44" s="506">
        <v>124100000</v>
      </c>
      <c r="E44" s="506">
        <v>78078000</v>
      </c>
      <c r="F44" s="507">
        <v>62.915390813859794</v>
      </c>
      <c r="G44" s="506">
        <v>46022000</v>
      </c>
      <c r="H44" s="508">
        <v>37.084609186140213</v>
      </c>
    </row>
    <row r="45" spans="3:15" ht="18.75">
      <c r="C45" s="509" t="s">
        <v>3785</v>
      </c>
      <c r="D45" s="510">
        <v>83135000</v>
      </c>
      <c r="E45" s="510">
        <v>53207000</v>
      </c>
      <c r="F45" s="511">
        <v>64.000721717688108</v>
      </c>
      <c r="G45" s="510">
        <v>29928000</v>
      </c>
      <c r="H45" s="512">
        <v>35.999278282311906</v>
      </c>
    </row>
    <row r="46" spans="3:15" ht="18.75">
      <c r="C46" s="513" t="s">
        <v>3773</v>
      </c>
      <c r="D46" s="494">
        <v>19875000</v>
      </c>
      <c r="E46" s="494">
        <v>11431000</v>
      </c>
      <c r="F46" s="495">
        <v>57.514465408805023</v>
      </c>
      <c r="G46" s="494">
        <v>8444000</v>
      </c>
      <c r="H46" s="496">
        <v>42.48553459119497</v>
      </c>
    </row>
    <row r="47" spans="3:15" ht="18.75">
      <c r="C47" s="513" t="s">
        <v>3776</v>
      </c>
      <c r="D47" s="494">
        <v>20000000</v>
      </c>
      <c r="E47" s="494">
        <v>6300000</v>
      </c>
      <c r="F47" s="495">
        <v>31.5</v>
      </c>
      <c r="G47" s="494">
        <v>13700000</v>
      </c>
      <c r="H47" s="496">
        <v>68.5</v>
      </c>
    </row>
    <row r="48" spans="3:15" ht="18.75">
      <c r="C48" s="513" t="s">
        <v>3777</v>
      </c>
      <c r="D48" s="494">
        <v>43260000</v>
      </c>
      <c r="E48" s="494">
        <v>35476000</v>
      </c>
      <c r="F48" s="495">
        <v>82.006472491909392</v>
      </c>
      <c r="G48" s="494">
        <v>7784000</v>
      </c>
      <c r="H48" s="496">
        <v>17.993527508090615</v>
      </c>
    </row>
    <row r="49" spans="3:10" ht="18.75">
      <c r="C49" s="509" t="s">
        <v>3787</v>
      </c>
      <c r="D49" s="510">
        <v>40965000</v>
      </c>
      <c r="E49" s="510">
        <v>24871000</v>
      </c>
      <c r="F49" s="511">
        <v>60.712803612840226</v>
      </c>
      <c r="G49" s="510">
        <v>16094000</v>
      </c>
      <c r="H49" s="512">
        <v>39.287196387159774</v>
      </c>
      <c r="I49" s="476"/>
      <c r="J49" s="161"/>
    </row>
    <row r="50" spans="3:10" ht="18.75">
      <c r="C50" s="513" t="s">
        <v>3773</v>
      </c>
      <c r="D50" s="494">
        <v>19500000</v>
      </c>
      <c r="E50" s="494">
        <v>6511000</v>
      </c>
      <c r="F50" s="495">
        <v>33.389743589743595</v>
      </c>
      <c r="G50" s="494">
        <v>12989000</v>
      </c>
      <c r="H50" s="496">
        <v>66.610256410256412</v>
      </c>
    </row>
    <row r="51" spans="3:10" ht="18.75">
      <c r="C51" s="513" t="s">
        <v>3776</v>
      </c>
      <c r="D51" s="494">
        <v>4000000</v>
      </c>
      <c r="E51" s="494">
        <v>900000</v>
      </c>
      <c r="F51" s="495">
        <v>22.5</v>
      </c>
      <c r="G51" s="494">
        <v>3100000</v>
      </c>
      <c r="H51" s="496">
        <v>77.5</v>
      </c>
      <c r="I51" s="476"/>
    </row>
    <row r="52" spans="3:10" ht="18.75">
      <c r="C52" s="513" t="s">
        <v>3777</v>
      </c>
      <c r="D52" s="494">
        <v>17465000</v>
      </c>
      <c r="E52" s="494">
        <v>17460000</v>
      </c>
      <c r="F52" s="495">
        <v>99.971371314056682</v>
      </c>
      <c r="G52" s="494">
        <v>5000</v>
      </c>
      <c r="H52" s="496">
        <v>2.8628685943315198E-2</v>
      </c>
    </row>
    <row r="53" spans="3:10" ht="18.75">
      <c r="C53" s="501" t="s">
        <v>527</v>
      </c>
      <c r="D53" s="502">
        <v>54500000</v>
      </c>
      <c r="E53" s="502">
        <v>32975585</v>
      </c>
      <c r="F53" s="503">
        <v>60.505660550458714</v>
      </c>
      <c r="G53" s="502">
        <v>21524415</v>
      </c>
      <c r="H53" s="504">
        <v>39.494339449541286</v>
      </c>
    </row>
    <row r="54" spans="3:10" ht="18.75">
      <c r="C54" s="493" t="s">
        <v>3783</v>
      </c>
      <c r="D54" s="494">
        <v>54500000</v>
      </c>
      <c r="E54" s="494">
        <v>32975585</v>
      </c>
      <c r="F54" s="495">
        <v>60.505660550458714</v>
      </c>
      <c r="G54" s="494">
        <v>21524415</v>
      </c>
      <c r="H54" s="496">
        <v>39.494339449541286</v>
      </c>
    </row>
    <row r="55" spans="3:10" ht="18.75">
      <c r="C55" s="505" t="s">
        <v>3788</v>
      </c>
      <c r="D55" s="506">
        <v>54500000</v>
      </c>
      <c r="E55" s="506">
        <v>32975585</v>
      </c>
      <c r="F55" s="507">
        <v>60.505660550458714</v>
      </c>
      <c r="G55" s="506">
        <v>21524415</v>
      </c>
      <c r="H55" s="508">
        <v>39.494339449541286</v>
      </c>
    </row>
    <row r="56" spans="3:10" ht="18.75">
      <c r="C56" s="509" t="s">
        <v>3805</v>
      </c>
      <c r="D56" s="510">
        <v>54500000</v>
      </c>
      <c r="E56" s="510">
        <v>32975585</v>
      </c>
      <c r="F56" s="511">
        <v>60.505660550458714</v>
      </c>
      <c r="G56" s="510">
        <v>21524415</v>
      </c>
      <c r="H56" s="512">
        <v>39.494339449541286</v>
      </c>
    </row>
    <row r="57" spans="3:10" ht="18.75">
      <c r="C57" s="513" t="s">
        <v>3773</v>
      </c>
      <c r="D57" s="494">
        <v>21250000</v>
      </c>
      <c r="E57" s="494">
        <v>4620000</v>
      </c>
      <c r="F57" s="495">
        <v>21.741176470588236</v>
      </c>
      <c r="G57" s="494">
        <v>16630000</v>
      </c>
      <c r="H57" s="496">
        <v>78.258823529411771</v>
      </c>
    </row>
    <row r="58" spans="3:10" ht="18.75">
      <c r="C58" s="513" t="s">
        <v>3777</v>
      </c>
      <c r="D58" s="494">
        <v>33250000</v>
      </c>
      <c r="E58" s="494">
        <v>28355585</v>
      </c>
      <c r="F58" s="495">
        <v>85.27995488721804</v>
      </c>
      <c r="G58" s="494">
        <v>4894415</v>
      </c>
      <c r="H58" s="496">
        <v>14.720045112781953</v>
      </c>
    </row>
    <row r="59" spans="3:10" ht="18.75">
      <c r="C59" s="493" t="s">
        <v>3796</v>
      </c>
      <c r="D59" s="494">
        <v>12875804000</v>
      </c>
      <c r="E59" s="494">
        <v>7799484240</v>
      </c>
      <c r="F59" s="495">
        <v>60.574735682525152</v>
      </c>
      <c r="G59" s="494">
        <v>5076319760</v>
      </c>
      <c r="H59" s="496">
        <v>39.425264317474856</v>
      </c>
      <c r="I59" s="476"/>
      <c r="J59" s="161"/>
    </row>
    <row r="60" spans="3:10" ht="18.75">
      <c r="C60" s="493" t="s">
        <v>3797</v>
      </c>
      <c r="D60" s="494">
        <v>4293304000</v>
      </c>
      <c r="E60" s="494">
        <v>2850285492</v>
      </c>
      <c r="F60" s="495">
        <v>66.389090826086388</v>
      </c>
      <c r="G60" s="494">
        <v>1443018508</v>
      </c>
      <c r="H60" s="496">
        <v>33.610909173913612</v>
      </c>
    </row>
    <row r="61" spans="3:10" ht="18.75">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8.75">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8.75">
      <c r="C65" s="509" t="s">
        <v>3822</v>
      </c>
      <c r="D65" s="510">
        <v>17357000</v>
      </c>
      <c r="E65" s="510">
        <v>13647358</v>
      </c>
      <c r="F65" s="511">
        <v>78.627401048568302</v>
      </c>
      <c r="G65" s="510">
        <v>3709642</v>
      </c>
      <c r="H65" s="512">
        <v>21.372598951431698</v>
      </c>
    </row>
    <row r="66" spans="3:8" ht="18.75">
      <c r="C66" s="513" t="s">
        <v>3773</v>
      </c>
      <c r="D66" s="494">
        <v>4000000</v>
      </c>
      <c r="E66" s="494">
        <v>3999200</v>
      </c>
      <c r="F66" s="495">
        <v>99.98</v>
      </c>
      <c r="G66" s="494">
        <v>800</v>
      </c>
      <c r="H66" s="496">
        <v>0.02</v>
      </c>
    </row>
    <row r="67" spans="3:8" ht="18.75">
      <c r="C67" s="513" t="s">
        <v>3786</v>
      </c>
      <c r="D67" s="494">
        <v>4298000</v>
      </c>
      <c r="E67" s="494">
        <v>4297458</v>
      </c>
      <c r="F67" s="495">
        <v>99.987389483480698</v>
      </c>
      <c r="G67" s="494">
        <v>542</v>
      </c>
      <c r="H67" s="496">
        <v>1.2610516519311306E-2</v>
      </c>
    </row>
    <row r="68" spans="3:8" ht="18.75">
      <c r="C68" s="513" t="s">
        <v>3777</v>
      </c>
      <c r="D68" s="494">
        <v>9059000</v>
      </c>
      <c r="E68" s="494">
        <v>5350700</v>
      </c>
      <c r="F68" s="495">
        <v>59.065018213930898</v>
      </c>
      <c r="G68" s="494">
        <v>3708300</v>
      </c>
      <c r="H68" s="496">
        <v>40.934981786069102</v>
      </c>
    </row>
    <row r="69" spans="3:8" ht="18.75">
      <c r="C69" s="497" t="s">
        <v>524</v>
      </c>
      <c r="D69" s="498">
        <v>193769000</v>
      </c>
      <c r="E69" s="498">
        <v>156423590</v>
      </c>
      <c r="F69" s="499">
        <v>80.726839690559387</v>
      </c>
      <c r="G69" s="498">
        <v>37345410</v>
      </c>
      <c r="H69" s="500">
        <v>19.273160309440623</v>
      </c>
    </row>
    <row r="70" spans="3:8" ht="18.75">
      <c r="C70" s="501" t="s">
        <v>525</v>
      </c>
      <c r="D70" s="502">
        <v>83506000</v>
      </c>
      <c r="E70" s="502">
        <v>80472590</v>
      </c>
      <c r="F70" s="503">
        <v>96.367434675352669</v>
      </c>
      <c r="G70" s="502">
        <v>3033410</v>
      </c>
      <c r="H70" s="504">
        <v>3.6325653246473308</v>
      </c>
    </row>
    <row r="71" spans="3:8" ht="18.75">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8.75">
      <c r="C73" s="509" t="s">
        <v>3823</v>
      </c>
      <c r="D73" s="510">
        <v>83506000</v>
      </c>
      <c r="E73" s="510">
        <v>80472590</v>
      </c>
      <c r="F73" s="511">
        <v>96.367434675352669</v>
      </c>
      <c r="G73" s="510">
        <v>3033410</v>
      </c>
      <c r="H73" s="512">
        <v>3.6325653246473308</v>
      </c>
    </row>
    <row r="74" spans="3:8" ht="18.75">
      <c r="C74" s="513" t="s">
        <v>3773</v>
      </c>
      <c r="D74" s="494">
        <v>12550000</v>
      </c>
      <c r="E74" s="494">
        <v>12517500</v>
      </c>
      <c r="F74" s="495">
        <v>99.741035856573703</v>
      </c>
      <c r="G74" s="494">
        <v>32500</v>
      </c>
      <c r="H74" s="496">
        <v>0.25896414342629481</v>
      </c>
    </row>
    <row r="75" spans="3:8" ht="18.75">
      <c r="C75" s="513" t="s">
        <v>3786</v>
      </c>
      <c r="D75" s="494">
        <v>1192000</v>
      </c>
      <c r="E75" s="494">
        <v>1191418</v>
      </c>
      <c r="F75" s="495">
        <v>99.951174496644285</v>
      </c>
      <c r="G75" s="494">
        <v>582</v>
      </c>
      <c r="H75" s="496">
        <v>4.8825503355704701E-2</v>
      </c>
    </row>
    <row r="76" spans="3:8" ht="18.75">
      <c r="C76" s="513" t="s">
        <v>3776</v>
      </c>
      <c r="D76" s="494">
        <v>9000000</v>
      </c>
      <c r="E76" s="494">
        <v>6000000</v>
      </c>
      <c r="F76" s="495">
        <v>66.666666666666657</v>
      </c>
      <c r="G76" s="494">
        <v>3000000</v>
      </c>
      <c r="H76" s="496">
        <v>33.333333333333329</v>
      </c>
    </row>
    <row r="77" spans="3:8" ht="18.75">
      <c r="C77" s="513" t="s">
        <v>3777</v>
      </c>
      <c r="D77" s="494">
        <v>60764000</v>
      </c>
      <c r="E77" s="494">
        <v>60763672</v>
      </c>
      <c r="F77" s="495">
        <v>99.999460206701343</v>
      </c>
      <c r="G77" s="494">
        <v>328</v>
      </c>
      <c r="H77" s="496">
        <v>5.3979329866368244E-4</v>
      </c>
    </row>
    <row r="78" spans="3:8" ht="18.75">
      <c r="C78" s="501" t="s">
        <v>527</v>
      </c>
      <c r="D78" s="502">
        <v>110263000</v>
      </c>
      <c r="E78" s="502">
        <v>75951000</v>
      </c>
      <c r="F78" s="503">
        <v>68.881673816239356</v>
      </c>
      <c r="G78" s="502">
        <v>34312000</v>
      </c>
      <c r="H78" s="504">
        <v>31.118326183760647</v>
      </c>
    </row>
    <row r="79" spans="3:8" ht="18.75">
      <c r="C79" s="493" t="s">
        <v>3818</v>
      </c>
      <c r="D79" s="494">
        <v>110263000</v>
      </c>
      <c r="E79" s="494">
        <v>75951000</v>
      </c>
      <c r="F79" s="495">
        <v>68.881673816239356</v>
      </c>
      <c r="G79" s="494">
        <v>34312000</v>
      </c>
      <c r="H79" s="496">
        <v>31.118326183760647</v>
      </c>
    </row>
    <row r="80" spans="3:8" ht="18.75">
      <c r="C80" s="505" t="s">
        <v>3817</v>
      </c>
      <c r="D80" s="506">
        <v>110263000</v>
      </c>
      <c r="E80" s="506">
        <v>75951000</v>
      </c>
      <c r="F80" s="507">
        <v>68.881673816239356</v>
      </c>
      <c r="G80" s="506">
        <v>34312000</v>
      </c>
      <c r="H80" s="508">
        <v>31.118326183760647</v>
      </c>
    </row>
    <row r="81" spans="3:8" ht="18.75">
      <c r="C81" s="509" t="s">
        <v>3825</v>
      </c>
      <c r="D81" s="510">
        <v>110263000</v>
      </c>
      <c r="E81" s="510">
        <v>75951000</v>
      </c>
      <c r="F81" s="511">
        <v>68.881673816239356</v>
      </c>
      <c r="G81" s="510">
        <v>34312000</v>
      </c>
      <c r="H81" s="512">
        <v>31.118326183760647</v>
      </c>
    </row>
    <row r="82" spans="3:8" ht="18.75">
      <c r="C82" s="513" t="s">
        <v>3773</v>
      </c>
      <c r="D82" s="494">
        <v>17550000</v>
      </c>
      <c r="E82" s="494">
        <v>10269000</v>
      </c>
      <c r="F82" s="495">
        <v>58.512820512820518</v>
      </c>
      <c r="G82" s="494">
        <v>7281000</v>
      </c>
      <c r="H82" s="496">
        <v>41.487179487179489</v>
      </c>
    </row>
    <row r="83" spans="3:8" ht="18.75">
      <c r="C83" s="513" t="s">
        <v>3786</v>
      </c>
      <c r="D83" s="494">
        <v>27651000</v>
      </c>
      <c r="E83" s="494">
        <v>620000</v>
      </c>
      <c r="F83" s="495">
        <v>2.2422335539401832</v>
      </c>
      <c r="G83" s="494">
        <v>27031000</v>
      </c>
      <c r="H83" s="496">
        <v>97.757766446059819</v>
      </c>
    </row>
    <row r="84" spans="3:8" ht="18.75">
      <c r="C84" s="513" t="s">
        <v>3776</v>
      </c>
      <c r="D84" s="494">
        <v>40000000</v>
      </c>
      <c r="E84" s="494">
        <v>40000000</v>
      </c>
      <c r="F84" s="495">
        <v>100</v>
      </c>
      <c r="G84" s="494">
        <v>0</v>
      </c>
      <c r="H84" s="496">
        <v>0</v>
      </c>
    </row>
    <row r="85" spans="3:8" ht="18.75">
      <c r="C85" s="513" t="s">
        <v>3777</v>
      </c>
      <c r="D85" s="494">
        <v>25062000</v>
      </c>
      <c r="E85" s="494">
        <v>25062000</v>
      </c>
      <c r="F85" s="495">
        <v>100</v>
      </c>
      <c r="G85" s="494">
        <v>0</v>
      </c>
      <c r="H85" s="496">
        <v>0</v>
      </c>
    </row>
    <row r="86" spans="3:8" ht="18.75">
      <c r="C86" s="497" t="s">
        <v>532</v>
      </c>
      <c r="D86" s="498">
        <v>463716000</v>
      </c>
      <c r="E86" s="498">
        <v>292621379</v>
      </c>
      <c r="F86" s="499">
        <v>63.1035761112405</v>
      </c>
      <c r="G86" s="498">
        <v>171094621</v>
      </c>
      <c r="H86" s="500">
        <v>36.8964238887595</v>
      </c>
    </row>
    <row r="87" spans="3:8" ht="18.75">
      <c r="C87" s="501" t="s">
        <v>570</v>
      </c>
      <c r="D87" s="502">
        <v>169798000</v>
      </c>
      <c r="E87" s="502">
        <v>122693619</v>
      </c>
      <c r="F87" s="503">
        <v>72.258577250615446</v>
      </c>
      <c r="G87" s="502">
        <v>47104381</v>
      </c>
      <c r="H87" s="504">
        <v>27.741422749384565</v>
      </c>
    </row>
    <row r="88" spans="3:8" ht="18.75">
      <c r="C88" s="493" t="s">
        <v>3850</v>
      </c>
      <c r="D88" s="494">
        <v>169798000</v>
      </c>
      <c r="E88" s="494">
        <v>122693619</v>
      </c>
      <c r="F88" s="495">
        <v>72.258577250615446</v>
      </c>
      <c r="G88" s="494">
        <v>47104381</v>
      </c>
      <c r="H88" s="496">
        <v>27.741422749384565</v>
      </c>
    </row>
    <row r="89" spans="3:8" ht="18.75">
      <c r="C89" s="505" t="s">
        <v>3849</v>
      </c>
      <c r="D89" s="506">
        <v>119729000</v>
      </c>
      <c r="E89" s="506">
        <v>81542956</v>
      </c>
      <c r="F89" s="507">
        <v>68.106269993067684</v>
      </c>
      <c r="G89" s="506">
        <v>38186044</v>
      </c>
      <c r="H89" s="508">
        <v>31.893730006932326</v>
      </c>
    </row>
    <row r="90" spans="3:8" ht="18.75">
      <c r="C90" s="509" t="s">
        <v>3801</v>
      </c>
      <c r="D90" s="510">
        <v>43789000</v>
      </c>
      <c r="E90" s="510">
        <v>10696028</v>
      </c>
      <c r="F90" s="511">
        <v>24.426289707460779</v>
      </c>
      <c r="G90" s="510">
        <v>33092972</v>
      </c>
      <c r="H90" s="512">
        <v>75.573710292539218</v>
      </c>
    </row>
    <row r="91" spans="3:8" ht="18.75">
      <c r="C91" s="513" t="s">
        <v>3773</v>
      </c>
      <c r="D91" s="494">
        <v>23250000</v>
      </c>
      <c r="E91" s="494">
        <v>10196500</v>
      </c>
      <c r="F91" s="495">
        <v>43.855913978494627</v>
      </c>
      <c r="G91" s="494">
        <v>13053500</v>
      </c>
      <c r="H91" s="496">
        <v>56.14408602150538</v>
      </c>
    </row>
    <row r="92" spans="3:8" ht="18.75">
      <c r="C92" s="513" t="s">
        <v>3786</v>
      </c>
      <c r="D92" s="494">
        <v>2000000</v>
      </c>
      <c r="E92" s="494">
        <v>499528</v>
      </c>
      <c r="F92" s="495">
        <v>24.976400000000002</v>
      </c>
      <c r="G92" s="494">
        <v>1500472</v>
      </c>
      <c r="H92" s="496">
        <v>75.023600000000002</v>
      </c>
    </row>
    <row r="93" spans="3:8" ht="18.75">
      <c r="C93" s="513" t="s">
        <v>3777</v>
      </c>
      <c r="D93" s="494">
        <v>18539000</v>
      </c>
      <c r="E93" s="494">
        <v>0</v>
      </c>
      <c r="F93" s="495">
        <v>0</v>
      </c>
      <c r="G93" s="494">
        <v>18539000</v>
      </c>
      <c r="H93" s="496">
        <v>100</v>
      </c>
    </row>
    <row r="94" spans="3:8" ht="18.75">
      <c r="C94" s="509" t="s">
        <v>3802</v>
      </c>
      <c r="D94" s="510">
        <v>75940000</v>
      </c>
      <c r="E94" s="510">
        <v>70846928</v>
      </c>
      <c r="F94" s="511">
        <v>93.293294706347112</v>
      </c>
      <c r="G94" s="510">
        <v>5093072</v>
      </c>
      <c r="H94" s="512">
        <v>6.7067052936528846</v>
      </c>
    </row>
    <row r="95" spans="3:8" ht="18.75">
      <c r="C95" s="513" t="s">
        <v>3773</v>
      </c>
      <c r="D95" s="494">
        <v>13525000</v>
      </c>
      <c r="E95" s="494">
        <v>9519000</v>
      </c>
      <c r="F95" s="495">
        <v>70.380776340110913</v>
      </c>
      <c r="G95" s="494">
        <v>4006000</v>
      </c>
      <c r="H95" s="496">
        <v>29.619223659889094</v>
      </c>
    </row>
    <row r="96" spans="3:8" ht="18.75">
      <c r="C96" s="513" t="s">
        <v>3786</v>
      </c>
      <c r="D96" s="494">
        <v>2000000</v>
      </c>
      <c r="E96" s="494">
        <v>913673</v>
      </c>
      <c r="F96" s="495">
        <v>45.68365</v>
      </c>
      <c r="G96" s="494">
        <v>1086327</v>
      </c>
      <c r="H96" s="496">
        <v>54.31635</v>
      </c>
    </row>
    <row r="97" spans="3:8" ht="18.75">
      <c r="C97" s="513" t="s">
        <v>3777</v>
      </c>
      <c r="D97" s="494">
        <v>60415000</v>
      </c>
      <c r="E97" s="494">
        <v>60414255</v>
      </c>
      <c r="F97" s="495">
        <v>99.99876686253414</v>
      </c>
      <c r="G97" s="494">
        <v>745</v>
      </c>
      <c r="H97" s="496">
        <v>1.2331374658611273E-3</v>
      </c>
    </row>
    <row r="98" spans="3:8" ht="18.75">
      <c r="C98" s="505" t="s">
        <v>3851</v>
      </c>
      <c r="D98" s="506">
        <v>50069000</v>
      </c>
      <c r="E98" s="506">
        <v>41150663</v>
      </c>
      <c r="F98" s="507">
        <v>82.187906688769502</v>
      </c>
      <c r="G98" s="506">
        <v>8918337</v>
      </c>
      <c r="H98" s="508">
        <v>17.812093311230502</v>
      </c>
    </row>
    <row r="99" spans="3:8" ht="18.75">
      <c r="C99" s="509" t="s">
        <v>3852</v>
      </c>
      <c r="D99" s="510">
        <v>50069000</v>
      </c>
      <c r="E99" s="510">
        <v>41150663</v>
      </c>
      <c r="F99" s="511">
        <v>82.187906688769502</v>
      </c>
      <c r="G99" s="510">
        <v>8918337</v>
      </c>
      <c r="H99" s="512">
        <v>17.812093311230502</v>
      </c>
    </row>
    <row r="100" spans="3:8" ht="18.75">
      <c r="C100" s="513" t="s">
        <v>3773</v>
      </c>
      <c r="D100" s="494">
        <v>17900000</v>
      </c>
      <c r="E100" s="494">
        <v>11269000</v>
      </c>
      <c r="F100" s="495">
        <v>62.955307262569839</v>
      </c>
      <c r="G100" s="494">
        <v>6631000</v>
      </c>
      <c r="H100" s="496">
        <v>37.044692737430168</v>
      </c>
    </row>
    <row r="101" spans="3:8" ht="18.75">
      <c r="C101" s="513" t="s">
        <v>3786</v>
      </c>
      <c r="D101" s="494">
        <v>2000000</v>
      </c>
      <c r="E101" s="494">
        <v>302663</v>
      </c>
      <c r="F101" s="495">
        <v>15.133150000000001</v>
      </c>
      <c r="G101" s="494">
        <v>1697337</v>
      </c>
      <c r="H101" s="496">
        <v>84.866849999999999</v>
      </c>
    </row>
    <row r="102" spans="3:8" ht="18.75">
      <c r="C102" s="513" t="s">
        <v>3777</v>
      </c>
      <c r="D102" s="494">
        <v>30169000</v>
      </c>
      <c r="E102" s="494">
        <v>29579000</v>
      </c>
      <c r="F102" s="495">
        <v>98.044350160761056</v>
      </c>
      <c r="G102" s="494">
        <v>590000</v>
      </c>
      <c r="H102" s="496">
        <v>1.9556498392389539</v>
      </c>
    </row>
    <row r="103" spans="3:8" ht="18.75">
      <c r="C103" s="501" t="s">
        <v>533</v>
      </c>
      <c r="D103" s="502">
        <v>293918000</v>
      </c>
      <c r="E103" s="502">
        <v>169927760</v>
      </c>
      <c r="F103" s="503">
        <v>57.814683006825028</v>
      </c>
      <c r="G103" s="502">
        <v>123990240</v>
      </c>
      <c r="H103" s="504">
        <v>42.185316993174965</v>
      </c>
    </row>
    <row r="104" spans="3:8" ht="18.75">
      <c r="C104" s="493" t="s">
        <v>3816</v>
      </c>
      <c r="D104" s="494">
        <v>113346000</v>
      </c>
      <c r="E104" s="494">
        <v>40582950</v>
      </c>
      <c r="F104" s="495">
        <v>35.804483616536977</v>
      </c>
      <c r="G104" s="494">
        <v>72763050</v>
      </c>
      <c r="H104" s="496">
        <v>64.19551638346303</v>
      </c>
    </row>
    <row r="105" spans="3:8" ht="18.75">
      <c r="C105" s="505" t="s">
        <v>3815</v>
      </c>
      <c r="D105" s="506">
        <v>113346000</v>
      </c>
      <c r="E105" s="506">
        <v>40582950</v>
      </c>
      <c r="F105" s="507">
        <v>35.804483616536977</v>
      </c>
      <c r="G105" s="506">
        <v>72763050</v>
      </c>
      <c r="H105" s="508">
        <v>64.19551638346303</v>
      </c>
    </row>
    <row r="106" spans="3:8" ht="18.75">
      <c r="C106" s="509" t="s">
        <v>3814</v>
      </c>
      <c r="D106" s="510">
        <v>113346000</v>
      </c>
      <c r="E106" s="510">
        <v>40582950</v>
      </c>
      <c r="F106" s="511">
        <v>35.804483616536977</v>
      </c>
      <c r="G106" s="510">
        <v>72763050</v>
      </c>
      <c r="H106" s="512">
        <v>64.19551638346303</v>
      </c>
    </row>
    <row r="107" spans="3:8" ht="18.75">
      <c r="C107" s="513" t="s">
        <v>3773</v>
      </c>
      <c r="D107" s="494">
        <v>12400000</v>
      </c>
      <c r="E107" s="494">
        <v>11255400</v>
      </c>
      <c r="F107" s="495">
        <v>90.769354838709688</v>
      </c>
      <c r="G107" s="494">
        <v>1144600</v>
      </c>
      <c r="H107" s="496">
        <v>9.2306451612903224</v>
      </c>
    </row>
    <row r="108" spans="3:8" ht="18.75">
      <c r="C108" s="513" t="s">
        <v>3791</v>
      </c>
      <c r="D108" s="494">
        <v>10000000</v>
      </c>
      <c r="E108" s="494">
        <v>5329750</v>
      </c>
      <c r="F108" s="495">
        <v>53.297499999999999</v>
      </c>
      <c r="G108" s="494">
        <v>4670250</v>
      </c>
      <c r="H108" s="496">
        <v>46.702500000000001</v>
      </c>
    </row>
    <row r="109" spans="3:8" ht="18.75">
      <c r="C109" s="513" t="s">
        <v>3777</v>
      </c>
      <c r="D109" s="494">
        <v>90946000</v>
      </c>
      <c r="E109" s="494">
        <v>23997800</v>
      </c>
      <c r="F109" s="495">
        <v>26.386866932025598</v>
      </c>
      <c r="G109" s="494">
        <v>66948200</v>
      </c>
      <c r="H109" s="496">
        <v>73.613133067974402</v>
      </c>
    </row>
    <row r="110" spans="3:8" ht="18.75">
      <c r="C110" s="493" t="s">
        <v>3844</v>
      </c>
      <c r="D110" s="494">
        <v>180572000</v>
      </c>
      <c r="E110" s="494">
        <v>129344810</v>
      </c>
      <c r="F110" s="495">
        <v>71.630601643665685</v>
      </c>
      <c r="G110" s="494">
        <v>51227190</v>
      </c>
      <c r="H110" s="496">
        <v>28.369398356334312</v>
      </c>
    </row>
    <row r="111" spans="3:8" ht="18.75">
      <c r="C111" s="505" t="s">
        <v>3845</v>
      </c>
      <c r="D111" s="506">
        <v>180572000</v>
      </c>
      <c r="E111" s="506">
        <v>129344810</v>
      </c>
      <c r="F111" s="507">
        <v>71.630601643665685</v>
      </c>
      <c r="G111" s="506">
        <v>51227190</v>
      </c>
      <c r="H111" s="508">
        <v>28.369398356334312</v>
      </c>
    </row>
    <row r="112" spans="3:8" ht="18.75">
      <c r="C112" s="509" t="s">
        <v>3846</v>
      </c>
      <c r="D112" s="510">
        <v>22164000</v>
      </c>
      <c r="E112" s="510">
        <v>16832379</v>
      </c>
      <c r="F112" s="511">
        <v>75.944680563075266</v>
      </c>
      <c r="G112" s="510">
        <v>5331621</v>
      </c>
      <c r="H112" s="512">
        <v>24.055319436924744</v>
      </c>
    </row>
    <row r="113" spans="3:10" ht="18.75">
      <c r="C113" s="513" t="s">
        <v>3773</v>
      </c>
      <c r="D113" s="494">
        <v>6000000</v>
      </c>
      <c r="E113" s="494">
        <v>4448550</v>
      </c>
      <c r="F113" s="495">
        <v>74.142499999999998</v>
      </c>
      <c r="G113" s="494">
        <v>1551450</v>
      </c>
      <c r="H113" s="496">
        <v>25.857500000000002</v>
      </c>
    </row>
    <row r="114" spans="3:10" ht="18.75">
      <c r="C114" s="513" t="s">
        <v>3786</v>
      </c>
      <c r="D114" s="494">
        <v>1000000</v>
      </c>
      <c r="E114" s="494">
        <v>876329</v>
      </c>
      <c r="F114" s="495">
        <v>87.632900000000006</v>
      </c>
      <c r="G114" s="494">
        <v>123671</v>
      </c>
      <c r="H114" s="496">
        <v>12.367100000000001</v>
      </c>
    </row>
    <row r="115" spans="3:10" ht="18.75">
      <c r="C115" s="513" t="s">
        <v>3791</v>
      </c>
      <c r="D115" s="494">
        <v>10000000</v>
      </c>
      <c r="E115" s="494">
        <v>6344000</v>
      </c>
      <c r="F115" s="495">
        <v>63.44</v>
      </c>
      <c r="G115" s="494">
        <v>3656000</v>
      </c>
      <c r="H115" s="496">
        <v>36.559999999999995</v>
      </c>
    </row>
    <row r="116" spans="3:10" ht="18.75">
      <c r="C116" s="513" t="s">
        <v>3777</v>
      </c>
      <c r="D116" s="494">
        <v>5164000</v>
      </c>
      <c r="E116" s="494">
        <v>5163500</v>
      </c>
      <c r="F116" s="495">
        <v>99.990317583268791</v>
      </c>
      <c r="G116" s="494">
        <v>500</v>
      </c>
      <c r="H116" s="496">
        <v>9.6824167312161129E-3</v>
      </c>
    </row>
    <row r="117" spans="3:10" ht="18.75">
      <c r="C117" s="509" t="s">
        <v>3847</v>
      </c>
      <c r="D117" s="510">
        <v>78000000</v>
      </c>
      <c r="E117" s="510">
        <v>40019531</v>
      </c>
      <c r="F117" s="511">
        <v>51.307091025641029</v>
      </c>
      <c r="G117" s="510">
        <v>37980469</v>
      </c>
      <c r="H117" s="512">
        <v>48.692908974358971</v>
      </c>
    </row>
    <row r="118" spans="3:10" ht="18.75">
      <c r="C118" s="513" t="s">
        <v>3773</v>
      </c>
      <c r="D118" s="494">
        <v>12000000</v>
      </c>
      <c r="E118" s="494">
        <v>7434850</v>
      </c>
      <c r="F118" s="495">
        <v>61.95708333333333</v>
      </c>
      <c r="G118" s="494">
        <v>4565150</v>
      </c>
      <c r="H118" s="496">
        <v>38.042916666666663</v>
      </c>
    </row>
    <row r="119" spans="3:10" ht="18.75">
      <c r="C119" s="513" t="s">
        <v>3786</v>
      </c>
      <c r="D119" s="494">
        <v>1000000</v>
      </c>
      <c r="E119" s="494">
        <v>358831</v>
      </c>
      <c r="F119" s="495">
        <v>35.883099999999999</v>
      </c>
      <c r="G119" s="494">
        <v>641169</v>
      </c>
      <c r="H119" s="496">
        <v>64.116900000000001</v>
      </c>
    </row>
    <row r="120" spans="3:10" ht="18.75">
      <c r="C120" s="513" t="s">
        <v>3791</v>
      </c>
      <c r="D120" s="494">
        <v>20000000</v>
      </c>
      <c r="E120" s="494">
        <v>12648000</v>
      </c>
      <c r="F120" s="495">
        <v>63.239999999999995</v>
      </c>
      <c r="G120" s="494">
        <v>7352000</v>
      </c>
      <c r="H120" s="496">
        <v>36.76</v>
      </c>
    </row>
    <row r="121" spans="3:10" ht="18.75">
      <c r="C121" s="513" t="s">
        <v>3777</v>
      </c>
      <c r="D121" s="494">
        <v>45000000</v>
      </c>
      <c r="E121" s="494">
        <v>19577850</v>
      </c>
      <c r="F121" s="495">
        <v>43.506333333333338</v>
      </c>
      <c r="G121" s="494">
        <v>25422150</v>
      </c>
      <c r="H121" s="496">
        <v>56.493666666666662</v>
      </c>
    </row>
    <row r="122" spans="3:10" ht="18.75">
      <c r="C122" s="509" t="s">
        <v>3848</v>
      </c>
      <c r="D122" s="510">
        <v>80408000</v>
      </c>
      <c r="E122" s="510">
        <v>72492900</v>
      </c>
      <c r="F122" s="511">
        <v>90.156327728584216</v>
      </c>
      <c r="G122" s="510">
        <v>7915100</v>
      </c>
      <c r="H122" s="512">
        <v>9.8436722714157785</v>
      </c>
      <c r="I122" s="476"/>
      <c r="J122" s="161"/>
    </row>
    <row r="123" spans="3:10" ht="18.75">
      <c r="C123" s="513" t="s">
        <v>3773</v>
      </c>
      <c r="D123" s="494">
        <v>21000000</v>
      </c>
      <c r="E123" s="494">
        <v>19309350</v>
      </c>
      <c r="F123" s="495">
        <v>91.949285714285708</v>
      </c>
      <c r="G123" s="494">
        <v>1690650</v>
      </c>
      <c r="H123" s="496">
        <v>8.0507142857142853</v>
      </c>
    </row>
    <row r="124" spans="3:10" ht="18.75">
      <c r="C124" s="513" t="s">
        <v>3791</v>
      </c>
      <c r="D124" s="494">
        <v>17500000</v>
      </c>
      <c r="E124" s="494">
        <v>11275750</v>
      </c>
      <c r="F124" s="495">
        <v>64.432857142857145</v>
      </c>
      <c r="G124" s="494">
        <v>6224250</v>
      </c>
      <c r="H124" s="496">
        <v>35.567142857142855</v>
      </c>
    </row>
    <row r="125" spans="3:10" ht="18.75">
      <c r="C125" s="513" t="s">
        <v>3777</v>
      </c>
      <c r="D125" s="494">
        <v>41908000</v>
      </c>
      <c r="E125" s="494">
        <v>41907800</v>
      </c>
      <c r="F125" s="495">
        <v>99.999522764150043</v>
      </c>
      <c r="G125" s="494">
        <v>200</v>
      </c>
      <c r="H125" s="496">
        <v>4.7723584995704876E-4</v>
      </c>
    </row>
    <row r="126" spans="3:10" ht="18.75">
      <c r="C126" s="497" t="s">
        <v>565</v>
      </c>
      <c r="D126" s="498">
        <v>3618462000</v>
      </c>
      <c r="E126" s="498">
        <v>2387593165</v>
      </c>
      <c r="F126" s="499">
        <v>65.983646228701588</v>
      </c>
      <c r="G126" s="498">
        <v>1230868835</v>
      </c>
      <c r="H126" s="500">
        <v>34.016353771298412</v>
      </c>
    </row>
    <row r="127" spans="3:10" ht="18.75">
      <c r="C127" s="501" t="s">
        <v>535</v>
      </c>
      <c r="D127" s="502">
        <v>197920000</v>
      </c>
      <c r="E127" s="502">
        <v>155102520</v>
      </c>
      <c r="F127" s="503">
        <v>78.366269199676637</v>
      </c>
      <c r="G127" s="502">
        <v>42817480</v>
      </c>
      <c r="H127" s="504">
        <v>21.633730800323363</v>
      </c>
    </row>
    <row r="128" spans="3:10" ht="18.75">
      <c r="C128" s="493" t="s">
        <v>3853</v>
      </c>
      <c r="D128" s="494">
        <v>197920000</v>
      </c>
      <c r="E128" s="494">
        <v>155102520</v>
      </c>
      <c r="F128" s="495">
        <v>78.366269199676637</v>
      </c>
      <c r="G128" s="494">
        <v>42817480</v>
      </c>
      <c r="H128" s="496">
        <v>21.633730800323363</v>
      </c>
    </row>
    <row r="129" spans="3:8" ht="18.75">
      <c r="C129" s="505" t="s">
        <v>3854</v>
      </c>
      <c r="D129" s="506">
        <v>197920000</v>
      </c>
      <c r="E129" s="506">
        <v>155102520</v>
      </c>
      <c r="F129" s="507">
        <v>78.366269199676637</v>
      </c>
      <c r="G129" s="506">
        <v>42817480</v>
      </c>
      <c r="H129" s="508">
        <v>21.633730800323363</v>
      </c>
    </row>
    <row r="130" spans="3:8" ht="18.75">
      <c r="C130" s="509" t="s">
        <v>3855</v>
      </c>
      <c r="D130" s="510">
        <v>27102000</v>
      </c>
      <c r="E130" s="510">
        <v>25522552</v>
      </c>
      <c r="F130" s="511">
        <v>94.172208693085381</v>
      </c>
      <c r="G130" s="510">
        <v>1579448</v>
      </c>
      <c r="H130" s="512">
        <v>5.8277913069146186</v>
      </c>
    </row>
    <row r="131" spans="3:8" ht="18.75">
      <c r="C131" s="513" t="s">
        <v>3773</v>
      </c>
      <c r="D131" s="494">
        <v>18400000</v>
      </c>
      <c r="E131" s="494">
        <v>16821000</v>
      </c>
      <c r="F131" s="495">
        <v>91.418478260869563</v>
      </c>
      <c r="G131" s="494">
        <v>1579000</v>
      </c>
      <c r="H131" s="496">
        <v>8.5815217391304355</v>
      </c>
    </row>
    <row r="132" spans="3:8" ht="18.75">
      <c r="C132" s="513" t="s">
        <v>3777</v>
      </c>
      <c r="D132" s="494">
        <v>8702000</v>
      </c>
      <c r="E132" s="494">
        <v>8701552</v>
      </c>
      <c r="F132" s="495">
        <v>99.994851758216498</v>
      </c>
      <c r="G132" s="494">
        <v>448</v>
      </c>
      <c r="H132" s="496">
        <v>5.1482417834980464E-3</v>
      </c>
    </row>
    <row r="133" spans="3:8" ht="18.75">
      <c r="C133" s="509" t="s">
        <v>3856</v>
      </c>
      <c r="D133" s="510">
        <v>12850000</v>
      </c>
      <c r="E133" s="510">
        <v>10214000</v>
      </c>
      <c r="F133" s="511">
        <v>79.4863813229572</v>
      </c>
      <c r="G133" s="510">
        <v>2636000</v>
      </c>
      <c r="H133" s="512">
        <v>20.513618677042803</v>
      </c>
    </row>
    <row r="134" spans="3:8" ht="18.75">
      <c r="C134" s="513" t="s">
        <v>3773</v>
      </c>
      <c r="D134" s="494">
        <v>7500000</v>
      </c>
      <c r="E134" s="494">
        <v>7364000</v>
      </c>
      <c r="F134" s="495">
        <v>98.186666666666667</v>
      </c>
      <c r="G134" s="494">
        <v>136000</v>
      </c>
      <c r="H134" s="496">
        <v>1.8133333333333335</v>
      </c>
    </row>
    <row r="135" spans="3:8" ht="18.75">
      <c r="C135" s="513" t="s">
        <v>3777</v>
      </c>
      <c r="D135" s="494">
        <v>5350000</v>
      </c>
      <c r="E135" s="494">
        <v>2850000</v>
      </c>
      <c r="F135" s="495">
        <v>53.271028037383175</v>
      </c>
      <c r="G135" s="494">
        <v>2500000</v>
      </c>
      <c r="H135" s="496">
        <v>46.728971962616825</v>
      </c>
    </row>
    <row r="136" spans="3:8" ht="18.75">
      <c r="C136" s="509" t="s">
        <v>3857</v>
      </c>
      <c r="D136" s="510">
        <v>7500000</v>
      </c>
      <c r="E136" s="510">
        <v>7467500</v>
      </c>
      <c r="F136" s="511">
        <v>99.566666666666663</v>
      </c>
      <c r="G136" s="510">
        <v>32500</v>
      </c>
      <c r="H136" s="512">
        <v>0.43333333333333329</v>
      </c>
    </row>
    <row r="137" spans="3:8" ht="18.75">
      <c r="C137" s="513" t="s">
        <v>3773</v>
      </c>
      <c r="D137" s="494">
        <v>7500000</v>
      </c>
      <c r="E137" s="494">
        <v>7467500</v>
      </c>
      <c r="F137" s="495">
        <v>99.566666666666663</v>
      </c>
      <c r="G137" s="494">
        <v>32500</v>
      </c>
      <c r="H137" s="496">
        <v>0.43333333333333329</v>
      </c>
    </row>
    <row r="138" spans="3:8" ht="18.75">
      <c r="C138" s="509" t="s">
        <v>3858</v>
      </c>
      <c r="D138" s="510">
        <v>34635000</v>
      </c>
      <c r="E138" s="510">
        <v>33099468</v>
      </c>
      <c r="F138" s="511">
        <v>95.566530965786058</v>
      </c>
      <c r="G138" s="510">
        <v>1535532</v>
      </c>
      <c r="H138" s="512">
        <v>4.4334690342139451</v>
      </c>
    </row>
    <row r="139" spans="3:8" ht="18.75">
      <c r="C139" s="513" t="s">
        <v>3773</v>
      </c>
      <c r="D139" s="494">
        <v>14000000</v>
      </c>
      <c r="E139" s="494">
        <v>12465000</v>
      </c>
      <c r="F139" s="495">
        <v>89.035714285714278</v>
      </c>
      <c r="G139" s="494">
        <v>1535000</v>
      </c>
      <c r="H139" s="496">
        <v>10.964285714285714</v>
      </c>
    </row>
    <row r="140" spans="3:8" ht="18.75">
      <c r="C140" s="513" t="s">
        <v>3777</v>
      </c>
      <c r="D140" s="494">
        <v>20635000</v>
      </c>
      <c r="E140" s="494">
        <v>20634468</v>
      </c>
      <c r="F140" s="495">
        <v>99.997421856069778</v>
      </c>
      <c r="G140" s="494">
        <v>532</v>
      </c>
      <c r="H140" s="496">
        <v>2.578143930215653E-3</v>
      </c>
    </row>
    <row r="141" spans="3:8" ht="18.75">
      <c r="C141" s="509" t="s">
        <v>3859</v>
      </c>
      <c r="D141" s="510">
        <v>7500000</v>
      </c>
      <c r="E141" s="510">
        <v>4944000</v>
      </c>
      <c r="F141" s="511">
        <v>65.92</v>
      </c>
      <c r="G141" s="510">
        <v>2556000</v>
      </c>
      <c r="H141" s="512">
        <v>34.08</v>
      </c>
    </row>
    <row r="142" spans="3:8" ht="18.75">
      <c r="C142" s="513" t="s">
        <v>3773</v>
      </c>
      <c r="D142" s="494">
        <v>7500000</v>
      </c>
      <c r="E142" s="494">
        <v>4944000</v>
      </c>
      <c r="F142" s="495">
        <v>65.92</v>
      </c>
      <c r="G142" s="494">
        <v>2556000</v>
      </c>
      <c r="H142" s="496">
        <v>34.08</v>
      </c>
    </row>
    <row r="143" spans="3:8" ht="18.75">
      <c r="C143" s="509" t="s">
        <v>3860</v>
      </c>
      <c r="D143" s="510">
        <v>108333000</v>
      </c>
      <c r="E143" s="510">
        <v>73855000</v>
      </c>
      <c r="F143" s="511">
        <v>68.174055920172066</v>
      </c>
      <c r="G143" s="510">
        <v>34478000</v>
      </c>
      <c r="H143" s="512">
        <v>31.825944079827938</v>
      </c>
    </row>
    <row r="144" spans="3:8" ht="18.75">
      <c r="C144" s="513" t="s">
        <v>3773</v>
      </c>
      <c r="D144" s="494">
        <v>4800000</v>
      </c>
      <c r="E144" s="494">
        <v>575000</v>
      </c>
      <c r="F144" s="495">
        <v>11.979166666666668</v>
      </c>
      <c r="G144" s="494">
        <v>4225000</v>
      </c>
      <c r="H144" s="496">
        <v>88.020833333333343</v>
      </c>
    </row>
    <row r="145" spans="3:10" ht="18.75">
      <c r="C145" s="513" t="s">
        <v>3791</v>
      </c>
      <c r="D145" s="494">
        <v>27500000</v>
      </c>
      <c r="E145" s="494">
        <v>14900000</v>
      </c>
      <c r="F145" s="495">
        <v>54.181818181818187</v>
      </c>
      <c r="G145" s="494">
        <v>12600000</v>
      </c>
      <c r="H145" s="496">
        <v>45.81818181818182</v>
      </c>
    </row>
    <row r="146" spans="3:10" ht="18.75">
      <c r="C146" s="513" t="s">
        <v>3777</v>
      </c>
      <c r="D146" s="494">
        <v>76033000</v>
      </c>
      <c r="E146" s="494">
        <v>58380000</v>
      </c>
      <c r="F146" s="495">
        <v>76.782449725776971</v>
      </c>
      <c r="G146" s="494">
        <v>17653000</v>
      </c>
      <c r="H146" s="496">
        <v>23.217550274223033</v>
      </c>
    </row>
    <row r="147" spans="3:10" ht="18.75">
      <c r="C147" s="501" t="s">
        <v>549</v>
      </c>
      <c r="D147" s="502">
        <v>3420542000</v>
      </c>
      <c r="E147" s="502">
        <v>2232490645</v>
      </c>
      <c r="F147" s="503">
        <v>65.267160730667825</v>
      </c>
      <c r="G147" s="502">
        <v>1188051355</v>
      </c>
      <c r="H147" s="504">
        <v>34.732839269332175</v>
      </c>
    </row>
    <row r="148" spans="3:10" ht="18.75">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8.75">
      <c r="C150" s="509" t="s">
        <v>3810</v>
      </c>
      <c r="D150" s="510">
        <v>114200000</v>
      </c>
      <c r="E150" s="510">
        <v>114200000</v>
      </c>
      <c r="F150" s="511">
        <v>100</v>
      </c>
      <c r="G150" s="510">
        <v>0</v>
      </c>
      <c r="H150" s="512">
        <v>0</v>
      </c>
    </row>
    <row r="151" spans="3:10" ht="18.75">
      <c r="C151" s="513" t="s">
        <v>3780</v>
      </c>
      <c r="D151" s="494">
        <v>114200000</v>
      </c>
      <c r="E151" s="494">
        <v>114200000</v>
      </c>
      <c r="F151" s="495">
        <v>100</v>
      </c>
      <c r="G151" s="494">
        <v>0</v>
      </c>
      <c r="H151" s="496">
        <v>0</v>
      </c>
    </row>
    <row r="152" spans="3:10" ht="18.75">
      <c r="C152" s="493" t="s">
        <v>3818</v>
      </c>
      <c r="D152" s="494">
        <v>670684000</v>
      </c>
      <c r="E152" s="494">
        <v>521911129</v>
      </c>
      <c r="F152" s="495">
        <v>77.817739650863899</v>
      </c>
      <c r="G152" s="494">
        <v>148772871</v>
      </c>
      <c r="H152" s="496">
        <v>22.182260349136108</v>
      </c>
    </row>
    <row r="153" spans="3:10" ht="18.75">
      <c r="C153" s="505" t="s">
        <v>3817</v>
      </c>
      <c r="D153" s="506">
        <v>670684000</v>
      </c>
      <c r="E153" s="506">
        <v>521911129</v>
      </c>
      <c r="F153" s="507">
        <v>77.817739650863899</v>
      </c>
      <c r="G153" s="506">
        <v>148772871</v>
      </c>
      <c r="H153" s="508">
        <v>22.182260349136108</v>
      </c>
    </row>
    <row r="154" spans="3:10" ht="18.75">
      <c r="C154" s="509" t="s">
        <v>3798</v>
      </c>
      <c r="D154" s="510">
        <v>18739000</v>
      </c>
      <c r="E154" s="510">
        <v>18437300</v>
      </c>
      <c r="F154" s="511">
        <v>98.389988793425474</v>
      </c>
      <c r="G154" s="510">
        <v>301700</v>
      </c>
      <c r="H154" s="512">
        <v>1.6100112065745238</v>
      </c>
    </row>
    <row r="155" spans="3:10" ht="18.75">
      <c r="C155" s="513" t="s">
        <v>3773</v>
      </c>
      <c r="D155" s="494">
        <v>5000000</v>
      </c>
      <c r="E155" s="494">
        <v>4998800</v>
      </c>
      <c r="F155" s="495">
        <v>99.975999999999999</v>
      </c>
      <c r="G155" s="494">
        <v>1200</v>
      </c>
      <c r="H155" s="496">
        <v>2.4E-2</v>
      </c>
    </row>
    <row r="156" spans="3:10" ht="18.75">
      <c r="C156" s="513" t="s">
        <v>3777</v>
      </c>
      <c r="D156" s="494">
        <v>12989000</v>
      </c>
      <c r="E156" s="494">
        <v>12688500</v>
      </c>
      <c r="F156" s="495">
        <v>97.686503964893362</v>
      </c>
      <c r="G156" s="494">
        <v>300500</v>
      </c>
      <c r="H156" s="496">
        <v>2.3134960351066285</v>
      </c>
    </row>
    <row r="157" spans="3:10" ht="18.75">
      <c r="C157" s="513" t="s">
        <v>505</v>
      </c>
      <c r="D157" s="494">
        <v>750000</v>
      </c>
      <c r="E157" s="494">
        <v>750000</v>
      </c>
      <c r="F157" s="495">
        <v>100</v>
      </c>
      <c r="G157" s="494">
        <v>0</v>
      </c>
      <c r="H157" s="496">
        <v>0</v>
      </c>
      <c r="I157" s="476"/>
      <c r="J157" s="161"/>
    </row>
    <row r="158" spans="3:10" ht="18.75">
      <c r="C158" s="509" t="s">
        <v>3799</v>
      </c>
      <c r="D158" s="510">
        <v>385665000</v>
      </c>
      <c r="E158" s="510">
        <v>272977871</v>
      </c>
      <c r="F158" s="511">
        <v>70.781084879364215</v>
      </c>
      <c r="G158" s="510">
        <v>112687129</v>
      </c>
      <c r="H158" s="512">
        <v>29.218915120635785</v>
      </c>
    </row>
    <row r="159" spans="3:10" ht="18.75">
      <c r="C159" s="513" t="s">
        <v>3773</v>
      </c>
      <c r="D159" s="494">
        <v>10000000</v>
      </c>
      <c r="E159" s="494">
        <v>7425000</v>
      </c>
      <c r="F159" s="495">
        <v>74.25</v>
      </c>
      <c r="G159" s="494">
        <v>2575000</v>
      </c>
      <c r="H159" s="496">
        <v>25.75</v>
      </c>
    </row>
    <row r="160" spans="3:10" ht="18.75">
      <c r="C160" s="513" t="s">
        <v>3778</v>
      </c>
      <c r="D160" s="494">
        <v>2031000</v>
      </c>
      <c r="E160" s="494">
        <v>2031000</v>
      </c>
      <c r="F160" s="495">
        <v>100</v>
      </c>
      <c r="G160" s="494">
        <v>0</v>
      </c>
      <c r="H160" s="496">
        <v>0</v>
      </c>
    </row>
    <row r="161" spans="3:10" ht="18.75">
      <c r="C161" s="513" t="s">
        <v>3777</v>
      </c>
      <c r="D161" s="494">
        <v>373634000</v>
      </c>
      <c r="E161" s="494">
        <v>263521871</v>
      </c>
      <c r="F161" s="495">
        <v>70.529414079018508</v>
      </c>
      <c r="G161" s="494">
        <v>110112129</v>
      </c>
      <c r="H161" s="496">
        <v>29.470585920981495</v>
      </c>
    </row>
    <row r="162" spans="3:10" ht="18.75">
      <c r="C162" s="509" t="s">
        <v>3819</v>
      </c>
      <c r="D162" s="510">
        <v>56750000</v>
      </c>
      <c r="E162" s="510">
        <v>42951740</v>
      </c>
      <c r="F162" s="511">
        <v>75.685885462555063</v>
      </c>
      <c r="G162" s="510">
        <v>13798260</v>
      </c>
      <c r="H162" s="512">
        <v>24.314114537444933</v>
      </c>
      <c r="I162" s="476"/>
      <c r="J162" s="161"/>
    </row>
    <row r="163" spans="3:10" ht="18.75">
      <c r="C163" s="513" t="s">
        <v>3773</v>
      </c>
      <c r="D163" s="494">
        <v>33500000</v>
      </c>
      <c r="E163" s="494">
        <v>33371740</v>
      </c>
      <c r="F163" s="495">
        <v>99.617134328358219</v>
      </c>
      <c r="G163" s="494">
        <v>128260</v>
      </c>
      <c r="H163" s="496">
        <v>0.38286567164179103</v>
      </c>
    </row>
    <row r="164" spans="3:10" ht="18.75">
      <c r="C164" s="513" t="s">
        <v>3779</v>
      </c>
      <c r="D164" s="494">
        <v>3000000</v>
      </c>
      <c r="E164" s="494">
        <v>0</v>
      </c>
      <c r="F164" s="495">
        <v>0</v>
      </c>
      <c r="G164" s="494">
        <v>3000000</v>
      </c>
      <c r="H164" s="496">
        <v>100</v>
      </c>
    </row>
    <row r="165" spans="3:10" ht="18.75">
      <c r="C165" s="513" t="s">
        <v>3777</v>
      </c>
      <c r="D165" s="494">
        <v>18000000</v>
      </c>
      <c r="E165" s="494">
        <v>8980000</v>
      </c>
      <c r="F165" s="495">
        <v>49.888888888888886</v>
      </c>
      <c r="G165" s="494">
        <v>9020000</v>
      </c>
      <c r="H165" s="496">
        <v>50.111111111111107</v>
      </c>
    </row>
    <row r="166" spans="3:10" ht="18.75">
      <c r="C166" s="513" t="s">
        <v>505</v>
      </c>
      <c r="D166" s="494">
        <v>2250000</v>
      </c>
      <c r="E166" s="494">
        <v>600000</v>
      </c>
      <c r="F166" s="495">
        <v>26.666666666666668</v>
      </c>
      <c r="G166" s="494">
        <v>1650000</v>
      </c>
      <c r="H166" s="496">
        <v>73.333333333333329</v>
      </c>
    </row>
    <row r="167" spans="3:10" ht="18.75">
      <c r="C167" s="509" t="s">
        <v>3800</v>
      </c>
      <c r="D167" s="510">
        <v>61193000</v>
      </c>
      <c r="E167" s="510">
        <v>39218238</v>
      </c>
      <c r="F167" s="511">
        <v>64.089418724363895</v>
      </c>
      <c r="G167" s="510">
        <v>21974762</v>
      </c>
      <c r="H167" s="512">
        <v>35.910581275636098</v>
      </c>
    </row>
    <row r="168" spans="3:10" ht="18.75">
      <c r="C168" s="513" t="s">
        <v>3773</v>
      </c>
      <c r="D168" s="494">
        <v>13500000</v>
      </c>
      <c r="E168" s="494">
        <v>9448500</v>
      </c>
      <c r="F168" s="495">
        <v>69.988888888888894</v>
      </c>
      <c r="G168" s="494">
        <v>4051500</v>
      </c>
      <c r="H168" s="496">
        <v>30.011111111111109</v>
      </c>
    </row>
    <row r="169" spans="3:10" ht="18.75">
      <c r="C169" s="513" t="s">
        <v>3777</v>
      </c>
      <c r="D169" s="494">
        <v>47693000</v>
      </c>
      <c r="E169" s="494">
        <v>29769738</v>
      </c>
      <c r="F169" s="495">
        <v>62.419512297402136</v>
      </c>
      <c r="G169" s="494">
        <v>17923262</v>
      </c>
      <c r="H169" s="496">
        <v>37.580487702597864</v>
      </c>
    </row>
    <row r="170" spans="3:10" ht="18.75">
      <c r="C170" s="509" t="s">
        <v>3820</v>
      </c>
      <c r="D170" s="510">
        <v>148337000</v>
      </c>
      <c r="E170" s="510">
        <v>148325980</v>
      </c>
      <c r="F170" s="511">
        <v>99.992570970155796</v>
      </c>
      <c r="G170" s="510">
        <v>11020</v>
      </c>
      <c r="H170" s="512">
        <v>7.4290298442060976E-3</v>
      </c>
    </row>
    <row r="171" spans="3:10" ht="18.75">
      <c r="C171" s="513" t="s">
        <v>3773</v>
      </c>
      <c r="D171" s="494">
        <v>38100000</v>
      </c>
      <c r="E171" s="494">
        <v>38095000</v>
      </c>
      <c r="F171" s="495">
        <v>99.98687664041995</v>
      </c>
      <c r="G171" s="494">
        <v>5000</v>
      </c>
      <c r="H171" s="496">
        <v>1.3123359580052493E-2</v>
      </c>
    </row>
    <row r="172" spans="3:10" ht="18.75">
      <c r="C172" s="513" t="s">
        <v>3821</v>
      </c>
      <c r="D172" s="494">
        <v>82535000</v>
      </c>
      <c r="E172" s="494">
        <v>82534280</v>
      </c>
      <c r="F172" s="495">
        <v>99.999127642818195</v>
      </c>
      <c r="G172" s="494">
        <v>720</v>
      </c>
      <c r="H172" s="496">
        <v>8.7235718180165981E-4</v>
      </c>
    </row>
    <row r="173" spans="3:10" ht="18.75">
      <c r="C173" s="513" t="s">
        <v>3866</v>
      </c>
      <c r="D173" s="494">
        <v>1605000</v>
      </c>
      <c r="E173" s="494">
        <v>1600000</v>
      </c>
      <c r="F173" s="495">
        <v>99.688473520249218</v>
      </c>
      <c r="G173" s="494">
        <v>5000</v>
      </c>
      <c r="H173" s="496">
        <v>0.3115264797507788</v>
      </c>
    </row>
    <row r="174" spans="3:10" ht="18.75">
      <c r="C174" s="513" t="s">
        <v>3778</v>
      </c>
      <c r="D174" s="494">
        <v>4246000</v>
      </c>
      <c r="E174" s="494">
        <v>4246000</v>
      </c>
      <c r="F174" s="495">
        <v>100</v>
      </c>
      <c r="G174" s="494">
        <v>0</v>
      </c>
      <c r="H174" s="496">
        <v>0</v>
      </c>
    </row>
    <row r="175" spans="3:10" ht="18.75">
      <c r="C175" s="513" t="s">
        <v>3777</v>
      </c>
      <c r="D175" s="494">
        <v>21851000</v>
      </c>
      <c r="E175" s="494">
        <v>21850700</v>
      </c>
      <c r="F175" s="495">
        <v>99.998627065122875</v>
      </c>
      <c r="G175" s="494">
        <v>300</v>
      </c>
      <c r="H175" s="496">
        <v>1.3729348771223285E-3</v>
      </c>
    </row>
    <row r="176" spans="3:10" ht="18.75">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8.75">
      <c r="C178" s="509" t="s">
        <v>3841</v>
      </c>
      <c r="D178" s="510">
        <v>540000000</v>
      </c>
      <c r="E178" s="510">
        <v>540000000</v>
      </c>
      <c r="F178" s="511">
        <v>100</v>
      </c>
      <c r="G178" s="510">
        <v>0</v>
      </c>
      <c r="H178" s="512">
        <v>0</v>
      </c>
    </row>
    <row r="179" spans="3:8" ht="18.75">
      <c r="C179" s="513" t="s">
        <v>3780</v>
      </c>
      <c r="D179" s="494">
        <v>540000000</v>
      </c>
      <c r="E179" s="494">
        <v>540000000</v>
      </c>
      <c r="F179" s="495">
        <v>100</v>
      </c>
      <c r="G179" s="494">
        <v>0</v>
      </c>
      <c r="H179" s="496">
        <v>0</v>
      </c>
    </row>
    <row r="180" spans="3:8" ht="18.75">
      <c r="C180" s="493" t="s">
        <v>4605</v>
      </c>
      <c r="D180" s="494">
        <v>2095658000</v>
      </c>
      <c r="E180" s="494">
        <v>1056379516</v>
      </c>
      <c r="F180" s="495">
        <v>50.408011039969303</v>
      </c>
      <c r="G180" s="494">
        <v>1039278484</v>
      </c>
      <c r="H180" s="496">
        <v>49.59198896003069</v>
      </c>
    </row>
    <row r="181" spans="3:8" ht="18.75">
      <c r="C181" s="505" t="s">
        <v>3734</v>
      </c>
      <c r="D181" s="514">
        <v>2095658000</v>
      </c>
      <c r="E181" s="514">
        <v>1056379516</v>
      </c>
      <c r="F181" s="515">
        <v>50.408011039969303</v>
      </c>
      <c r="G181" s="514">
        <v>1039278484</v>
      </c>
      <c r="H181" s="516">
        <v>49.59198896003069</v>
      </c>
    </row>
    <row r="182" spans="3:8" ht="18.75">
      <c r="C182" s="509" t="s">
        <v>3827</v>
      </c>
      <c r="D182" s="510">
        <v>1254380000</v>
      </c>
      <c r="E182" s="510">
        <v>712226906</v>
      </c>
      <c r="F182" s="511">
        <v>56.779198169613679</v>
      </c>
      <c r="G182" s="510">
        <v>542153094</v>
      </c>
      <c r="H182" s="512">
        <v>43.220801830386321</v>
      </c>
    </row>
    <row r="183" spans="3:8" ht="18.75">
      <c r="C183" s="513" t="s">
        <v>3828</v>
      </c>
      <c r="D183" s="494">
        <v>1076220000</v>
      </c>
      <c r="E183" s="494">
        <v>643043906</v>
      </c>
      <c r="F183" s="495">
        <v>59.750228206128867</v>
      </c>
      <c r="G183" s="494">
        <v>433176094</v>
      </c>
      <c r="H183" s="496">
        <v>40.24977179387114</v>
      </c>
    </row>
    <row r="184" spans="3:8" ht="18.75">
      <c r="C184" s="513" t="s">
        <v>3791</v>
      </c>
      <c r="D184" s="494">
        <v>178160000</v>
      </c>
      <c r="E184" s="494">
        <v>69183000</v>
      </c>
      <c r="F184" s="495">
        <v>38.831948810058378</v>
      </c>
      <c r="G184" s="494">
        <v>108977000</v>
      </c>
      <c r="H184" s="496">
        <v>61.168051189941629</v>
      </c>
    </row>
    <row r="185" spans="3:8" ht="18.75">
      <c r="C185" s="509" t="s">
        <v>3829</v>
      </c>
      <c r="D185" s="510">
        <v>148852000</v>
      </c>
      <c r="E185" s="510">
        <v>82477050</v>
      </c>
      <c r="F185" s="511">
        <v>55.408761723053765</v>
      </c>
      <c r="G185" s="510">
        <v>66374950</v>
      </c>
      <c r="H185" s="512">
        <v>44.591238276946228</v>
      </c>
    </row>
    <row r="186" spans="3:8" ht="18.75">
      <c r="C186" s="513" t="s">
        <v>3830</v>
      </c>
      <c r="D186" s="494">
        <v>30000000</v>
      </c>
      <c r="E186" s="494">
        <v>2777050</v>
      </c>
      <c r="F186" s="495">
        <v>9.2568333333333328</v>
      </c>
      <c r="G186" s="494">
        <v>27222950</v>
      </c>
      <c r="H186" s="496">
        <v>90.743166666666667</v>
      </c>
    </row>
    <row r="187" spans="3:8" ht="18.75">
      <c r="C187" s="513" t="s">
        <v>3779</v>
      </c>
      <c r="D187" s="494">
        <v>118852000</v>
      </c>
      <c r="E187" s="494">
        <v>79700000</v>
      </c>
      <c r="F187" s="495">
        <v>67.058190017837319</v>
      </c>
      <c r="G187" s="494">
        <v>39152000</v>
      </c>
      <c r="H187" s="496">
        <v>32.941809982162688</v>
      </c>
    </row>
    <row r="188" spans="3:8" ht="18.75">
      <c r="C188" s="509" t="s">
        <v>3831</v>
      </c>
      <c r="D188" s="510">
        <v>533050000</v>
      </c>
      <c r="E188" s="510">
        <v>188897560</v>
      </c>
      <c r="F188" s="511">
        <v>35.437118469186757</v>
      </c>
      <c r="G188" s="510">
        <v>344152440</v>
      </c>
      <c r="H188" s="512">
        <v>64.562881530813243</v>
      </c>
    </row>
    <row r="189" spans="3:8" ht="18.75">
      <c r="C189" s="513" t="s">
        <v>3832</v>
      </c>
      <c r="D189" s="494">
        <v>497050000</v>
      </c>
      <c r="E189" s="494">
        <v>176897560</v>
      </c>
      <c r="F189" s="495">
        <v>35.589489990946582</v>
      </c>
      <c r="G189" s="494">
        <v>320152440</v>
      </c>
      <c r="H189" s="496">
        <v>64.410510009053411</v>
      </c>
    </row>
    <row r="190" spans="3:8" ht="18.75">
      <c r="C190" s="513" t="s">
        <v>3833</v>
      </c>
      <c r="D190" s="494">
        <v>36000000</v>
      </c>
      <c r="E190" s="494">
        <v>12000000</v>
      </c>
      <c r="F190" s="495">
        <v>33.333333333333329</v>
      </c>
      <c r="G190" s="494">
        <v>24000000</v>
      </c>
      <c r="H190" s="496">
        <v>66.666666666666657</v>
      </c>
    </row>
    <row r="191" spans="3:8" ht="18.75">
      <c r="C191" s="509" t="s">
        <v>3834</v>
      </c>
      <c r="D191" s="510">
        <v>159376000</v>
      </c>
      <c r="E191" s="510">
        <v>72778000</v>
      </c>
      <c r="F191" s="511">
        <v>45.664340929625538</v>
      </c>
      <c r="G191" s="510">
        <v>86598000</v>
      </c>
      <c r="H191" s="512">
        <v>54.335659070374462</v>
      </c>
    </row>
    <row r="192" spans="3:8" ht="18.75">
      <c r="C192" s="513" t="s">
        <v>3828</v>
      </c>
      <c r="D192" s="494">
        <v>101016000</v>
      </c>
      <c r="E192" s="494">
        <v>44410000</v>
      </c>
      <c r="F192" s="495">
        <v>43.963332541379586</v>
      </c>
      <c r="G192" s="494">
        <v>56606000</v>
      </c>
      <c r="H192" s="496">
        <v>56.036667458620414</v>
      </c>
    </row>
    <row r="193" spans="3:10" ht="18.75">
      <c r="C193" s="513" t="s">
        <v>3835</v>
      </c>
      <c r="D193" s="494">
        <v>58360000</v>
      </c>
      <c r="E193" s="494">
        <v>28368000</v>
      </c>
      <c r="F193" s="495">
        <v>48.608636052090468</v>
      </c>
      <c r="G193" s="494">
        <v>29992000</v>
      </c>
      <c r="H193" s="496">
        <v>51.391363947909532</v>
      </c>
    </row>
    <row r="194" spans="3:10" ht="18.75">
      <c r="C194" s="493" t="s">
        <v>3803</v>
      </c>
      <c r="D194" s="494">
        <v>8582500000</v>
      </c>
      <c r="E194" s="494">
        <v>4949198748</v>
      </c>
      <c r="F194" s="495">
        <v>57.666166594815024</v>
      </c>
      <c r="G194" s="494">
        <v>3633301252</v>
      </c>
      <c r="H194" s="496">
        <v>42.333833405184969</v>
      </c>
    </row>
    <row r="195" spans="3:10" ht="18.75">
      <c r="C195" s="497" t="s">
        <v>532</v>
      </c>
      <c r="D195" s="498">
        <v>8582500000</v>
      </c>
      <c r="E195" s="498">
        <v>4949198748</v>
      </c>
      <c r="F195" s="499">
        <v>57.666166594815024</v>
      </c>
      <c r="G195" s="498">
        <v>3633301252</v>
      </c>
      <c r="H195" s="500">
        <v>42.333833405184969</v>
      </c>
    </row>
    <row r="196" spans="3:10" ht="18.75">
      <c r="C196" s="501" t="s">
        <v>533</v>
      </c>
      <c r="D196" s="502">
        <v>8582500000</v>
      </c>
      <c r="E196" s="502">
        <v>4949198748</v>
      </c>
      <c r="F196" s="503">
        <v>57.666166594815024</v>
      </c>
      <c r="G196" s="502">
        <v>3633301252</v>
      </c>
      <c r="H196" s="504">
        <v>42.333833405184969</v>
      </c>
    </row>
    <row r="197" spans="3:10" ht="18.75">
      <c r="C197" s="493" t="s">
        <v>3863</v>
      </c>
      <c r="D197" s="494">
        <v>8582500000</v>
      </c>
      <c r="E197" s="494">
        <v>4949198748</v>
      </c>
      <c r="F197" s="495">
        <v>57.666166594815024</v>
      </c>
      <c r="G197" s="494">
        <v>3633301252</v>
      </c>
      <c r="H197" s="496">
        <v>42.333833405184969</v>
      </c>
    </row>
    <row r="198" spans="3:10" ht="18.75">
      <c r="C198" s="505" t="s">
        <v>3864</v>
      </c>
      <c r="D198" s="506">
        <v>8473300000</v>
      </c>
      <c r="E198" s="506">
        <v>4935058348</v>
      </c>
      <c r="F198" s="507">
        <v>58.242459820849021</v>
      </c>
      <c r="G198" s="506">
        <v>3538241652</v>
      </c>
      <c r="H198" s="508">
        <v>41.757540179150979</v>
      </c>
    </row>
    <row r="199" spans="3:10" ht="18.75">
      <c r="C199" s="509" t="s">
        <v>3865</v>
      </c>
      <c r="D199" s="510">
        <v>1713564000</v>
      </c>
      <c r="E199" s="510">
        <v>30225000</v>
      </c>
      <c r="F199" s="511">
        <v>1.7638675882546553</v>
      </c>
      <c r="G199" s="510">
        <v>1683339000</v>
      </c>
      <c r="H199" s="512">
        <v>98.236132411745345</v>
      </c>
    </row>
    <row r="200" spans="3:10" ht="18.75">
      <c r="C200" s="513" t="s">
        <v>3773</v>
      </c>
      <c r="D200" s="494">
        <v>99100000</v>
      </c>
      <c r="E200" s="494">
        <v>0</v>
      </c>
      <c r="F200" s="495">
        <v>0</v>
      </c>
      <c r="G200" s="494">
        <v>99100000</v>
      </c>
      <c r="H200" s="496">
        <v>100</v>
      </c>
    </row>
    <row r="201" spans="3:10" ht="18.75">
      <c r="C201" s="513" t="s">
        <v>3786</v>
      </c>
      <c r="D201" s="494">
        <v>1333864000</v>
      </c>
      <c r="E201" s="494">
        <v>0</v>
      </c>
      <c r="F201" s="495">
        <v>0</v>
      </c>
      <c r="G201" s="494">
        <v>1333864000</v>
      </c>
      <c r="H201" s="496">
        <v>100</v>
      </c>
    </row>
    <row r="202" spans="3:10" ht="18.75">
      <c r="C202" s="513" t="s">
        <v>3791</v>
      </c>
      <c r="D202" s="494">
        <v>25000000</v>
      </c>
      <c r="E202" s="494">
        <v>9690000</v>
      </c>
      <c r="F202" s="495">
        <v>38.76</v>
      </c>
      <c r="G202" s="494">
        <v>15310000</v>
      </c>
      <c r="H202" s="496">
        <v>61.240000000000009</v>
      </c>
    </row>
    <row r="203" spans="3:10" ht="18.75">
      <c r="C203" s="513" t="s">
        <v>3776</v>
      </c>
      <c r="D203" s="494">
        <v>15000000</v>
      </c>
      <c r="E203" s="494">
        <v>0</v>
      </c>
      <c r="F203" s="495">
        <v>0</v>
      </c>
      <c r="G203" s="494">
        <v>15000000</v>
      </c>
      <c r="H203" s="496">
        <v>100</v>
      </c>
    </row>
    <row r="204" spans="3:10" ht="18.75">
      <c r="C204" s="513" t="s">
        <v>3866</v>
      </c>
      <c r="D204" s="494">
        <v>102600000</v>
      </c>
      <c r="E204" s="494">
        <v>0</v>
      </c>
      <c r="F204" s="495">
        <v>0</v>
      </c>
      <c r="G204" s="494">
        <v>102600000</v>
      </c>
      <c r="H204" s="496">
        <v>100</v>
      </c>
    </row>
    <row r="205" spans="3:10" ht="18.75">
      <c r="C205" s="513" t="s">
        <v>3777</v>
      </c>
      <c r="D205" s="494">
        <v>138000000</v>
      </c>
      <c r="E205" s="494">
        <v>20535000</v>
      </c>
      <c r="F205" s="495">
        <v>14.880434782608695</v>
      </c>
      <c r="G205" s="494">
        <v>117465000</v>
      </c>
      <c r="H205" s="496">
        <v>85.119565217391298</v>
      </c>
    </row>
    <row r="206" spans="3:10" ht="18.75">
      <c r="C206" s="509" t="s">
        <v>3867</v>
      </c>
      <c r="D206" s="510">
        <v>6585695000</v>
      </c>
      <c r="E206" s="510">
        <v>4904833348</v>
      </c>
      <c r="F206" s="511">
        <v>74.477080217046193</v>
      </c>
      <c r="G206" s="510">
        <v>1680861652</v>
      </c>
      <c r="H206" s="512">
        <v>25.522919782953814</v>
      </c>
      <c r="I206" s="476"/>
      <c r="J206" s="161"/>
    </row>
    <row r="207" spans="3:10" ht="18.75">
      <c r="C207" s="513" t="s">
        <v>3773</v>
      </c>
      <c r="D207" s="494">
        <v>25000000</v>
      </c>
      <c r="E207" s="494">
        <v>7837550</v>
      </c>
      <c r="F207" s="495">
        <v>31.350200000000001</v>
      </c>
      <c r="G207" s="494">
        <v>17162450</v>
      </c>
      <c r="H207" s="496">
        <v>68.649799999999999</v>
      </c>
    </row>
    <row r="208" spans="3:10" ht="18.75">
      <c r="C208" s="513" t="s">
        <v>3786</v>
      </c>
      <c r="D208" s="494">
        <v>6308695000</v>
      </c>
      <c r="E208" s="494">
        <v>4825410092</v>
      </c>
      <c r="F208" s="495">
        <v>76.488245064946085</v>
      </c>
      <c r="G208" s="494">
        <v>1483284908</v>
      </c>
      <c r="H208" s="496">
        <v>23.511754935053922</v>
      </c>
    </row>
    <row r="209" spans="3:8" ht="18.75">
      <c r="C209" s="513" t="s">
        <v>3791</v>
      </c>
      <c r="D209" s="494">
        <v>30000000</v>
      </c>
      <c r="E209" s="494">
        <v>9678000</v>
      </c>
      <c r="F209" s="495">
        <v>32.26</v>
      </c>
      <c r="G209" s="494">
        <v>20322000</v>
      </c>
      <c r="H209" s="496">
        <v>67.739999999999995</v>
      </c>
    </row>
    <row r="210" spans="3:8" ht="18.75">
      <c r="C210" s="513" t="s">
        <v>3776</v>
      </c>
      <c r="D210" s="494">
        <v>6000000</v>
      </c>
      <c r="E210" s="494">
        <v>0</v>
      </c>
      <c r="F210" s="495">
        <v>0</v>
      </c>
      <c r="G210" s="494">
        <v>6000000</v>
      </c>
      <c r="H210" s="496">
        <v>100</v>
      </c>
    </row>
    <row r="211" spans="3:8" ht="18.75">
      <c r="C211" s="513" t="s">
        <v>3777</v>
      </c>
      <c r="D211" s="494">
        <v>216000000</v>
      </c>
      <c r="E211" s="494">
        <v>61907706</v>
      </c>
      <c r="F211" s="495">
        <v>28.660975000000001</v>
      </c>
      <c r="G211" s="494">
        <v>154092294</v>
      </c>
      <c r="H211" s="496">
        <v>71.339025000000007</v>
      </c>
    </row>
    <row r="212" spans="3:8" ht="18.75">
      <c r="C212" s="509" t="s">
        <v>3868</v>
      </c>
      <c r="D212" s="510">
        <v>174041000</v>
      </c>
      <c r="E212" s="510">
        <v>0</v>
      </c>
      <c r="F212" s="511">
        <v>0</v>
      </c>
      <c r="G212" s="510">
        <v>174041000</v>
      </c>
      <c r="H212" s="512">
        <v>100</v>
      </c>
    </row>
    <row r="213" spans="3:8" ht="18.75">
      <c r="C213" s="513" t="s">
        <v>3773</v>
      </c>
      <c r="D213" s="494">
        <v>12000000</v>
      </c>
      <c r="E213" s="494">
        <v>0</v>
      </c>
      <c r="F213" s="495">
        <v>0</v>
      </c>
      <c r="G213" s="494">
        <v>12000000</v>
      </c>
      <c r="H213" s="496">
        <v>100</v>
      </c>
    </row>
    <row r="214" spans="3:8" ht="18.75">
      <c r="C214" s="513" t="s">
        <v>3786</v>
      </c>
      <c r="D214" s="494">
        <v>20000000</v>
      </c>
      <c r="E214" s="494">
        <v>0</v>
      </c>
      <c r="F214" s="495">
        <v>0</v>
      </c>
      <c r="G214" s="494">
        <v>20000000</v>
      </c>
      <c r="H214" s="496">
        <v>100</v>
      </c>
    </row>
    <row r="215" spans="3:8" ht="18.75">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8.75">
      <c r="C217" s="509" t="s">
        <v>3880</v>
      </c>
      <c r="D217" s="510">
        <v>109200000</v>
      </c>
      <c r="E217" s="510">
        <v>14140400</v>
      </c>
      <c r="F217" s="511">
        <v>12.949084249084249</v>
      </c>
      <c r="G217" s="510">
        <v>95059600</v>
      </c>
      <c r="H217" s="512">
        <v>87.050915750915749</v>
      </c>
    </row>
    <row r="218" spans="3:8" ht="18.75">
      <c r="C218" s="513" t="s">
        <v>3773</v>
      </c>
      <c r="D218" s="494">
        <v>25000000</v>
      </c>
      <c r="E218" s="494">
        <v>5920400</v>
      </c>
      <c r="F218" s="495">
        <v>23.6816</v>
      </c>
      <c r="G218" s="494">
        <v>19079600</v>
      </c>
      <c r="H218" s="496">
        <v>76.318399999999997</v>
      </c>
    </row>
    <row r="219" spans="3:8" ht="18.75">
      <c r="C219" s="513" t="s">
        <v>3791</v>
      </c>
      <c r="D219" s="494">
        <v>30000000</v>
      </c>
      <c r="E219" s="494">
        <v>8220000</v>
      </c>
      <c r="F219" s="495">
        <v>27.400000000000002</v>
      </c>
      <c r="G219" s="494">
        <v>21780000</v>
      </c>
      <c r="H219" s="496">
        <v>72.599999999999994</v>
      </c>
    </row>
    <row r="220" spans="3:8" ht="18.75">
      <c r="C220" s="513" t="s">
        <v>3777</v>
      </c>
      <c r="D220" s="494">
        <v>54200000</v>
      </c>
      <c r="E220" s="494">
        <v>0</v>
      </c>
      <c r="F220" s="495">
        <v>0</v>
      </c>
      <c r="G220" s="494">
        <v>54200000</v>
      </c>
      <c r="H220" s="496">
        <v>100</v>
      </c>
    </row>
    <row r="221" spans="3:8" ht="18.75">
      <c r="C221" s="488" t="s">
        <v>3887</v>
      </c>
      <c r="D221" s="494">
        <v>13875804000</v>
      </c>
      <c r="E221" s="494">
        <v>8384292675</v>
      </c>
      <c r="F221" s="495">
        <v>60.423833278417597</v>
      </c>
      <c r="G221" s="494">
        <v>5491511325</v>
      </c>
      <c r="H221" s="496">
        <v>39.576166721582403</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3314" priority="2" operator="lessThan">
      <formula>0</formula>
    </cfRule>
  </conditionalFormatting>
  <conditionalFormatting pivot="1" sqref="G6:G221">
    <cfRule type="cellIs" dxfId="3313" priority="1" operator="lessThan">
      <formula>0</formula>
    </cfRule>
  </conditionalFormatting>
  <pageMargins left="0.34" right="0.22" top="0.25" bottom="0.24" header="0.19" footer="0.16"/>
  <pageSetup paperSize="9" scale="43"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597EF-47E4-4588-BC9C-9938512CD237}">
  <dimension ref="A3:A7"/>
  <sheetViews>
    <sheetView workbookViewId="0">
      <selection activeCell="A3" sqref="A3"/>
    </sheetView>
  </sheetViews>
  <sheetFormatPr defaultRowHeight="15"/>
  <cols>
    <col min="1" max="1" width="27.7109375" bestFit="1" customWidth="1"/>
  </cols>
  <sheetData>
    <row r="3" spans="1:1">
      <c r="A3" s="528" t="s">
        <v>3902</v>
      </c>
    </row>
    <row r="4" spans="1:1">
      <c r="A4" s="160" t="s">
        <v>3804</v>
      </c>
    </row>
    <row r="5" spans="1:1">
      <c r="A5" s="160" t="s">
        <v>7846</v>
      </c>
    </row>
    <row r="6" spans="1:1">
      <c r="A6" s="160" t="s">
        <v>3881</v>
      </c>
    </row>
    <row r="7" spans="1:1">
      <c r="A7" s="160" t="s">
        <v>3887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F153"/>
  <sheetViews>
    <sheetView showGridLines="0" topLeftCell="Z1" zoomScale="85" zoomScaleNormal="85" workbookViewId="0">
      <pane ySplit="3" topLeftCell="A142" activePane="bottomLeft" state="frozen"/>
      <selection activeCell="N1" sqref="N1"/>
      <selection pane="bottomLeft" activeCell="AL5" sqref="AL5"/>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14.7109375" style="160" bestFit="1" customWidth="1"/>
    <col min="39" max="39" width="77.85546875" style="160" customWidth="1"/>
    <col min="40" max="40" width="15.42578125" style="254" bestFit="1" customWidth="1"/>
    <col min="41" max="41" width="9.85546875" style="160" customWidth="1"/>
    <col min="42" max="42" width="15.28515625" style="254" customWidth="1"/>
    <col min="43" max="43" width="9.7109375" style="160" customWidth="1"/>
    <col min="44" max="44" width="29.42578125" style="160" customWidth="1"/>
    <col min="45" max="45" width="14" style="160" customWidth="1"/>
    <col min="46" max="46" width="22.140625" style="160" customWidth="1"/>
    <col min="47" max="47" width="32.140625" style="160" customWidth="1"/>
    <col min="48" max="48" width="13.7109375" style="160" customWidth="1"/>
    <col min="49" max="49" width="12.5703125" style="160" customWidth="1"/>
    <col min="50" max="50" width="11.5703125" style="160" customWidth="1"/>
    <col min="51" max="51" width="13.5703125" style="160" customWidth="1"/>
    <col min="52" max="53" width="11.5703125" bestFit="1" customWidth="1"/>
    <col min="54" max="54" width="12.5703125" bestFit="1" customWidth="1"/>
    <col min="55" max="55" width="11.5703125" bestFit="1" customWidth="1"/>
    <col min="56" max="56" width="11.7109375" bestFit="1" customWidth="1"/>
    <col min="57" max="57" width="11.7109375" customWidth="1"/>
    <col min="58" max="58" width="12.5703125" bestFit="1" customWidth="1"/>
  </cols>
  <sheetData>
    <row r="1" spans="1:58">
      <c r="Z1" t="s">
        <v>3726</v>
      </c>
    </row>
    <row r="2" spans="1:58">
      <c r="AE2" t="s">
        <v>3726</v>
      </c>
    </row>
    <row r="3" spans="1:58"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3767</v>
      </c>
      <c r="AM3" s="160" t="s">
        <v>3763</v>
      </c>
      <c r="AN3" s="254" t="s">
        <v>3732</v>
      </c>
      <c r="AO3" s="160" t="s">
        <v>3888</v>
      </c>
      <c r="AP3" s="254" t="s">
        <v>3733</v>
      </c>
      <c r="AQ3" s="160" t="s">
        <v>7685</v>
      </c>
      <c r="AR3" s="160" t="s">
        <v>3764</v>
      </c>
      <c r="AS3" s="160" t="s">
        <v>3765</v>
      </c>
      <c r="AT3" s="160" t="s">
        <v>3766</v>
      </c>
      <c r="AU3" s="160" t="s">
        <v>7847</v>
      </c>
      <c r="AV3" s="160" t="s">
        <v>3894</v>
      </c>
      <c r="AW3" s="160" t="s">
        <v>3895</v>
      </c>
      <c r="AX3" s="160" t="s">
        <v>3896</v>
      </c>
      <c r="AY3" s="160" t="s">
        <v>3904</v>
      </c>
      <c r="AZ3" s="160" t="s">
        <v>4221</v>
      </c>
      <c r="BA3" s="160" t="s">
        <v>4256</v>
      </c>
      <c r="BB3" s="160" t="s">
        <v>4257</v>
      </c>
      <c r="BC3" s="160" t="s">
        <v>4410</v>
      </c>
      <c r="BD3" s="332" t="s">
        <v>4738</v>
      </c>
      <c r="BE3" s="350" t="s">
        <v>4817</v>
      </c>
      <c r="BF3" s="477" t="s">
        <v>7745</v>
      </c>
    </row>
    <row r="4" spans="1:58"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tr">
        <f>IF(LEFT(SP2D[[#This Row],[kdakun]],2)="51","Belanja Pegawai",IF(LEFT(SP2D[[#This Row],[kdakun]],2)="52","Belanja Barang",IF(LEFT(SP2D[[#This Row],[kdakun]],2)="53","Belanja Modal")))</f>
        <v>Belanja Barang</v>
      </c>
      <c r="AM4" s="162" t="s">
        <v>3775</v>
      </c>
      <c r="AN4" s="275">
        <f t="shared" ref="AN4:AN67" si="0">SUM(V4:AG4)</f>
        <v>11431000</v>
      </c>
      <c r="AO4" s="175">
        <f t="shared" ref="AO4:AO35" si="1">IFERROR(AN4/Q4*100,0)</f>
        <v>57.514465408805023</v>
      </c>
      <c r="AP4" s="275">
        <f t="shared" ref="AP4:AP67" si="2">Q4-AN4</f>
        <v>8444000</v>
      </c>
      <c r="AQ4" s="175">
        <f t="shared" ref="AQ4:AQ35" si="3">IFERROR(AP4/Q4*100,0)</f>
        <v>42.48553459119497</v>
      </c>
      <c r="AR4" s="162" t="str">
        <f t="shared" ref="AR4:AR35" si="4">_xlfn.TEXTJOIN(".",TRUE,C4,E4,G4,I4,K4,M4,O4)</f>
        <v>DL.2376.AFA.001.051.A.521211</v>
      </c>
      <c r="AS4" s="162" t="str">
        <f>IF(ISNUMBER(SEARCH("COVID",SP2D[[#This Row],[Akun]])),"COVID","Non COVID")</f>
        <v>Non COVID</v>
      </c>
      <c r="AT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 s="176">
        <f>SUM('PER BULAN'!BB21)</f>
        <v>0</v>
      </c>
      <c r="AW4" s="176">
        <f>SUM('PER BULAN'!BC21)</f>
        <v>990000</v>
      </c>
      <c r="AX4" s="176">
        <f>SUM('PER BULAN'!BD21)</f>
        <v>1500000</v>
      </c>
      <c r="AY4" s="176">
        <f>SUM('PER BULAN'!BE21)</f>
        <v>0</v>
      </c>
      <c r="AZ4" s="176">
        <f>SUM('PER BULAN'!BF21)</f>
        <v>0</v>
      </c>
      <c r="BA4" s="176">
        <f>SUM('PER BULAN'!BG21)</f>
        <v>1606000</v>
      </c>
      <c r="BB4" s="176">
        <f>SUM('PER BULAN'!BH21)</f>
        <v>1485000</v>
      </c>
      <c r="BC4" s="176">
        <f>SUM('PER BULAN'!BI21)</f>
        <v>0</v>
      </c>
      <c r="BD4" s="176">
        <f>SUM('PER BULAN'!BJ21)</f>
        <v>825000</v>
      </c>
      <c r="BE4" s="176">
        <f>SUM('PER BULAN'!BK21)</f>
        <v>0</v>
      </c>
      <c r="BF4" s="176">
        <f>SUM('PER BULAN'!BL21)</f>
        <v>3975000</v>
      </c>
    </row>
    <row r="5" spans="1:58"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tr">
        <f>IF(LEFT(SP2D[[#This Row],[kdakun]],2)="51","Belanja Pegawai",IF(LEFT(SP2D[[#This Row],[kdakun]],2)="52","Belanja Barang",IF(LEFT(SP2D[[#This Row],[kdakun]],2)="53","Belanja Modal")))</f>
        <v>Belanja Barang</v>
      </c>
      <c r="AM5" s="162" t="s">
        <v>3775</v>
      </c>
      <c r="AN5" s="275">
        <f t="shared" si="0"/>
        <v>6300000</v>
      </c>
      <c r="AO5" s="175">
        <f t="shared" si="1"/>
        <v>31.5</v>
      </c>
      <c r="AP5" s="275">
        <f t="shared" si="2"/>
        <v>13700000</v>
      </c>
      <c r="AQ5" s="175">
        <f t="shared" si="3"/>
        <v>68.5</v>
      </c>
      <c r="AR5" s="162" t="str">
        <f t="shared" si="4"/>
        <v>DL.2376.AFA.001.051.A.522151</v>
      </c>
      <c r="AS5" s="162" t="str">
        <f>IF(ISNUMBER(SEARCH("COVID",SP2D[[#This Row],[Akun]])),"COVID","Non COVID")</f>
        <v>Non COVID</v>
      </c>
      <c r="AT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 s="176">
        <f>SUM('PER BULAN'!BB22)</f>
        <v>0</v>
      </c>
      <c r="AW5" s="176">
        <f>SUM('PER BULAN'!BC22)</f>
        <v>900000</v>
      </c>
      <c r="AX5" s="176">
        <f>SUM('PER BULAN'!BD22)</f>
        <v>0</v>
      </c>
      <c r="AY5" s="176">
        <f>SUM('PER BULAN'!BE22)</f>
        <v>0</v>
      </c>
      <c r="AZ5" s="176">
        <f>SUM('PER BULAN'!BF22)</f>
        <v>0</v>
      </c>
      <c r="BA5" s="176">
        <f>SUM('PER BULAN'!BG22)</f>
        <v>0</v>
      </c>
      <c r="BB5" s="176">
        <f>SUM('PER BULAN'!BH22)</f>
        <v>0</v>
      </c>
      <c r="BC5" s="176">
        <f>SUM('PER BULAN'!BI22)</f>
        <v>0</v>
      </c>
      <c r="BD5" s="176">
        <f>SUM('PER BULAN'!BJ22)</f>
        <v>0</v>
      </c>
      <c r="BE5" s="176">
        <f>SUM('PER BULAN'!BK22)</f>
        <v>0</v>
      </c>
      <c r="BF5" s="176">
        <f>SUM('PER BULAN'!BL22)</f>
        <v>2400000</v>
      </c>
    </row>
    <row r="6" spans="1:58"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3900000</v>
      </c>
      <c r="AD6" s="176">
        <f>SUM('PER BULAN'!AH23:AJ23)</f>
        <v>0</v>
      </c>
      <c r="AE6" s="176">
        <f>SUM('PER BULAN'!AK23:AM23)</f>
        <v>0</v>
      </c>
      <c r="AF6" s="176">
        <f>SUM('PER BULAN'!AN23:AP23)</f>
        <v>0</v>
      </c>
      <c r="AG6" s="176">
        <f>SUM('PER BULAN'!AQ23:AS23)</f>
        <v>0</v>
      </c>
      <c r="AH6" s="162" t="s">
        <v>523</v>
      </c>
      <c r="AI6" s="162" t="s">
        <v>524</v>
      </c>
      <c r="AJ6" s="162" t="s">
        <v>525</v>
      </c>
      <c r="AK6" s="162" t="s">
        <v>3774</v>
      </c>
      <c r="AL6" s="162" t="str">
        <f>IF(LEFT(SP2D[[#This Row],[kdakun]],2)="51","Belanja Pegawai",IF(LEFT(SP2D[[#This Row],[kdakun]],2)="52","Belanja Barang",IF(LEFT(SP2D[[#This Row],[kdakun]],2)="53","Belanja Modal")))</f>
        <v>Belanja Barang</v>
      </c>
      <c r="AM6" s="162" t="s">
        <v>3775</v>
      </c>
      <c r="AN6" s="275">
        <f t="shared" si="0"/>
        <v>35476000</v>
      </c>
      <c r="AO6" s="175">
        <f t="shared" si="1"/>
        <v>82.006472491909392</v>
      </c>
      <c r="AP6" s="275">
        <f t="shared" si="2"/>
        <v>7784000</v>
      </c>
      <c r="AQ6" s="175">
        <f t="shared" si="3"/>
        <v>17.993527508090615</v>
      </c>
      <c r="AR6" s="162" t="str">
        <f t="shared" si="4"/>
        <v>DL.2376.AFA.001.051.A.524111</v>
      </c>
      <c r="AS6" s="162" t="str">
        <f>IF(ISNUMBER(SEARCH("COVID",SP2D[[#This Row],[Akun]])),"COVID","Non COVID")</f>
        <v>Non COVID</v>
      </c>
      <c r="AT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 s="176">
        <f>SUM('PER BULAN'!BB23)</f>
        <v>0</v>
      </c>
      <c r="AW6" s="176">
        <f>SUM('PER BULAN'!BC23)</f>
        <v>10950000</v>
      </c>
      <c r="AX6" s="176">
        <f>SUM('PER BULAN'!BD23)</f>
        <v>0</v>
      </c>
      <c r="AY6" s="176">
        <f>SUM('PER BULAN'!BE23)</f>
        <v>0</v>
      </c>
      <c r="AZ6" s="176">
        <f>SUM('PER BULAN'!BF23)</f>
        <v>0</v>
      </c>
      <c r="BA6" s="176">
        <f>SUM('PER BULAN'!BG23)</f>
        <v>1800000</v>
      </c>
      <c r="BB6" s="176">
        <f>SUM('PER BULAN'!BH23)</f>
        <v>0</v>
      </c>
      <c r="BC6" s="176">
        <f>SUM('PER BULAN'!BI23)</f>
        <v>0</v>
      </c>
      <c r="BD6" s="176">
        <f>SUM('PER BULAN'!BJ23)</f>
        <v>0</v>
      </c>
      <c r="BE6" s="176">
        <f>SUM('PER BULAN'!BK23)</f>
        <v>0</v>
      </c>
      <c r="BF6" s="176">
        <f>SUM('PER BULAN'!BL23)</f>
        <v>3210000</v>
      </c>
    </row>
    <row r="7" spans="1:58"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tr">
        <f>IF(LEFT(SP2D[[#This Row],[kdakun]],2)="51","Belanja Pegawai",IF(LEFT(SP2D[[#This Row],[kdakun]],2)="52","Belanja Barang",IF(LEFT(SP2D[[#This Row],[kdakun]],2)="53","Belanja Modal")))</f>
        <v>Belanja Barang</v>
      </c>
      <c r="AM7" s="162" t="s">
        <v>3775</v>
      </c>
      <c r="AN7" s="275">
        <f t="shared" si="0"/>
        <v>6511000</v>
      </c>
      <c r="AO7" s="175">
        <f t="shared" si="1"/>
        <v>33.389743589743595</v>
      </c>
      <c r="AP7" s="275">
        <f t="shared" si="2"/>
        <v>12989000</v>
      </c>
      <c r="AQ7" s="175">
        <f t="shared" si="3"/>
        <v>66.610256410256412</v>
      </c>
      <c r="AR7" s="162" t="str">
        <f t="shared" si="4"/>
        <v>DL.2376.AFA.001.051.B.521211</v>
      </c>
      <c r="AS7" s="162" t="str">
        <f>IF(ISNUMBER(SEARCH("COVID",SP2D[[#This Row],[Akun]])),"COVID","Non COVID")</f>
        <v>Non COVID</v>
      </c>
      <c r="AT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 s="176">
        <f>SUM('PER BULAN'!BB25)</f>
        <v>0</v>
      </c>
      <c r="AW7" s="176">
        <f>SUM('PER BULAN'!BC25)</f>
        <v>1525000</v>
      </c>
      <c r="AX7" s="176">
        <f>SUM('PER BULAN'!BD25)</f>
        <v>1036000</v>
      </c>
      <c r="AY7" s="176">
        <f>SUM('PER BULAN'!BE25)</f>
        <v>0</v>
      </c>
      <c r="AZ7" s="176">
        <f>SUM('PER BULAN'!BF25)</f>
        <v>0</v>
      </c>
      <c r="BA7" s="176">
        <f>SUM('PER BULAN'!BG25)</f>
        <v>0</v>
      </c>
      <c r="BB7" s="176">
        <f>SUM('PER BULAN'!BH25)</f>
        <v>1480000</v>
      </c>
      <c r="BC7" s="176">
        <f>SUM('PER BULAN'!BI25)</f>
        <v>0</v>
      </c>
      <c r="BD7" s="176">
        <f>SUM('PER BULAN'!BJ25)</f>
        <v>0</v>
      </c>
      <c r="BE7" s="176">
        <f>SUM('PER BULAN'!BK25)</f>
        <v>0</v>
      </c>
      <c r="BF7" s="176">
        <f>SUM('PER BULAN'!BL25)</f>
        <v>2470000</v>
      </c>
    </row>
    <row r="8" spans="1:58"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tr">
        <f>IF(LEFT(SP2D[[#This Row],[kdakun]],2)="51","Belanja Pegawai",IF(LEFT(SP2D[[#This Row],[kdakun]],2)="52","Belanja Barang",IF(LEFT(SP2D[[#This Row],[kdakun]],2)="53","Belanja Modal")))</f>
        <v>Belanja Barang</v>
      </c>
      <c r="AM8" s="162" t="s">
        <v>3775</v>
      </c>
      <c r="AN8" s="275">
        <f t="shared" si="0"/>
        <v>900000</v>
      </c>
      <c r="AO8" s="175">
        <f t="shared" si="1"/>
        <v>22.5</v>
      </c>
      <c r="AP8" s="275">
        <f t="shared" si="2"/>
        <v>3100000</v>
      </c>
      <c r="AQ8" s="175">
        <f t="shared" si="3"/>
        <v>77.5</v>
      </c>
      <c r="AR8" s="162" t="str">
        <f t="shared" si="4"/>
        <v>DL.2376.AFA.001.051.B.522151</v>
      </c>
      <c r="AS8" s="162" t="str">
        <f>IF(ISNUMBER(SEARCH("COVID",SP2D[[#This Row],[Akun]])),"COVID","Non COVID")</f>
        <v>Non COVID</v>
      </c>
      <c r="AT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 s="176">
        <f>SUM('PER BULAN'!BB26)</f>
        <v>0</v>
      </c>
      <c r="AW8" s="176">
        <f>SUM('PER BULAN'!BC26)</f>
        <v>900000</v>
      </c>
      <c r="AX8" s="176">
        <f>SUM('PER BULAN'!BD26)</f>
        <v>0</v>
      </c>
      <c r="AY8" s="176">
        <f>SUM('PER BULAN'!BE26)</f>
        <v>0</v>
      </c>
      <c r="AZ8" s="176">
        <f>SUM('PER BULAN'!BF26)</f>
        <v>0</v>
      </c>
      <c r="BA8" s="176">
        <f>SUM('PER BULAN'!BG26)</f>
        <v>0</v>
      </c>
      <c r="BB8" s="176">
        <f>SUM('PER BULAN'!BH26)</f>
        <v>0</v>
      </c>
      <c r="BC8" s="176">
        <f>SUM('PER BULAN'!BI26)</f>
        <v>0</v>
      </c>
      <c r="BD8" s="176">
        <f>SUM('PER BULAN'!BJ26)</f>
        <v>0</v>
      </c>
      <c r="BE8" s="176">
        <f>SUM('PER BULAN'!BK26)</f>
        <v>0</v>
      </c>
      <c r="BF8" s="176">
        <f>SUM('PER BULAN'!BL26)</f>
        <v>0</v>
      </c>
    </row>
    <row r="9" spans="1:58"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tr">
        <f>IF(LEFT(SP2D[[#This Row],[kdakun]],2)="51","Belanja Pegawai",IF(LEFT(SP2D[[#This Row],[kdakun]],2)="52","Belanja Barang",IF(LEFT(SP2D[[#This Row],[kdakun]],2)="53","Belanja Modal")))</f>
        <v>Belanja Barang</v>
      </c>
      <c r="AM9" s="162" t="s">
        <v>3775</v>
      </c>
      <c r="AN9" s="275">
        <f t="shared" si="0"/>
        <v>17460000</v>
      </c>
      <c r="AO9" s="175">
        <f t="shared" si="1"/>
        <v>99.971371314056682</v>
      </c>
      <c r="AP9" s="275">
        <f t="shared" si="2"/>
        <v>5000</v>
      </c>
      <c r="AQ9" s="175">
        <f t="shared" si="3"/>
        <v>2.8628685943315198E-2</v>
      </c>
      <c r="AR9" s="162" t="str">
        <f t="shared" si="4"/>
        <v>DL.2376.AFA.001.051.B.524111</v>
      </c>
      <c r="AS9" s="162" t="str">
        <f>IF(ISNUMBER(SEARCH("COVID",SP2D[[#This Row],[Akun]])),"COVID","Non COVID")</f>
        <v>Non COVID</v>
      </c>
      <c r="AT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 s="176">
        <f>SUM('PER BULAN'!BB27)</f>
        <v>0</v>
      </c>
      <c r="AW9" s="176">
        <f>SUM('PER BULAN'!BC27)</f>
        <v>12960000</v>
      </c>
      <c r="AX9" s="176">
        <f>SUM('PER BULAN'!BD27)</f>
        <v>3660000</v>
      </c>
      <c r="AY9" s="176">
        <f>SUM('PER BULAN'!BE27)</f>
        <v>0</v>
      </c>
      <c r="AZ9" s="176">
        <f>SUM('PER BULAN'!BF27)</f>
        <v>0</v>
      </c>
      <c r="BA9" s="176">
        <f>SUM('PER BULAN'!BG27)</f>
        <v>0</v>
      </c>
      <c r="BB9" s="176">
        <f>SUM('PER BULAN'!BH27)</f>
        <v>0</v>
      </c>
      <c r="BC9" s="176">
        <f>SUM('PER BULAN'!BI27)</f>
        <v>0</v>
      </c>
      <c r="BD9" s="176">
        <f>SUM('PER BULAN'!BJ27)</f>
        <v>0</v>
      </c>
      <c r="BE9" s="176">
        <f>SUM('PER BULAN'!BK27)</f>
        <v>0</v>
      </c>
      <c r="BF9" s="176">
        <f>SUM('PER BULAN'!BL27)</f>
        <v>840000</v>
      </c>
    </row>
    <row r="10" spans="1:58"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tr">
        <f>IF(LEFT(SP2D[[#This Row],[kdakun]],2)="51","Belanja Pegawai",IF(LEFT(SP2D[[#This Row],[kdakun]],2)="52","Belanja Barang",IF(LEFT(SP2D[[#This Row],[kdakun]],2)="53","Belanja Modal")))</f>
        <v>Belanja Barang</v>
      </c>
      <c r="AM10" s="162" t="s">
        <v>3775</v>
      </c>
      <c r="AN10" s="275">
        <f t="shared" si="0"/>
        <v>4620000</v>
      </c>
      <c r="AO10" s="175">
        <f t="shared" si="1"/>
        <v>21.741176470588236</v>
      </c>
      <c r="AP10" s="275">
        <f t="shared" si="2"/>
        <v>16630000</v>
      </c>
      <c r="AQ10" s="175">
        <f t="shared" si="3"/>
        <v>78.258823529411771</v>
      </c>
      <c r="AR10" s="162" t="str">
        <f t="shared" si="4"/>
        <v>DL.2376.AFA.001.052.A.521211</v>
      </c>
      <c r="AS10" s="162" t="str">
        <f>IF(ISNUMBER(SEARCH("COVID",SP2D[[#This Row],[Akun]])),"COVID","Non COVID")</f>
        <v>Non COVID</v>
      </c>
      <c r="AT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 s="176">
        <f>SUM('PER BULAN'!BB30)</f>
        <v>0</v>
      </c>
      <c r="AW10" s="176">
        <f>SUM('PER BULAN'!BC30)</f>
        <v>2460000</v>
      </c>
      <c r="AX10" s="176">
        <f>SUM('PER BULAN'!BD30)</f>
        <v>0</v>
      </c>
      <c r="AY10" s="176">
        <f>SUM('PER BULAN'!BE30)</f>
        <v>0</v>
      </c>
      <c r="AZ10" s="176">
        <f>SUM('PER BULAN'!BF30)</f>
        <v>0</v>
      </c>
      <c r="BA10" s="176">
        <f>SUM('PER BULAN'!BG30)</f>
        <v>660000</v>
      </c>
      <c r="BB10" s="176">
        <f>SUM('PER BULAN'!BH30)</f>
        <v>0</v>
      </c>
      <c r="BC10" s="176">
        <f>SUM('PER BULAN'!BI30)</f>
        <v>0</v>
      </c>
      <c r="BD10" s="176">
        <f>SUM('PER BULAN'!BJ30)</f>
        <v>1500000</v>
      </c>
      <c r="BE10" s="176">
        <f>SUM('PER BULAN'!BK30)</f>
        <v>0</v>
      </c>
      <c r="BF10" s="176">
        <f>SUM('PER BULAN'!BL30)</f>
        <v>0</v>
      </c>
    </row>
    <row r="11" spans="1:58"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2460000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tr">
        <f>IF(LEFT(SP2D[[#This Row],[kdakun]],2)="51","Belanja Pegawai",IF(LEFT(SP2D[[#This Row],[kdakun]],2)="52","Belanja Barang",IF(LEFT(SP2D[[#This Row],[kdakun]],2)="53","Belanja Modal")))</f>
        <v>Belanja Barang</v>
      </c>
      <c r="AM11" s="162" t="s">
        <v>3775</v>
      </c>
      <c r="AN11" s="275">
        <f t="shared" si="0"/>
        <v>28355585</v>
      </c>
      <c r="AO11" s="175">
        <f t="shared" si="1"/>
        <v>85.27995488721804</v>
      </c>
      <c r="AP11" s="275">
        <f t="shared" si="2"/>
        <v>4894415</v>
      </c>
      <c r="AQ11" s="175">
        <f t="shared" si="3"/>
        <v>14.720045112781953</v>
      </c>
      <c r="AR11" s="162" t="str">
        <f t="shared" si="4"/>
        <v>DL.2376.AFA.001.052.A.524111</v>
      </c>
      <c r="AS11" s="162" t="str">
        <f>IF(ISNUMBER(SEARCH("COVID",SP2D[[#This Row],[Akun]])),"COVID","Non COVID")</f>
        <v>Non COVID</v>
      </c>
      <c r="AT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 s="176">
        <f>SUM('PER BULAN'!BB31)</f>
        <v>0</v>
      </c>
      <c r="AW11" s="176">
        <f>SUM('PER BULAN'!BC31)</f>
        <v>1080000</v>
      </c>
      <c r="AX11" s="176">
        <f>SUM('PER BULAN'!BD31)</f>
        <v>2700000</v>
      </c>
      <c r="AY11" s="176">
        <f>SUM('PER BULAN'!BE31)</f>
        <v>0</v>
      </c>
      <c r="AZ11" s="176">
        <f>SUM('PER BULAN'!BF31)</f>
        <v>0</v>
      </c>
      <c r="BA11" s="176">
        <f>SUM('PER BULAN'!BG31)</f>
        <v>3620000</v>
      </c>
      <c r="BB11" s="176">
        <f>SUM('PER BULAN'!BH31)</f>
        <v>9244500</v>
      </c>
      <c r="BC11" s="176">
        <f>SUM('PER BULAN'!BI31)</f>
        <v>0</v>
      </c>
      <c r="BD11" s="176">
        <f>SUM('PER BULAN'!BJ31)</f>
        <v>0</v>
      </c>
      <c r="BE11" s="176">
        <f>SUM('PER BULAN'!BK31)</f>
        <v>0</v>
      </c>
      <c r="BF11" s="176">
        <f>SUM('PER BULAN'!BL31)</f>
        <v>0</v>
      </c>
    </row>
    <row r="12" spans="1:58"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tr">
        <f>IF(LEFT(SP2D[[#This Row],[kdakun]],2)="51","Belanja Pegawai",IF(LEFT(SP2D[[#This Row],[kdakun]],2)="52","Belanja Barang",IF(LEFT(SP2D[[#This Row],[kdakun]],2)="53","Belanja Modal")))</f>
        <v>Belanja Barang</v>
      </c>
      <c r="AM12" s="162" t="s">
        <v>3775</v>
      </c>
      <c r="AN12" s="275">
        <f t="shared" si="0"/>
        <v>41367750</v>
      </c>
      <c r="AO12" s="175">
        <f t="shared" si="1"/>
        <v>63.740755007704166</v>
      </c>
      <c r="AP12" s="275">
        <f t="shared" si="2"/>
        <v>23532250</v>
      </c>
      <c r="AQ12" s="175">
        <f t="shared" si="3"/>
        <v>36.259244992295841</v>
      </c>
      <c r="AR12" s="162" t="str">
        <f t="shared" si="4"/>
        <v>DL.2376.AFA.001.053.A.521211</v>
      </c>
      <c r="AS12" s="162" t="str">
        <f>IF(ISNUMBER(SEARCH("COVID",SP2D[[#This Row],[Akun]])),"COVID","Non COVID")</f>
        <v>Non COVID</v>
      </c>
      <c r="AT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 s="176">
        <f>SUM('PER BULAN'!BB34)</f>
        <v>0</v>
      </c>
      <c r="AW12" s="176">
        <f>SUM('PER BULAN'!BC34)</f>
        <v>2871000</v>
      </c>
      <c r="AX12" s="176">
        <f>SUM('PER BULAN'!BD34)</f>
        <v>1461500</v>
      </c>
      <c r="AY12" s="176">
        <f>SUM('PER BULAN'!BE34)</f>
        <v>0</v>
      </c>
      <c r="AZ12" s="176">
        <f>SUM('PER BULAN'!BF34)</f>
        <v>0</v>
      </c>
      <c r="BA12" s="176">
        <f>SUM('PER BULAN'!BG34)</f>
        <v>440000</v>
      </c>
      <c r="BB12" s="176">
        <f>SUM('PER BULAN'!BH34)</f>
        <v>1422500</v>
      </c>
      <c r="BC12" s="176">
        <f>SUM('PER BULAN'!BI34)</f>
        <v>0</v>
      </c>
      <c r="BD12" s="176">
        <f>SUM('PER BULAN'!BJ34)</f>
        <v>0</v>
      </c>
      <c r="BE12" s="176">
        <f>SUM('PER BULAN'!BK34)</f>
        <v>0</v>
      </c>
      <c r="BF12" s="176">
        <f>SUM('PER BULAN'!BL34)</f>
        <v>29245750</v>
      </c>
    </row>
    <row r="13" spans="1:58"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tr">
        <f>IF(LEFT(SP2D[[#This Row],[kdakun]],2)="51","Belanja Pegawai",IF(LEFT(SP2D[[#This Row],[kdakun]],2)="52","Belanja Barang",IF(LEFT(SP2D[[#This Row],[kdakun]],2)="53","Belanja Modal")))</f>
        <v>Belanja Barang</v>
      </c>
      <c r="AM13" s="162" t="s">
        <v>3775</v>
      </c>
      <c r="AN13" s="275">
        <f t="shared" si="0"/>
        <v>4043000</v>
      </c>
      <c r="AO13" s="175">
        <f t="shared" si="1"/>
        <v>67.383333333333326</v>
      </c>
      <c r="AP13" s="275">
        <f t="shared" si="2"/>
        <v>1957000</v>
      </c>
      <c r="AQ13" s="175">
        <f t="shared" si="3"/>
        <v>32.616666666666667</v>
      </c>
      <c r="AR13" s="162" t="str">
        <f t="shared" si="4"/>
        <v>DL.2376.AFA.001.053.A.521219</v>
      </c>
      <c r="AS13" s="162" t="str">
        <f>IF(ISNUMBER(SEARCH("COVID",SP2D[[#This Row],[Akun]])),"COVID","Non COVID")</f>
        <v>Non COVID</v>
      </c>
      <c r="AT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 s="176">
        <f>SUM('PER BULAN'!BB35)</f>
        <v>0</v>
      </c>
      <c r="AW13" s="176">
        <f>SUM('PER BULAN'!BC35)</f>
        <v>300450</v>
      </c>
      <c r="AX13" s="176">
        <f>SUM('PER BULAN'!BD35)</f>
        <v>331300</v>
      </c>
      <c r="AY13" s="176">
        <f>SUM('PER BULAN'!BE35)</f>
        <v>0</v>
      </c>
      <c r="AZ13" s="176">
        <f>SUM('PER BULAN'!BF35)</f>
        <v>0</v>
      </c>
      <c r="BA13" s="176">
        <f>SUM('PER BULAN'!BG35)</f>
        <v>331250</v>
      </c>
      <c r="BB13" s="176">
        <f>SUM('PER BULAN'!BH35)</f>
        <v>0</v>
      </c>
      <c r="BC13" s="176">
        <f>SUM('PER BULAN'!BI35)</f>
        <v>0</v>
      </c>
      <c r="BD13" s="176">
        <f>SUM('PER BULAN'!BJ35)</f>
        <v>0</v>
      </c>
      <c r="BE13" s="176">
        <f>SUM('PER BULAN'!BK35)</f>
        <v>0</v>
      </c>
      <c r="BF13" s="176">
        <f>SUM('PER BULAN'!BL35)</f>
        <v>0</v>
      </c>
    </row>
    <row r="14" spans="1:58"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tr">
        <f>IF(LEFT(SP2D[[#This Row],[kdakun]],2)="51","Belanja Pegawai",IF(LEFT(SP2D[[#This Row],[kdakun]],2)="52","Belanja Barang",IF(LEFT(SP2D[[#This Row],[kdakun]],2)="53","Belanja Modal")))</f>
        <v>Belanja Barang</v>
      </c>
      <c r="AM14" s="162" t="s">
        <v>3775</v>
      </c>
      <c r="AN14" s="275">
        <f t="shared" si="0"/>
        <v>12006500</v>
      </c>
      <c r="AO14" s="175">
        <f t="shared" si="1"/>
        <v>40.021666666666668</v>
      </c>
      <c r="AP14" s="275">
        <f t="shared" si="2"/>
        <v>17993500</v>
      </c>
      <c r="AQ14" s="175">
        <f t="shared" si="3"/>
        <v>59.978333333333332</v>
      </c>
      <c r="AR14" s="162" t="str">
        <f t="shared" si="4"/>
        <v>DL.2376.AFA.001.053.A.521811</v>
      </c>
      <c r="AS14" s="162" t="str">
        <f>IF(ISNUMBER(SEARCH("COVID",SP2D[[#This Row],[Akun]])),"COVID","Non COVID")</f>
        <v>Non COVID</v>
      </c>
      <c r="AT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 s="176">
        <f>SUM('PER BULAN'!BB36)</f>
        <v>0</v>
      </c>
      <c r="AW14" s="176">
        <f>SUM('PER BULAN'!BC36)</f>
        <v>4846000</v>
      </c>
      <c r="AX14" s="176">
        <f>SUM('PER BULAN'!BD36)</f>
        <v>2300000</v>
      </c>
      <c r="AY14" s="176">
        <f>SUM('PER BULAN'!BE36)</f>
        <v>0</v>
      </c>
      <c r="AZ14" s="176">
        <f>SUM('PER BULAN'!BF36)</f>
        <v>0</v>
      </c>
      <c r="BA14" s="176">
        <f>SUM('PER BULAN'!BG36)</f>
        <v>0</v>
      </c>
      <c r="BB14" s="176">
        <f>SUM('PER BULAN'!BH36)</f>
        <v>2391000</v>
      </c>
      <c r="BC14" s="176">
        <f>SUM('PER BULAN'!BI36)</f>
        <v>0</v>
      </c>
      <c r="BD14" s="176">
        <f>SUM('PER BULAN'!BJ36)</f>
        <v>0</v>
      </c>
      <c r="BE14" s="176">
        <f>SUM('PER BULAN'!BK36)</f>
        <v>0</v>
      </c>
      <c r="BF14" s="176">
        <f>SUM('PER BULAN'!BL36)</f>
        <v>2469500</v>
      </c>
    </row>
    <row r="15" spans="1:58"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2700000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tr">
        <f>IF(LEFT(SP2D[[#This Row],[kdakun]],2)="51","Belanja Pegawai",IF(LEFT(SP2D[[#This Row],[kdakun]],2)="52","Belanja Barang",IF(LEFT(SP2D[[#This Row],[kdakun]],2)="53","Belanja Modal")))</f>
        <v>Belanja Barang</v>
      </c>
      <c r="AM15" s="162" t="s">
        <v>3775</v>
      </c>
      <c r="AN15" s="275">
        <f t="shared" si="0"/>
        <v>11700000</v>
      </c>
      <c r="AO15" s="175">
        <f t="shared" si="1"/>
        <v>46.428571428571431</v>
      </c>
      <c r="AP15" s="275">
        <f t="shared" si="2"/>
        <v>13500000</v>
      </c>
      <c r="AQ15" s="175">
        <f t="shared" si="3"/>
        <v>53.571428571428569</v>
      </c>
      <c r="AR15" s="162" t="str">
        <f t="shared" si="4"/>
        <v>DL.2376.AFA.001.053.A.522151</v>
      </c>
      <c r="AS15" s="162" t="str">
        <f>IF(ISNUMBER(SEARCH("COVID",SP2D[[#This Row],[Akun]])),"COVID","Non COVID")</f>
        <v>Non COVID</v>
      </c>
      <c r="AT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 s="176">
        <f>SUM('PER BULAN'!BB37)</f>
        <v>0</v>
      </c>
      <c r="AW15" s="176">
        <f>SUM('PER BULAN'!BC37)</f>
        <v>1800000</v>
      </c>
      <c r="AX15" s="176">
        <f>SUM('PER BULAN'!BD37)</f>
        <v>0</v>
      </c>
      <c r="AY15" s="176">
        <f>SUM('PER BULAN'!BE37)</f>
        <v>0</v>
      </c>
      <c r="AZ15" s="176">
        <f>SUM('PER BULAN'!BF37)</f>
        <v>0</v>
      </c>
      <c r="BA15" s="176">
        <f>SUM('PER BULAN'!BG37)</f>
        <v>0</v>
      </c>
      <c r="BB15" s="176">
        <f>SUM('PER BULAN'!BH37)</f>
        <v>0</v>
      </c>
      <c r="BC15" s="176">
        <f>SUM('PER BULAN'!BI37)</f>
        <v>0</v>
      </c>
      <c r="BD15" s="176">
        <f>SUM('PER BULAN'!BJ37)</f>
        <v>0</v>
      </c>
      <c r="BE15" s="176">
        <f>SUM('PER BULAN'!BK37)</f>
        <v>0</v>
      </c>
      <c r="BF15" s="176">
        <f>SUM('PER BULAN'!BL37)</f>
        <v>0</v>
      </c>
    </row>
    <row r="16" spans="1:58"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tr">
        <f>IF(LEFT(SP2D[[#This Row],[kdakun]],2)="51","Belanja Pegawai",IF(LEFT(SP2D[[#This Row],[kdakun]],2)="52","Belanja Barang",IF(LEFT(SP2D[[#This Row],[kdakun]],2)="53","Belanja Modal")))</f>
        <v>Belanja Barang</v>
      </c>
      <c r="AM16" s="162" t="s">
        <v>3775</v>
      </c>
      <c r="AN16" s="275">
        <f t="shared" si="0"/>
        <v>0</v>
      </c>
      <c r="AO16" s="175">
        <f t="shared" si="1"/>
        <v>0</v>
      </c>
      <c r="AP16" s="275">
        <f t="shared" si="2"/>
        <v>6000000</v>
      </c>
      <c r="AQ16" s="175">
        <f t="shared" si="3"/>
        <v>100</v>
      </c>
      <c r="AR16" s="162" t="str">
        <f t="shared" si="4"/>
        <v>DL.2376.AFA.001.053.A.522192</v>
      </c>
      <c r="AS16" s="162" t="str">
        <f>IF(ISNUMBER(SEARCH("COVID",SP2D[[#This Row],[Akun]])),"COVID","Non COVID")</f>
        <v>COVID</v>
      </c>
      <c r="AT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6" s="176">
        <f>SUM('PER BULAN'!BB38)</f>
        <v>0</v>
      </c>
      <c r="AW16" s="176">
        <f>SUM('PER BULAN'!BC38)</f>
        <v>0</v>
      </c>
      <c r="AX16" s="176">
        <f>SUM('PER BULAN'!BD38)</f>
        <v>0</v>
      </c>
      <c r="AY16" s="176">
        <f>SUM('PER BULAN'!BE38)</f>
        <v>0</v>
      </c>
      <c r="AZ16" s="176">
        <f>SUM('PER BULAN'!BF38)</f>
        <v>0</v>
      </c>
      <c r="BA16" s="176">
        <f>SUM('PER BULAN'!BG38)</f>
        <v>0</v>
      </c>
      <c r="BB16" s="176">
        <f>SUM('PER BULAN'!BH38)</f>
        <v>0</v>
      </c>
      <c r="BC16" s="176">
        <f>SUM('PER BULAN'!BI38)</f>
        <v>0</v>
      </c>
      <c r="BD16" s="176">
        <f>SUM('PER BULAN'!BJ38)</f>
        <v>0</v>
      </c>
      <c r="BE16" s="176">
        <f>SUM('PER BULAN'!BK38)</f>
        <v>0</v>
      </c>
      <c r="BF16" s="176">
        <f>SUM('PER BULAN'!BL38)</f>
        <v>0</v>
      </c>
    </row>
    <row r="17" spans="1:58"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tr">
        <f>IF(LEFT(SP2D[[#This Row],[kdakun]],2)="51","Belanja Pegawai",IF(LEFT(SP2D[[#This Row],[kdakun]],2)="52","Belanja Barang",IF(LEFT(SP2D[[#This Row],[kdakun]],2)="53","Belanja Modal")))</f>
        <v>Belanja Barang</v>
      </c>
      <c r="AM17" s="162" t="s">
        <v>3775</v>
      </c>
      <c r="AN17" s="275">
        <f t="shared" si="0"/>
        <v>153581600</v>
      </c>
      <c r="AO17" s="175">
        <f t="shared" si="1"/>
        <v>60.626549399188391</v>
      </c>
      <c r="AP17" s="275">
        <f t="shared" si="2"/>
        <v>99742400</v>
      </c>
      <c r="AQ17" s="175">
        <f t="shared" si="3"/>
        <v>39.373450600811609</v>
      </c>
      <c r="AR17" s="162" t="str">
        <f t="shared" si="4"/>
        <v>DL.2376.AFA.001.053.A.524111</v>
      </c>
      <c r="AS17" s="162" t="str">
        <f>IF(ISNUMBER(SEARCH("COVID",SP2D[[#This Row],[Akun]])),"COVID","Non COVID")</f>
        <v>Non COVID</v>
      </c>
      <c r="AT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7" s="176">
        <f>SUM('PER BULAN'!BB39)</f>
        <v>0</v>
      </c>
      <c r="AW17" s="176">
        <f>SUM('PER BULAN'!BC39)</f>
        <v>7130000</v>
      </c>
      <c r="AX17" s="176">
        <f>SUM('PER BULAN'!BD39)</f>
        <v>3480000</v>
      </c>
      <c r="AY17" s="176">
        <f>SUM('PER BULAN'!BE39)</f>
        <v>0</v>
      </c>
      <c r="AZ17" s="176">
        <f>SUM('PER BULAN'!BF39)</f>
        <v>0</v>
      </c>
      <c r="BA17" s="176">
        <f>SUM('PER BULAN'!BG39)</f>
        <v>0</v>
      </c>
      <c r="BB17" s="176">
        <f>SUM('PER BULAN'!BH39)</f>
        <v>0</v>
      </c>
      <c r="BC17" s="176">
        <f>SUM('PER BULAN'!BI39)</f>
        <v>0</v>
      </c>
      <c r="BD17" s="176">
        <f>SUM('PER BULAN'!BJ39)</f>
        <v>0</v>
      </c>
      <c r="BE17" s="176">
        <f>SUM('PER BULAN'!BK39)</f>
        <v>0</v>
      </c>
      <c r="BF17" s="176">
        <f>SUM('PER BULAN'!BL39)</f>
        <v>40469000</v>
      </c>
    </row>
    <row r="18" spans="1:58"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tr">
        <f>IF(LEFT(SP2D[[#This Row],[kdakun]],2)="51","Belanja Pegawai",IF(LEFT(SP2D[[#This Row],[kdakun]],2)="52","Belanja Barang",IF(LEFT(SP2D[[#This Row],[kdakun]],2)="53","Belanja Modal")))</f>
        <v>Belanja Barang</v>
      </c>
      <c r="AM18" s="162" t="s">
        <v>3775</v>
      </c>
      <c r="AN18" s="275">
        <f t="shared" si="0"/>
        <v>0</v>
      </c>
      <c r="AO18" s="175">
        <f t="shared" si="1"/>
        <v>0</v>
      </c>
      <c r="AP18" s="275">
        <f t="shared" si="2"/>
        <v>1500000</v>
      </c>
      <c r="AQ18" s="175">
        <f t="shared" si="3"/>
        <v>100</v>
      </c>
      <c r="AR18" s="162" t="str">
        <f t="shared" si="4"/>
        <v>DL.2376.AFA.001.053.A.524113</v>
      </c>
      <c r="AS18" s="162" t="str">
        <f>IF(ISNUMBER(SEARCH("COVID",SP2D[[#This Row],[Akun]])),"COVID","Non COVID")</f>
        <v>Non COVID</v>
      </c>
      <c r="AT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8" s="176">
        <f>SUM('PER BULAN'!BB40)</f>
        <v>0</v>
      </c>
      <c r="AW18" s="176">
        <f>SUM('PER BULAN'!BC40)</f>
        <v>0</v>
      </c>
      <c r="AX18" s="176">
        <f>SUM('PER BULAN'!BD40)</f>
        <v>0</v>
      </c>
      <c r="AY18" s="176">
        <f>SUM('PER BULAN'!BE40)</f>
        <v>0</v>
      </c>
      <c r="AZ18" s="176">
        <f>SUM('PER BULAN'!BF40)</f>
        <v>0</v>
      </c>
      <c r="BA18" s="176">
        <f>SUM('PER BULAN'!BG40)</f>
        <v>0</v>
      </c>
      <c r="BB18" s="176">
        <f>SUM('PER BULAN'!BH40)</f>
        <v>0</v>
      </c>
      <c r="BC18" s="176">
        <f>SUM('PER BULAN'!BI40)</f>
        <v>0</v>
      </c>
      <c r="BD18" s="176">
        <f>SUM('PER BULAN'!BJ40)</f>
        <v>0</v>
      </c>
      <c r="BE18" s="176">
        <f>SUM('PER BULAN'!BK40)</f>
        <v>0</v>
      </c>
      <c r="BF18" s="176">
        <f>SUM('PER BULAN'!BL40)</f>
        <v>0</v>
      </c>
    </row>
    <row r="19" spans="1:58"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tr">
        <f>IF(LEFT(SP2D[[#This Row],[kdakun]],2)="51","Belanja Pegawai",IF(LEFT(SP2D[[#This Row],[kdakun]],2)="52","Belanja Barang",IF(LEFT(SP2D[[#This Row],[kdakun]],2)="53","Belanja Modal")))</f>
        <v>Belanja Barang</v>
      </c>
      <c r="AM19" s="162" t="s">
        <v>3775</v>
      </c>
      <c r="AN19" s="275">
        <f t="shared" si="0"/>
        <v>15898550</v>
      </c>
      <c r="AO19" s="175">
        <f t="shared" si="1"/>
        <v>22.249426220331394</v>
      </c>
      <c r="AP19" s="275">
        <f t="shared" si="2"/>
        <v>55557450</v>
      </c>
      <c r="AQ19" s="175">
        <f t="shared" si="3"/>
        <v>77.750573779668613</v>
      </c>
      <c r="AR19" s="162" t="str">
        <f t="shared" si="4"/>
        <v>DL.2376.AFA.001.053.B.521211</v>
      </c>
      <c r="AS19" s="162" t="str">
        <f>IF(ISNUMBER(SEARCH("COVID",SP2D[[#This Row],[Akun]])),"COVID","Non COVID")</f>
        <v>Non COVID</v>
      </c>
      <c r="AT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9" s="176">
        <f>SUM('PER BULAN'!BB42)</f>
        <v>0</v>
      </c>
      <c r="AW19" s="176">
        <f>SUM('PER BULAN'!BC42)</f>
        <v>0</v>
      </c>
      <c r="AX19" s="176">
        <f>SUM('PER BULAN'!BD42)</f>
        <v>0</v>
      </c>
      <c r="AY19" s="176">
        <f>SUM('PER BULAN'!BE42)</f>
        <v>0</v>
      </c>
      <c r="AZ19" s="176">
        <f>SUM('PER BULAN'!BF42)</f>
        <v>0</v>
      </c>
      <c r="BA19" s="176">
        <f>SUM('PER BULAN'!BG42)</f>
        <v>0</v>
      </c>
      <c r="BB19" s="176">
        <f>SUM('PER BULAN'!BH42)</f>
        <v>10438550</v>
      </c>
      <c r="BC19" s="176">
        <f>SUM('PER BULAN'!BI42)</f>
        <v>0</v>
      </c>
      <c r="BD19" s="176">
        <f>SUM('PER BULAN'!BJ42)</f>
        <v>0</v>
      </c>
      <c r="BE19" s="176">
        <f>SUM('PER BULAN'!BK42)</f>
        <v>0</v>
      </c>
      <c r="BF19" s="176">
        <f>SUM('PER BULAN'!BL42)</f>
        <v>0</v>
      </c>
    </row>
    <row r="20" spans="1:58"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tr">
        <f>IF(LEFT(SP2D[[#This Row],[kdakun]],2)="51","Belanja Pegawai",IF(LEFT(SP2D[[#This Row],[kdakun]],2)="52","Belanja Barang",IF(LEFT(SP2D[[#This Row],[kdakun]],2)="53","Belanja Modal")))</f>
        <v>Belanja Barang</v>
      </c>
      <c r="AM20" s="162" t="s">
        <v>3775</v>
      </c>
      <c r="AN20" s="275">
        <f t="shared" si="0"/>
        <v>4596400</v>
      </c>
      <c r="AO20" s="175">
        <f t="shared" si="1"/>
        <v>91.927999999999997</v>
      </c>
      <c r="AP20" s="275">
        <f t="shared" si="2"/>
        <v>403600</v>
      </c>
      <c r="AQ20" s="175">
        <f t="shared" si="3"/>
        <v>8.0719999999999992</v>
      </c>
      <c r="AR20" s="162" t="str">
        <f t="shared" si="4"/>
        <v>DL.2376.AFA.001.053.B.521219</v>
      </c>
      <c r="AS20" s="162" t="str">
        <f>IF(ISNUMBER(SEARCH("COVID",SP2D[[#This Row],[Akun]])),"COVID","Non COVID")</f>
        <v>Non COVID</v>
      </c>
      <c r="AT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0" s="176">
        <f>SUM('PER BULAN'!BB43)</f>
        <v>0</v>
      </c>
      <c r="AW20" s="176">
        <f>SUM('PER BULAN'!BC43)</f>
        <v>0</v>
      </c>
      <c r="AX20" s="176">
        <f>SUM('PER BULAN'!BD43)</f>
        <v>0</v>
      </c>
      <c r="AY20" s="176">
        <f>SUM('PER BULAN'!BE43)</f>
        <v>0</v>
      </c>
      <c r="AZ20" s="176">
        <f>SUM('PER BULAN'!BF43)</f>
        <v>0</v>
      </c>
      <c r="BA20" s="176">
        <f>SUM('PER BULAN'!BG43)</f>
        <v>302850</v>
      </c>
      <c r="BB20" s="176">
        <f>SUM('PER BULAN'!BH43)</f>
        <v>3960000</v>
      </c>
      <c r="BC20" s="176">
        <f>SUM('PER BULAN'!BI43)</f>
        <v>0</v>
      </c>
      <c r="BD20" s="176">
        <f>SUM('PER BULAN'!BJ43)</f>
        <v>0</v>
      </c>
      <c r="BE20" s="176">
        <f>SUM('PER BULAN'!BK43)</f>
        <v>0</v>
      </c>
      <c r="BF20" s="176">
        <f>SUM('PER BULAN'!BL43)</f>
        <v>0</v>
      </c>
    </row>
    <row r="21" spans="1:58"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tr">
        <f>IF(LEFT(SP2D[[#This Row],[kdakun]],2)="51","Belanja Pegawai",IF(LEFT(SP2D[[#This Row],[kdakun]],2)="52","Belanja Barang",IF(LEFT(SP2D[[#This Row],[kdakun]],2)="53","Belanja Modal")))</f>
        <v>Belanja Barang</v>
      </c>
      <c r="AM21" s="162" t="s">
        <v>3775</v>
      </c>
      <c r="AN21" s="275">
        <f t="shared" si="0"/>
        <v>2453500</v>
      </c>
      <c r="AO21" s="175">
        <f t="shared" si="1"/>
        <v>16.356666666666666</v>
      </c>
      <c r="AP21" s="275">
        <f t="shared" si="2"/>
        <v>12546500</v>
      </c>
      <c r="AQ21" s="175">
        <f t="shared" si="3"/>
        <v>83.643333333333331</v>
      </c>
      <c r="AR21" s="162" t="str">
        <f t="shared" si="4"/>
        <v>DL.2376.AFA.001.053.B.521811</v>
      </c>
      <c r="AS21" s="162" t="str">
        <f>IF(ISNUMBER(SEARCH("COVID",SP2D[[#This Row],[Akun]])),"COVID","Non COVID")</f>
        <v>Non COVID</v>
      </c>
      <c r="AT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1" s="176">
        <f>SUM('PER BULAN'!BB44)</f>
        <v>0</v>
      </c>
      <c r="AW21" s="176">
        <f>SUM('PER BULAN'!BC44)</f>
        <v>0</v>
      </c>
      <c r="AX21" s="176">
        <f>SUM('PER BULAN'!BD44)</f>
        <v>0</v>
      </c>
      <c r="AY21" s="176">
        <f>SUM('PER BULAN'!BE44)</f>
        <v>0</v>
      </c>
      <c r="AZ21" s="176">
        <f>SUM('PER BULAN'!BF44)</f>
        <v>0</v>
      </c>
      <c r="BA21" s="176">
        <f>SUM('PER BULAN'!BG44)</f>
        <v>0</v>
      </c>
      <c r="BB21" s="176">
        <f>SUM('PER BULAN'!BH44)</f>
        <v>2453500</v>
      </c>
      <c r="BC21" s="176">
        <f>SUM('PER BULAN'!BI44)</f>
        <v>0</v>
      </c>
      <c r="BD21" s="176">
        <f>SUM('PER BULAN'!BJ44)</f>
        <v>0</v>
      </c>
      <c r="BE21" s="176">
        <f>SUM('PER BULAN'!BK44)</f>
        <v>0</v>
      </c>
      <c r="BF21" s="176">
        <f>SUM('PER BULAN'!BL44)</f>
        <v>0</v>
      </c>
    </row>
    <row r="22" spans="1:58"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tr">
        <f>IF(LEFT(SP2D[[#This Row],[kdakun]],2)="51","Belanja Pegawai",IF(LEFT(SP2D[[#This Row],[kdakun]],2)="52","Belanja Barang",IF(LEFT(SP2D[[#This Row],[kdakun]],2)="53","Belanja Modal")))</f>
        <v>Belanja Barang</v>
      </c>
      <c r="AM22" s="162" t="s">
        <v>3775</v>
      </c>
      <c r="AN22" s="275">
        <f t="shared" si="0"/>
        <v>6300000</v>
      </c>
      <c r="AO22" s="175">
        <f t="shared" si="1"/>
        <v>38.888888888888893</v>
      </c>
      <c r="AP22" s="275">
        <f t="shared" si="2"/>
        <v>9900000</v>
      </c>
      <c r="AQ22" s="175">
        <f t="shared" si="3"/>
        <v>61.111111111111114</v>
      </c>
      <c r="AR22" s="162" t="str">
        <f t="shared" si="4"/>
        <v>DL.2376.AFA.001.053.B.522151</v>
      </c>
      <c r="AS22" s="162" t="str">
        <f>IF(ISNUMBER(SEARCH("COVID",SP2D[[#This Row],[Akun]])),"COVID","Non COVID")</f>
        <v>Non COVID</v>
      </c>
      <c r="AT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2" s="176">
        <f>SUM('PER BULAN'!BB45)</f>
        <v>0</v>
      </c>
      <c r="AW22" s="176">
        <f>SUM('PER BULAN'!BC45)</f>
        <v>0</v>
      </c>
      <c r="AX22" s="176">
        <f>SUM('PER BULAN'!BD45)</f>
        <v>0</v>
      </c>
      <c r="AY22" s="176">
        <f>SUM('PER BULAN'!BE45)</f>
        <v>0</v>
      </c>
      <c r="AZ22" s="176">
        <f>SUM('PER BULAN'!BF45)</f>
        <v>0</v>
      </c>
      <c r="BA22" s="176">
        <f>SUM('PER BULAN'!BG45)</f>
        <v>0</v>
      </c>
      <c r="BB22" s="176">
        <f>SUM('PER BULAN'!BH45)</f>
        <v>6300000</v>
      </c>
      <c r="BC22" s="176">
        <f>SUM('PER BULAN'!BI45)</f>
        <v>0</v>
      </c>
      <c r="BD22" s="176">
        <f>SUM('PER BULAN'!BJ45)</f>
        <v>0</v>
      </c>
      <c r="BE22" s="176">
        <f>SUM('PER BULAN'!BK45)</f>
        <v>0</v>
      </c>
      <c r="BF22" s="176">
        <f>SUM('PER BULAN'!BL45)</f>
        <v>0</v>
      </c>
    </row>
    <row r="23" spans="1:58"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tr">
        <f>IF(LEFT(SP2D[[#This Row],[kdakun]],2)="51","Belanja Pegawai",IF(LEFT(SP2D[[#This Row],[kdakun]],2)="52","Belanja Barang",IF(LEFT(SP2D[[#This Row],[kdakun]],2)="53","Belanja Modal")))</f>
        <v>Belanja Barang</v>
      </c>
      <c r="AM23" s="162" t="s">
        <v>3775</v>
      </c>
      <c r="AN23" s="275">
        <f t="shared" si="0"/>
        <v>365000</v>
      </c>
      <c r="AO23" s="175">
        <f t="shared" si="1"/>
        <v>18.25</v>
      </c>
      <c r="AP23" s="275">
        <f t="shared" si="2"/>
        <v>1635000</v>
      </c>
      <c r="AQ23" s="175">
        <f t="shared" si="3"/>
        <v>81.75</v>
      </c>
      <c r="AR23" s="162" t="str">
        <f t="shared" si="4"/>
        <v>DL.2376.AFA.001.053.B.522192</v>
      </c>
      <c r="AS23" s="162" t="str">
        <f>IF(ISNUMBER(SEARCH("COVID",SP2D[[#This Row],[Akun]])),"COVID","Non COVID")</f>
        <v>COVID</v>
      </c>
      <c r="AT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3" s="176">
        <f>SUM('PER BULAN'!BB46)</f>
        <v>0</v>
      </c>
      <c r="AW23" s="176">
        <f>SUM('PER BULAN'!BC46)</f>
        <v>365000</v>
      </c>
      <c r="AX23" s="176">
        <f>SUM('PER BULAN'!BD46)</f>
        <v>0</v>
      </c>
      <c r="AY23" s="176">
        <f>SUM('PER BULAN'!BE46)</f>
        <v>0</v>
      </c>
      <c r="AZ23" s="176">
        <f>SUM('PER BULAN'!BF46)</f>
        <v>0</v>
      </c>
      <c r="BA23" s="176">
        <f>SUM('PER BULAN'!BG46)</f>
        <v>0</v>
      </c>
      <c r="BB23" s="176">
        <f>SUM('PER BULAN'!BH46)</f>
        <v>0</v>
      </c>
      <c r="BC23" s="176">
        <f>SUM('PER BULAN'!BI46)</f>
        <v>0</v>
      </c>
      <c r="BD23" s="176">
        <f>SUM('PER BULAN'!BJ46)</f>
        <v>0</v>
      </c>
      <c r="BE23" s="176">
        <f>SUM('PER BULAN'!BK46)</f>
        <v>0</v>
      </c>
      <c r="BF23" s="176">
        <f>SUM('PER BULAN'!BL46)</f>
        <v>0</v>
      </c>
    </row>
    <row r="24" spans="1:58"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tr">
        <f>IF(LEFT(SP2D[[#This Row],[kdakun]],2)="51","Belanja Pegawai",IF(LEFT(SP2D[[#This Row],[kdakun]],2)="52","Belanja Barang",IF(LEFT(SP2D[[#This Row],[kdakun]],2)="53","Belanja Modal")))</f>
        <v>Belanja Barang</v>
      </c>
      <c r="AM24" s="162" t="s">
        <v>3775</v>
      </c>
      <c r="AN24" s="275">
        <f t="shared" si="0"/>
        <v>131436690</v>
      </c>
      <c r="AO24" s="175">
        <f t="shared" si="1"/>
        <v>95.133678343949043</v>
      </c>
      <c r="AP24" s="275">
        <f t="shared" si="2"/>
        <v>6723310</v>
      </c>
      <c r="AQ24" s="175">
        <f t="shared" si="3"/>
        <v>4.866321656050955</v>
      </c>
      <c r="AR24" s="162" t="str">
        <f t="shared" si="4"/>
        <v>DL.2376.AFA.001.053.B.524111</v>
      </c>
      <c r="AS24" s="162" t="str">
        <f>IF(ISNUMBER(SEARCH("COVID",SP2D[[#This Row],[Akun]])),"COVID","Non COVID")</f>
        <v>Non COVID</v>
      </c>
      <c r="AT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4" s="176">
        <f>SUM('PER BULAN'!BB47)</f>
        <v>0</v>
      </c>
      <c r="AW24" s="176">
        <f>SUM('PER BULAN'!BC47)</f>
        <v>18378000</v>
      </c>
      <c r="AX24" s="176">
        <f>SUM('PER BULAN'!BD47)</f>
        <v>0</v>
      </c>
      <c r="AY24" s="176">
        <f>SUM('PER BULAN'!BE47)</f>
        <v>0</v>
      </c>
      <c r="AZ24" s="176">
        <f>SUM('PER BULAN'!BF47)</f>
        <v>0</v>
      </c>
      <c r="BA24" s="176">
        <f>SUM('PER BULAN'!BG47)</f>
        <v>0</v>
      </c>
      <c r="BB24" s="176">
        <f>SUM('PER BULAN'!BH47)</f>
        <v>36948850</v>
      </c>
      <c r="BC24" s="176">
        <f>SUM('PER BULAN'!BI47)</f>
        <v>0</v>
      </c>
      <c r="BD24" s="176">
        <f>SUM('PER BULAN'!BJ47)</f>
        <v>0</v>
      </c>
      <c r="BE24" s="176">
        <f>SUM('PER BULAN'!BK47)</f>
        <v>0</v>
      </c>
      <c r="BF24" s="176">
        <f>SUM('PER BULAN'!BL47)</f>
        <v>0</v>
      </c>
    </row>
    <row r="25" spans="1:58"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tr">
        <f>IF(LEFT(SP2D[[#This Row],[kdakun]],2)="51","Belanja Pegawai",IF(LEFT(SP2D[[#This Row],[kdakun]],2)="52","Belanja Barang",IF(LEFT(SP2D[[#This Row],[kdakun]],2)="53","Belanja Modal")))</f>
        <v>Belanja Barang</v>
      </c>
      <c r="AM25" s="162" t="s">
        <v>3775</v>
      </c>
      <c r="AN25" s="275">
        <f t="shared" si="0"/>
        <v>2484000</v>
      </c>
      <c r="AO25" s="175">
        <f t="shared" si="1"/>
        <v>11.925108017282765</v>
      </c>
      <c r="AP25" s="275">
        <f t="shared" si="2"/>
        <v>18346000</v>
      </c>
      <c r="AQ25" s="175">
        <f t="shared" si="3"/>
        <v>88.074891982717233</v>
      </c>
      <c r="AR25" s="162" t="str">
        <f t="shared" si="4"/>
        <v>DL.2376.AFA.001.053.C.521211</v>
      </c>
      <c r="AS25" s="162" t="str">
        <f>IF(ISNUMBER(SEARCH("COVID",SP2D[[#This Row],[Akun]])),"COVID","Non COVID")</f>
        <v>Non COVID</v>
      </c>
      <c r="AT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5" s="176">
        <f>SUM('PER BULAN'!BB49)</f>
        <v>0</v>
      </c>
      <c r="AW25" s="176">
        <f>SUM('PER BULAN'!BC49)</f>
        <v>0</v>
      </c>
      <c r="AX25" s="176">
        <f>SUM('PER BULAN'!BD49)</f>
        <v>0</v>
      </c>
      <c r="AY25" s="176">
        <f>SUM('PER BULAN'!BE49)</f>
        <v>0</v>
      </c>
      <c r="AZ25" s="176">
        <f>SUM('PER BULAN'!BF49)</f>
        <v>0</v>
      </c>
      <c r="BA25" s="176">
        <f>SUM('PER BULAN'!BG49)</f>
        <v>0</v>
      </c>
      <c r="BB25" s="176">
        <f>SUM('PER BULAN'!BH49)</f>
        <v>0</v>
      </c>
      <c r="BC25" s="176">
        <f>SUM('PER BULAN'!BI49)</f>
        <v>0</v>
      </c>
      <c r="BD25" s="176">
        <f>SUM('PER BULAN'!BJ49)</f>
        <v>0</v>
      </c>
      <c r="BE25" s="176">
        <f>SUM('PER BULAN'!BK49)</f>
        <v>0</v>
      </c>
      <c r="BF25" s="176">
        <f>SUM('PER BULAN'!BL49)</f>
        <v>0</v>
      </c>
    </row>
    <row r="26" spans="1:58"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tr">
        <f>IF(LEFT(SP2D[[#This Row],[kdakun]],2)="51","Belanja Pegawai",IF(LEFT(SP2D[[#This Row],[kdakun]],2)="52","Belanja Barang",IF(LEFT(SP2D[[#This Row],[kdakun]],2)="53","Belanja Modal")))</f>
        <v>Belanja Barang</v>
      </c>
      <c r="AM26" s="162" t="s">
        <v>3775</v>
      </c>
      <c r="AN26" s="275">
        <f t="shared" si="0"/>
        <v>0</v>
      </c>
      <c r="AO26" s="175">
        <f t="shared" si="1"/>
        <v>0</v>
      </c>
      <c r="AP26" s="275">
        <f t="shared" si="2"/>
        <v>500000</v>
      </c>
      <c r="AQ26" s="175">
        <f t="shared" si="3"/>
        <v>100</v>
      </c>
      <c r="AR26" s="162" t="str">
        <f t="shared" si="4"/>
        <v>DL.2376.AFA.001.053.C.521219</v>
      </c>
      <c r="AS26" s="162" t="str">
        <f>IF(ISNUMBER(SEARCH("COVID",SP2D[[#This Row],[Akun]])),"COVID","Non COVID")</f>
        <v>Non COVID</v>
      </c>
      <c r="AT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6" s="176">
        <f>SUM('PER BULAN'!BB50)</f>
        <v>0</v>
      </c>
      <c r="AW26" s="176">
        <f>SUM('PER BULAN'!BC50)</f>
        <v>0</v>
      </c>
      <c r="AX26" s="176">
        <f>SUM('PER BULAN'!BD50)</f>
        <v>0</v>
      </c>
      <c r="AY26" s="176">
        <f>SUM('PER BULAN'!BE50)</f>
        <v>0</v>
      </c>
      <c r="AZ26" s="176">
        <f>SUM('PER BULAN'!BF50)</f>
        <v>0</v>
      </c>
      <c r="BA26" s="176">
        <f>SUM('PER BULAN'!BG50)</f>
        <v>0</v>
      </c>
      <c r="BB26" s="176">
        <f>SUM('PER BULAN'!BH50)</f>
        <v>0</v>
      </c>
      <c r="BC26" s="176">
        <f>SUM('PER BULAN'!BI50)</f>
        <v>0</v>
      </c>
      <c r="BD26" s="176">
        <f>SUM('PER BULAN'!BJ50)</f>
        <v>0</v>
      </c>
      <c r="BE26" s="176">
        <f>SUM('PER BULAN'!BK50)</f>
        <v>0</v>
      </c>
      <c r="BF26" s="176">
        <f>SUM('PER BULAN'!BL50)</f>
        <v>0</v>
      </c>
    </row>
    <row r="27" spans="1:58"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tr">
        <f>IF(LEFT(SP2D[[#This Row],[kdakun]],2)="51","Belanja Pegawai",IF(LEFT(SP2D[[#This Row],[kdakun]],2)="52","Belanja Barang",IF(LEFT(SP2D[[#This Row],[kdakun]],2)="53","Belanja Modal")))</f>
        <v>Belanja Barang</v>
      </c>
      <c r="AM27" s="162" t="s">
        <v>3775</v>
      </c>
      <c r="AN27" s="275">
        <f t="shared" si="0"/>
        <v>0</v>
      </c>
      <c r="AO27" s="175">
        <f t="shared" si="1"/>
        <v>0</v>
      </c>
      <c r="AP27" s="275">
        <f t="shared" si="2"/>
        <v>7200000</v>
      </c>
      <c r="AQ27" s="175">
        <f t="shared" si="3"/>
        <v>100</v>
      </c>
      <c r="AR27" s="162" t="str">
        <f t="shared" si="4"/>
        <v>DL.2376.AFA.001.053.C.522151</v>
      </c>
      <c r="AS27" s="162" t="str">
        <f>IF(ISNUMBER(SEARCH("COVID",SP2D[[#This Row],[Akun]])),"COVID","Non COVID")</f>
        <v>Non COVID</v>
      </c>
      <c r="AT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7" s="176">
        <f>SUM('PER BULAN'!BB51)</f>
        <v>0</v>
      </c>
      <c r="AW27" s="176">
        <f>SUM('PER BULAN'!BC51)</f>
        <v>0</v>
      </c>
      <c r="AX27" s="176">
        <f>SUM('PER BULAN'!BD51)</f>
        <v>0</v>
      </c>
      <c r="AY27" s="176">
        <f>SUM('PER BULAN'!BE51)</f>
        <v>0</v>
      </c>
      <c r="AZ27" s="176">
        <f>SUM('PER BULAN'!BF51)</f>
        <v>0</v>
      </c>
      <c r="BA27" s="176">
        <f>SUM('PER BULAN'!BG51)</f>
        <v>0</v>
      </c>
      <c r="BB27" s="176">
        <f>SUM('PER BULAN'!BH51)</f>
        <v>0</v>
      </c>
      <c r="BC27" s="176">
        <f>SUM('PER BULAN'!BI51)</f>
        <v>0</v>
      </c>
      <c r="BD27" s="176">
        <f>SUM('PER BULAN'!BJ51)</f>
        <v>0</v>
      </c>
      <c r="BE27" s="176">
        <f>SUM('PER BULAN'!BK51)</f>
        <v>0</v>
      </c>
      <c r="BF27" s="176">
        <f>SUM('PER BULAN'!BL51)</f>
        <v>0</v>
      </c>
    </row>
    <row r="28" spans="1:58"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4820000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tr">
        <f>IF(LEFT(SP2D[[#This Row],[kdakun]],2)="51","Belanja Pegawai",IF(LEFT(SP2D[[#This Row],[kdakun]],2)="52","Belanja Barang",IF(LEFT(SP2D[[#This Row],[kdakun]],2)="53","Belanja Modal")))</f>
        <v>Belanja Barang</v>
      </c>
      <c r="AM28" s="162" t="s">
        <v>3775</v>
      </c>
      <c r="AN28" s="275">
        <f t="shared" si="0"/>
        <v>4820000</v>
      </c>
      <c r="AO28" s="175">
        <f t="shared" si="1"/>
        <v>20.929222752930958</v>
      </c>
      <c r="AP28" s="275">
        <f t="shared" si="2"/>
        <v>18210000</v>
      </c>
      <c r="AQ28" s="175">
        <f t="shared" si="3"/>
        <v>79.070777247069032</v>
      </c>
      <c r="AR28" s="162" t="str">
        <f t="shared" si="4"/>
        <v>DL.2376.AFA.001.053.C.524111</v>
      </c>
      <c r="AS28" s="162" t="str">
        <f>IF(ISNUMBER(SEARCH("COVID",SP2D[[#This Row],[Akun]])),"COVID","Non COVID")</f>
        <v>Non COVID</v>
      </c>
      <c r="AT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8" s="176">
        <f>SUM('PER BULAN'!BB52)</f>
        <v>0</v>
      </c>
      <c r="AW28" s="176">
        <f>SUM('PER BULAN'!BC52)</f>
        <v>0</v>
      </c>
      <c r="AX28" s="176">
        <f>SUM('PER BULAN'!BD52)</f>
        <v>0</v>
      </c>
      <c r="AY28" s="176">
        <f>SUM('PER BULAN'!BE52)</f>
        <v>0</v>
      </c>
      <c r="AZ28" s="176">
        <f>SUM('PER BULAN'!BF52)</f>
        <v>0</v>
      </c>
      <c r="BA28" s="176">
        <f>SUM('PER BULAN'!BG52)</f>
        <v>0</v>
      </c>
      <c r="BB28" s="176">
        <f>SUM('PER BULAN'!BH52)</f>
        <v>0</v>
      </c>
      <c r="BC28" s="176">
        <f>SUM('PER BULAN'!BI52)</f>
        <v>0</v>
      </c>
      <c r="BD28" s="176">
        <f>SUM('PER BULAN'!BJ52)</f>
        <v>0</v>
      </c>
      <c r="BE28" s="176">
        <f>SUM('PER BULAN'!BK52)</f>
        <v>0</v>
      </c>
      <c r="BF28" s="176">
        <f>SUM('PER BULAN'!BL52)</f>
        <v>0</v>
      </c>
    </row>
    <row r="29" spans="1:58"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tr">
        <f>IF(LEFT(SP2D[[#This Row],[kdakun]],2)="51","Belanja Pegawai",IF(LEFT(SP2D[[#This Row],[kdakun]],2)="52","Belanja Barang",IF(LEFT(SP2D[[#This Row],[kdakun]],2)="53","Belanja Modal")))</f>
        <v>Belanja Barang</v>
      </c>
      <c r="AM29" s="162" t="s">
        <v>3775</v>
      </c>
      <c r="AN29" s="275">
        <f t="shared" si="0"/>
        <v>13489250</v>
      </c>
      <c r="AO29" s="175">
        <f t="shared" si="1"/>
        <v>99.920370370370364</v>
      </c>
      <c r="AP29" s="275">
        <f t="shared" si="2"/>
        <v>10750</v>
      </c>
      <c r="AQ29" s="175">
        <f t="shared" si="3"/>
        <v>7.962962962962962E-2</v>
      </c>
      <c r="AR29" s="162" t="str">
        <f t="shared" si="4"/>
        <v>DL.2376.AFA.001.054.A.521211</v>
      </c>
      <c r="AS29" s="162" t="str">
        <f>IF(ISNUMBER(SEARCH("COVID",SP2D[[#This Row],[Akun]])),"COVID","Non COVID")</f>
        <v>Non COVID</v>
      </c>
      <c r="AT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9" s="176">
        <f>SUM('PER BULAN'!BB55)</f>
        <v>0</v>
      </c>
      <c r="AW29" s="176">
        <f>SUM('PER BULAN'!BC55)</f>
        <v>5497250</v>
      </c>
      <c r="AX29" s="176">
        <f>SUM('PER BULAN'!BD55)</f>
        <v>2493500</v>
      </c>
      <c r="AY29" s="176">
        <f>SUM('PER BULAN'!BE55)</f>
        <v>0</v>
      </c>
      <c r="AZ29" s="176">
        <f>SUM('PER BULAN'!BF55)</f>
        <v>1500000</v>
      </c>
      <c r="BA29" s="176">
        <f>SUM('PER BULAN'!BG55)</f>
        <v>0</v>
      </c>
      <c r="BB29" s="176">
        <f>SUM('PER BULAN'!BH55)</f>
        <v>0</v>
      </c>
      <c r="BC29" s="176">
        <f>SUM('PER BULAN'!BI55)</f>
        <v>0</v>
      </c>
      <c r="BD29" s="176">
        <f>SUM('PER BULAN'!BJ55)</f>
        <v>0</v>
      </c>
      <c r="BE29" s="176">
        <f>SUM('PER BULAN'!BK55)</f>
        <v>0</v>
      </c>
      <c r="BF29" s="176">
        <f>SUM('PER BULAN'!BL55)</f>
        <v>3998500</v>
      </c>
    </row>
    <row r="30" spans="1:58"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tr">
        <f>IF(LEFT(SP2D[[#This Row],[kdakun]],2)="51","Belanja Pegawai",IF(LEFT(SP2D[[#This Row],[kdakun]],2)="52","Belanja Barang",IF(LEFT(SP2D[[#This Row],[kdakun]],2)="53","Belanja Modal")))</f>
        <v>Belanja Barang</v>
      </c>
      <c r="AM30" s="162" t="s">
        <v>3775</v>
      </c>
      <c r="AN30" s="275">
        <f t="shared" si="0"/>
        <v>1100000</v>
      </c>
      <c r="AO30" s="175">
        <f t="shared" si="1"/>
        <v>12.381809995497523</v>
      </c>
      <c r="AP30" s="275">
        <f t="shared" si="2"/>
        <v>7784000</v>
      </c>
      <c r="AQ30" s="175">
        <f t="shared" si="3"/>
        <v>87.618190004502466</v>
      </c>
      <c r="AR30" s="162" t="str">
        <f t="shared" si="4"/>
        <v>DL.2376.AFA.001.054.A.521219</v>
      </c>
      <c r="AS30" s="162" t="str">
        <f>IF(ISNUMBER(SEARCH("COVID",SP2D[[#This Row],[Akun]])),"COVID","Non COVID")</f>
        <v>Non COVID</v>
      </c>
      <c r="AT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0" s="176">
        <f>SUM('PER BULAN'!BB56)</f>
        <v>0</v>
      </c>
      <c r="AW30" s="176">
        <f>SUM('PER BULAN'!BC56)</f>
        <v>0</v>
      </c>
      <c r="AX30" s="176">
        <f>SUM('PER BULAN'!BD56)</f>
        <v>0</v>
      </c>
      <c r="AY30" s="176">
        <f>SUM('PER BULAN'!BE56)</f>
        <v>0</v>
      </c>
      <c r="AZ30" s="176">
        <f>SUM('PER BULAN'!BF56)</f>
        <v>0</v>
      </c>
      <c r="BA30" s="176">
        <f>SUM('PER BULAN'!BG56)</f>
        <v>0</v>
      </c>
      <c r="BB30" s="176">
        <f>SUM('PER BULAN'!BH56)</f>
        <v>0</v>
      </c>
      <c r="BC30" s="176">
        <f>SUM('PER BULAN'!BI56)</f>
        <v>0</v>
      </c>
      <c r="BD30" s="176">
        <f>SUM('PER BULAN'!BJ56)</f>
        <v>0</v>
      </c>
      <c r="BE30" s="176">
        <f>SUM('PER BULAN'!BK56)</f>
        <v>0</v>
      </c>
      <c r="BF30" s="176">
        <f>SUM('PER BULAN'!BL56)</f>
        <v>0</v>
      </c>
    </row>
    <row r="31" spans="1:58"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tr">
        <f>IF(LEFT(SP2D[[#This Row],[kdakun]],2)="51","Belanja Pegawai",IF(LEFT(SP2D[[#This Row],[kdakun]],2)="52","Belanja Barang",IF(LEFT(SP2D[[#This Row],[kdakun]],2)="53","Belanja Modal")))</f>
        <v>Belanja Barang</v>
      </c>
      <c r="AM31" s="162" t="s">
        <v>3775</v>
      </c>
      <c r="AN31" s="275">
        <f t="shared" si="0"/>
        <v>7200000</v>
      </c>
      <c r="AO31" s="175">
        <f t="shared" si="1"/>
        <v>47.058823529411761</v>
      </c>
      <c r="AP31" s="275">
        <f t="shared" si="2"/>
        <v>8100000</v>
      </c>
      <c r="AQ31" s="175">
        <f t="shared" si="3"/>
        <v>52.941176470588239</v>
      </c>
      <c r="AR31" s="162" t="str">
        <f t="shared" si="4"/>
        <v>DL.2376.AFA.001.054.A.522151</v>
      </c>
      <c r="AS31" s="162" t="str">
        <f>IF(ISNUMBER(SEARCH("COVID",SP2D[[#This Row],[Akun]])),"COVID","Non COVID")</f>
        <v>Non COVID</v>
      </c>
      <c r="AT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1" s="176">
        <f>SUM('PER BULAN'!BB57)</f>
        <v>0</v>
      </c>
      <c r="AW31" s="176">
        <f>SUM('PER BULAN'!BC57)</f>
        <v>0</v>
      </c>
      <c r="AX31" s="176">
        <f>SUM('PER BULAN'!BD57)</f>
        <v>0</v>
      </c>
      <c r="AY31" s="176">
        <f>SUM('PER BULAN'!BE57)</f>
        <v>0</v>
      </c>
      <c r="AZ31" s="176">
        <f>SUM('PER BULAN'!BF57)</f>
        <v>0</v>
      </c>
      <c r="BA31" s="176">
        <f>SUM('PER BULAN'!BG57)</f>
        <v>0</v>
      </c>
      <c r="BB31" s="176">
        <f>SUM('PER BULAN'!BH57)</f>
        <v>0</v>
      </c>
      <c r="BC31" s="176">
        <f>SUM('PER BULAN'!BI57)</f>
        <v>0</v>
      </c>
      <c r="BD31" s="176">
        <f>SUM('PER BULAN'!BJ57)</f>
        <v>0</v>
      </c>
      <c r="BE31" s="176">
        <f>SUM('PER BULAN'!BK57)</f>
        <v>0</v>
      </c>
      <c r="BF31" s="176">
        <f>SUM('PER BULAN'!BL57)</f>
        <v>0</v>
      </c>
    </row>
    <row r="32" spans="1:58"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tr">
        <f>IF(LEFT(SP2D[[#This Row],[kdakun]],2)="51","Belanja Pegawai",IF(LEFT(SP2D[[#This Row],[kdakun]],2)="52","Belanja Barang",IF(LEFT(SP2D[[#This Row],[kdakun]],2)="53","Belanja Modal")))</f>
        <v>Belanja Barang</v>
      </c>
      <c r="AM32" s="162" t="s">
        <v>3775</v>
      </c>
      <c r="AN32" s="275">
        <f t="shared" si="0"/>
        <v>0</v>
      </c>
      <c r="AO32" s="175">
        <f t="shared" si="1"/>
        <v>0</v>
      </c>
      <c r="AP32" s="275">
        <f t="shared" si="2"/>
        <v>0</v>
      </c>
      <c r="AQ32" s="175">
        <f t="shared" si="3"/>
        <v>0</v>
      </c>
      <c r="AR32" s="162" t="str">
        <f t="shared" si="4"/>
        <v>DL.2376.AFA.001.054.A.522192</v>
      </c>
      <c r="AS32" s="162" t="str">
        <f>IF(ISNUMBER(SEARCH("COVID",SP2D[[#This Row],[Akun]])),"COVID","Non COVID")</f>
        <v>COVID</v>
      </c>
      <c r="AT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2" s="176">
        <f>SUM('PER BULAN'!BB58)</f>
        <v>0</v>
      </c>
      <c r="AW32" s="176">
        <f>SUM('PER BULAN'!BC58)</f>
        <v>0</v>
      </c>
      <c r="AX32" s="176">
        <f>SUM('PER BULAN'!BD58)</f>
        <v>0</v>
      </c>
      <c r="AY32" s="176">
        <f>SUM('PER BULAN'!BE58)</f>
        <v>0</v>
      </c>
      <c r="AZ32" s="176">
        <f>SUM('PER BULAN'!BF58)</f>
        <v>0</v>
      </c>
      <c r="BA32" s="176">
        <f>SUM('PER BULAN'!BG58)</f>
        <v>0</v>
      </c>
      <c r="BB32" s="176">
        <f>SUM('PER BULAN'!BH58)</f>
        <v>0</v>
      </c>
      <c r="BC32" s="176">
        <f>SUM('PER BULAN'!BI58)</f>
        <v>0</v>
      </c>
      <c r="BD32" s="176">
        <f>SUM('PER BULAN'!BJ58)</f>
        <v>0</v>
      </c>
      <c r="BE32" s="176">
        <f>SUM('PER BULAN'!BK58)</f>
        <v>0</v>
      </c>
      <c r="BF32" s="176">
        <f>SUM('PER BULAN'!BL58)</f>
        <v>0</v>
      </c>
    </row>
    <row r="33" spans="1:58"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tr">
        <f>IF(LEFT(SP2D[[#This Row],[kdakun]],2)="51","Belanja Pegawai",IF(LEFT(SP2D[[#This Row],[kdakun]],2)="52","Belanja Barang",IF(LEFT(SP2D[[#This Row],[kdakun]],2)="53","Belanja Modal")))</f>
        <v>Belanja Barang</v>
      </c>
      <c r="AM33" s="162" t="s">
        <v>3775</v>
      </c>
      <c r="AN33" s="275">
        <f t="shared" si="0"/>
        <v>60912610</v>
      </c>
      <c r="AO33" s="175">
        <f t="shared" si="1"/>
        <v>62.528342366757009</v>
      </c>
      <c r="AP33" s="275">
        <f t="shared" si="2"/>
        <v>36503390</v>
      </c>
      <c r="AQ33" s="175">
        <f t="shared" si="3"/>
        <v>37.471657633242998</v>
      </c>
      <c r="AR33" s="162" t="str">
        <f t="shared" si="4"/>
        <v>DL.2376.AFA.001.054.A.524111</v>
      </c>
      <c r="AS33" s="162" t="str">
        <f>IF(ISNUMBER(SEARCH("COVID",SP2D[[#This Row],[Akun]])),"COVID","Non COVID")</f>
        <v>Non COVID</v>
      </c>
      <c r="AT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3" s="176">
        <f>SUM('PER BULAN'!BB59)</f>
        <v>0</v>
      </c>
      <c r="AW33" s="176">
        <f>SUM('PER BULAN'!BC59)</f>
        <v>17010000</v>
      </c>
      <c r="AX33" s="176">
        <f>SUM('PER BULAN'!BD59)</f>
        <v>11840000</v>
      </c>
      <c r="AY33" s="176">
        <f>SUM('PER BULAN'!BE59)</f>
        <v>0</v>
      </c>
      <c r="AZ33" s="176">
        <f>SUM('PER BULAN'!BF59)</f>
        <v>0</v>
      </c>
      <c r="BA33" s="176">
        <f>SUM('PER BULAN'!BG59)</f>
        <v>0</v>
      </c>
      <c r="BB33" s="176">
        <f>SUM('PER BULAN'!BH59)</f>
        <v>0</v>
      </c>
      <c r="BC33" s="176">
        <f>SUM('PER BULAN'!BI59)</f>
        <v>0</v>
      </c>
      <c r="BD33" s="176">
        <f>SUM('PER BULAN'!BJ59)</f>
        <v>0</v>
      </c>
      <c r="BE33" s="176">
        <f>SUM('PER BULAN'!BK59)</f>
        <v>0</v>
      </c>
      <c r="BF33" s="176">
        <f>SUM('PER BULAN'!BL59)</f>
        <v>0</v>
      </c>
    </row>
    <row r="34" spans="1:58"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tr">
        <f>IF(LEFT(SP2D[[#This Row],[kdakun]],2)="51","Belanja Pegawai",IF(LEFT(SP2D[[#This Row],[kdakun]],2)="52","Belanja Barang",IF(LEFT(SP2D[[#This Row],[kdakun]],2)="53","Belanja Modal")))</f>
        <v>Belanja Modal</v>
      </c>
      <c r="AM34" s="162" t="s">
        <v>3775</v>
      </c>
      <c r="AN34" s="275">
        <f t="shared" si="0"/>
        <v>114200000</v>
      </c>
      <c r="AO34" s="175">
        <f t="shared" si="1"/>
        <v>100</v>
      </c>
      <c r="AP34" s="275">
        <f t="shared" si="2"/>
        <v>0</v>
      </c>
      <c r="AQ34" s="175">
        <f t="shared" si="3"/>
        <v>0</v>
      </c>
      <c r="AR34" s="162" t="str">
        <f t="shared" si="4"/>
        <v>WA.2378.CAN.001.301.A.532111</v>
      </c>
      <c r="AS34" s="162" t="str">
        <f>IF(ISNUMBER(SEARCH("COVID",SP2D[[#This Row],[Akun]])),"COVID","Non COVID")</f>
        <v>Non COVID</v>
      </c>
      <c r="AT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V34" s="176">
        <f>SUM('PER BULAN'!BB66)</f>
        <v>0</v>
      </c>
      <c r="AW34" s="176">
        <f>SUM('PER BULAN'!BC66)</f>
        <v>0</v>
      </c>
      <c r="AX34" s="176">
        <f>SUM('PER BULAN'!BD66)</f>
        <v>0</v>
      </c>
      <c r="AY34" s="176">
        <f>SUM('PER BULAN'!BE66)</f>
        <v>0</v>
      </c>
      <c r="AZ34" s="176">
        <f>SUM('PER BULAN'!BF66)</f>
        <v>0</v>
      </c>
      <c r="BA34" s="176">
        <f>SUM('PER BULAN'!BG66)</f>
        <v>0</v>
      </c>
      <c r="BB34" s="176">
        <f>SUM('PER BULAN'!BH66)</f>
        <v>0</v>
      </c>
      <c r="BC34" s="176">
        <f>SUM('PER BULAN'!BI66)</f>
        <v>0</v>
      </c>
      <c r="BD34" s="176">
        <f>SUM('PER BULAN'!BJ66)</f>
        <v>0</v>
      </c>
      <c r="BE34" s="176">
        <f>SUM('PER BULAN'!BK66)</f>
        <v>0</v>
      </c>
      <c r="BF34" s="176">
        <f>SUM('PER BULAN'!BL66)</f>
        <v>0</v>
      </c>
    </row>
    <row r="35" spans="1:58"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tr">
        <f>IF(LEFT(SP2D[[#This Row],[kdakun]],2)="51","Belanja Pegawai",IF(LEFT(SP2D[[#This Row],[kdakun]],2)="52","Belanja Barang",IF(LEFT(SP2D[[#This Row],[kdakun]],2)="53","Belanja Modal")))</f>
        <v>Belanja Barang</v>
      </c>
      <c r="AM35" s="162" t="s">
        <v>3775</v>
      </c>
      <c r="AN35" s="275">
        <f t="shared" si="0"/>
        <v>11255400</v>
      </c>
      <c r="AO35" s="175">
        <f t="shared" si="1"/>
        <v>90.769354838709688</v>
      </c>
      <c r="AP35" s="275">
        <f t="shared" si="2"/>
        <v>1144600</v>
      </c>
      <c r="AQ35" s="175">
        <f t="shared" si="3"/>
        <v>9.2306451612903224</v>
      </c>
      <c r="AR35" s="162" t="str">
        <f t="shared" si="4"/>
        <v>WA.2378.EBA.958.311.A.521211</v>
      </c>
      <c r="AS35" s="162" t="str">
        <f>IF(ISNUMBER(SEARCH("COVID",SP2D[[#This Row],[Akun]])),"COVID","Non COVID")</f>
        <v>Non COVID</v>
      </c>
      <c r="AT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5" s="176">
        <f>SUM('PER BULAN'!BB73)</f>
        <v>0</v>
      </c>
      <c r="AW35" s="176">
        <f>SUM('PER BULAN'!BC73)</f>
        <v>986000</v>
      </c>
      <c r="AX35" s="176">
        <f>SUM('PER BULAN'!BD73)</f>
        <v>1890000</v>
      </c>
      <c r="AY35" s="176">
        <f>SUM('PER BULAN'!BE73)</f>
        <v>0</v>
      </c>
      <c r="AZ35" s="176">
        <f>SUM('PER BULAN'!BF73)</f>
        <v>0</v>
      </c>
      <c r="BA35" s="176">
        <f>SUM('PER BULAN'!BG73)</f>
        <v>0</v>
      </c>
      <c r="BB35" s="176">
        <f>SUM('PER BULAN'!BH73)</f>
        <v>3071500</v>
      </c>
      <c r="BC35" s="176">
        <f>SUM('PER BULAN'!BI73)</f>
        <v>0</v>
      </c>
      <c r="BD35" s="176">
        <f>SUM('PER BULAN'!BJ73)</f>
        <v>0</v>
      </c>
      <c r="BE35" s="176">
        <f>SUM('PER BULAN'!BK73)</f>
        <v>0</v>
      </c>
      <c r="BF35" s="176">
        <f>SUM('PER BULAN'!BL73)</f>
        <v>967900</v>
      </c>
    </row>
    <row r="36" spans="1:58"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tr">
        <f>IF(LEFT(SP2D[[#This Row],[kdakun]],2)="51","Belanja Pegawai",IF(LEFT(SP2D[[#This Row],[kdakun]],2)="52","Belanja Barang",IF(LEFT(SP2D[[#This Row],[kdakun]],2)="53","Belanja Modal")))</f>
        <v>Belanja Barang</v>
      </c>
      <c r="AM36" s="162" t="s">
        <v>3775</v>
      </c>
      <c r="AN36" s="275">
        <f t="shared" si="0"/>
        <v>0</v>
      </c>
      <c r="AO36" s="175">
        <f t="shared" ref="AO36:AO67" si="5">IFERROR(AN36/Q36*100,0)</f>
        <v>0</v>
      </c>
      <c r="AP36" s="275">
        <f t="shared" si="2"/>
        <v>0</v>
      </c>
      <c r="AQ36" s="175">
        <f t="shared" ref="AQ36:AQ67" si="6">IFERROR(AP36/Q36*100,0)</f>
        <v>0</v>
      </c>
      <c r="AR36" s="162" t="str">
        <f t="shared" ref="AR36:AR67" si="7">_xlfn.TEXTJOIN(".",TRUE,C36,E36,G36,I36,K36,M36,O36)</f>
        <v>WA.2378.EBA.958.311.A.521219</v>
      </c>
      <c r="AS36" s="162" t="str">
        <f>IF(ISNUMBER(SEARCH("COVID",SP2D[[#This Row],[Akun]])),"COVID","Non COVID")</f>
        <v>Non COVID</v>
      </c>
      <c r="AT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6" s="176">
        <f>SUM('PER BULAN'!BB74)</f>
        <v>0</v>
      </c>
      <c r="AW36" s="176">
        <f>SUM('PER BULAN'!BC74)</f>
        <v>0</v>
      </c>
      <c r="AX36" s="176">
        <f>SUM('PER BULAN'!BD74)</f>
        <v>0</v>
      </c>
      <c r="AY36" s="176">
        <f>SUM('PER BULAN'!BE74)</f>
        <v>0</v>
      </c>
      <c r="AZ36" s="176">
        <f>SUM('PER BULAN'!BF74)</f>
        <v>0</v>
      </c>
      <c r="BA36" s="176">
        <f>SUM('PER BULAN'!BG74)</f>
        <v>0</v>
      </c>
      <c r="BB36" s="176">
        <f>SUM('PER BULAN'!BH74)</f>
        <v>0</v>
      </c>
      <c r="BC36" s="176">
        <f>SUM('PER BULAN'!BI74)</f>
        <v>0</v>
      </c>
      <c r="BD36" s="176">
        <f>SUM('PER BULAN'!BJ74)</f>
        <v>0</v>
      </c>
      <c r="BE36" s="176">
        <f>SUM('PER BULAN'!BK74)</f>
        <v>0</v>
      </c>
      <c r="BF36" s="176">
        <f>SUM('PER BULAN'!BL74)</f>
        <v>0</v>
      </c>
    </row>
    <row r="37" spans="1:58"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tr">
        <f>IF(LEFT(SP2D[[#This Row],[kdakun]],2)="51","Belanja Pegawai",IF(LEFT(SP2D[[#This Row],[kdakun]],2)="52","Belanja Barang",IF(LEFT(SP2D[[#This Row],[kdakun]],2)="53","Belanja Modal")))</f>
        <v>Belanja Barang</v>
      </c>
      <c r="AM37" s="162" t="s">
        <v>3775</v>
      </c>
      <c r="AN37" s="275">
        <f t="shared" si="0"/>
        <v>5329750</v>
      </c>
      <c r="AO37" s="175">
        <f t="shared" si="5"/>
        <v>53.297499999999999</v>
      </c>
      <c r="AP37" s="275">
        <f t="shared" si="2"/>
        <v>4670250</v>
      </c>
      <c r="AQ37" s="175">
        <f t="shared" si="6"/>
        <v>46.702500000000001</v>
      </c>
      <c r="AR37" s="162" t="str">
        <f t="shared" si="7"/>
        <v>WA.2378.EBA.958.311.A.521811</v>
      </c>
      <c r="AS37" s="162" t="str">
        <f>IF(ISNUMBER(SEARCH("COVID",SP2D[[#This Row],[Akun]])),"COVID","Non COVID")</f>
        <v>Non COVID</v>
      </c>
      <c r="AT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7" s="176">
        <f>SUM('PER BULAN'!BB75)</f>
        <v>0</v>
      </c>
      <c r="AW37" s="176">
        <f>SUM('PER BULAN'!BC75)</f>
        <v>2450750</v>
      </c>
      <c r="AX37" s="176">
        <f>SUM('PER BULAN'!BD75)</f>
        <v>0</v>
      </c>
      <c r="AY37" s="176">
        <f>SUM('PER BULAN'!BE75)</f>
        <v>0</v>
      </c>
      <c r="AZ37" s="176">
        <f>SUM('PER BULAN'!BF75)</f>
        <v>0</v>
      </c>
      <c r="BA37" s="176">
        <f>SUM('PER BULAN'!BG75)</f>
        <v>0</v>
      </c>
      <c r="BB37" s="176">
        <f>SUM('PER BULAN'!BH75)</f>
        <v>1929000</v>
      </c>
      <c r="BC37" s="176">
        <f>SUM('PER BULAN'!BI75)</f>
        <v>0</v>
      </c>
      <c r="BD37" s="176">
        <f>SUM('PER BULAN'!BJ75)</f>
        <v>0</v>
      </c>
      <c r="BE37" s="176">
        <f>SUM('PER BULAN'!BK75)</f>
        <v>0</v>
      </c>
      <c r="BF37" s="176">
        <f>SUM('PER BULAN'!BL75)</f>
        <v>950000</v>
      </c>
    </row>
    <row r="38" spans="1:58"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tr">
        <f>IF(LEFT(SP2D[[#This Row],[kdakun]],2)="51","Belanja Pegawai",IF(LEFT(SP2D[[#This Row],[kdakun]],2)="52","Belanja Barang",IF(LEFT(SP2D[[#This Row],[kdakun]],2)="53","Belanja Modal")))</f>
        <v>Belanja Barang</v>
      </c>
      <c r="AM38" s="162" t="s">
        <v>3775</v>
      </c>
      <c r="AN38" s="275">
        <f t="shared" si="0"/>
        <v>0</v>
      </c>
      <c r="AO38" s="175">
        <f t="shared" si="5"/>
        <v>0</v>
      </c>
      <c r="AP38" s="275">
        <f t="shared" si="2"/>
        <v>0</v>
      </c>
      <c r="AQ38" s="175">
        <f t="shared" si="6"/>
        <v>0</v>
      </c>
      <c r="AR38" s="162" t="str">
        <f t="shared" si="7"/>
        <v>WA.2378.EBA.958.311.A.522151</v>
      </c>
      <c r="AS38" s="162" t="str">
        <f>IF(ISNUMBER(SEARCH("COVID",SP2D[[#This Row],[Akun]])),"COVID","Non COVID")</f>
        <v>Non COVID</v>
      </c>
      <c r="AT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8" s="176">
        <f>SUM('PER BULAN'!BB76)</f>
        <v>0</v>
      </c>
      <c r="AW38" s="176">
        <f>SUM('PER BULAN'!BC76)</f>
        <v>0</v>
      </c>
      <c r="AX38" s="176">
        <f>SUM('PER BULAN'!BD76)</f>
        <v>0</v>
      </c>
      <c r="AY38" s="176">
        <f>SUM('PER BULAN'!BE76)</f>
        <v>0</v>
      </c>
      <c r="AZ38" s="176">
        <f>SUM('PER BULAN'!BF76)</f>
        <v>0</v>
      </c>
      <c r="BA38" s="176">
        <f>SUM('PER BULAN'!BG76)</f>
        <v>0</v>
      </c>
      <c r="BB38" s="176">
        <f>SUM('PER BULAN'!BH76)</f>
        <v>0</v>
      </c>
      <c r="BC38" s="176">
        <f>SUM('PER BULAN'!BI76)</f>
        <v>0</v>
      </c>
      <c r="BD38" s="176">
        <f>SUM('PER BULAN'!BJ76)</f>
        <v>0</v>
      </c>
      <c r="BE38" s="176">
        <f>SUM('PER BULAN'!BK76)</f>
        <v>0</v>
      </c>
      <c r="BF38" s="176">
        <f>SUM('PER BULAN'!BL76)</f>
        <v>0</v>
      </c>
    </row>
    <row r="39" spans="1:58"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tr">
        <f>IF(LEFT(SP2D[[#This Row],[kdakun]],2)="51","Belanja Pegawai",IF(LEFT(SP2D[[#This Row],[kdakun]],2)="52","Belanja Barang",IF(LEFT(SP2D[[#This Row],[kdakun]],2)="53","Belanja Modal")))</f>
        <v>Belanja Barang</v>
      </c>
      <c r="AM39" s="162" t="s">
        <v>3775</v>
      </c>
      <c r="AN39" s="275">
        <f t="shared" si="0"/>
        <v>23997800</v>
      </c>
      <c r="AO39" s="175">
        <f t="shared" si="5"/>
        <v>26.386866932025598</v>
      </c>
      <c r="AP39" s="275">
        <f t="shared" si="2"/>
        <v>66948200</v>
      </c>
      <c r="AQ39" s="175">
        <f t="shared" si="6"/>
        <v>73.613133067974402</v>
      </c>
      <c r="AR39" s="162" t="str">
        <f t="shared" si="7"/>
        <v>WA.2378.EBA.958.311.A.524111</v>
      </c>
      <c r="AS39" s="162" t="str">
        <f>IF(ISNUMBER(SEARCH("COVID",SP2D[[#This Row],[Akun]])),"COVID","Non COVID")</f>
        <v>Non COVID</v>
      </c>
      <c r="AT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9" s="176">
        <f>SUM('PER BULAN'!BB77)</f>
        <v>0</v>
      </c>
      <c r="AW39" s="176">
        <f>SUM('PER BULAN'!BC77)</f>
        <v>0</v>
      </c>
      <c r="AX39" s="176">
        <f>SUM('PER BULAN'!BD77)</f>
        <v>0</v>
      </c>
      <c r="AY39" s="176">
        <f>SUM('PER BULAN'!BE77)</f>
        <v>0</v>
      </c>
      <c r="AZ39" s="176">
        <f>SUM('PER BULAN'!BF77)</f>
        <v>0</v>
      </c>
      <c r="BA39" s="176">
        <f>SUM('PER BULAN'!BG77)</f>
        <v>0</v>
      </c>
      <c r="BB39" s="176">
        <f>SUM('PER BULAN'!BH77)</f>
        <v>0</v>
      </c>
      <c r="BC39" s="176">
        <f>SUM('PER BULAN'!BI77)</f>
        <v>0</v>
      </c>
      <c r="BD39" s="176">
        <f>SUM('PER BULAN'!BJ77)</f>
        <v>0</v>
      </c>
      <c r="BE39" s="176">
        <f>SUM('PER BULAN'!BK77)</f>
        <v>0</v>
      </c>
      <c r="BF39" s="176">
        <f>SUM('PER BULAN'!BL77)</f>
        <v>0</v>
      </c>
    </row>
    <row r="40" spans="1:58"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tr">
        <f>IF(LEFT(SP2D[[#This Row],[kdakun]],2)="51","Belanja Pegawai",IF(LEFT(SP2D[[#This Row],[kdakun]],2)="52","Belanja Barang",IF(LEFT(SP2D[[#This Row],[kdakun]],2)="53","Belanja Modal")))</f>
        <v>Belanja Barang</v>
      </c>
      <c r="AM40" s="162" t="s">
        <v>3775</v>
      </c>
      <c r="AN40" s="275">
        <f t="shared" si="0"/>
        <v>4998800</v>
      </c>
      <c r="AO40" s="175">
        <f t="shared" si="5"/>
        <v>99.975999999999999</v>
      </c>
      <c r="AP40" s="275">
        <f t="shared" si="2"/>
        <v>1200</v>
      </c>
      <c r="AQ40" s="175">
        <f t="shared" si="6"/>
        <v>2.4E-2</v>
      </c>
      <c r="AR40" s="162" t="str">
        <f t="shared" si="7"/>
        <v>WA.2378.EBA.962.301.A.521211</v>
      </c>
      <c r="AS40" s="162" t="str">
        <f>IF(ISNUMBER(SEARCH("COVID",SP2D[[#This Row],[Akun]])),"COVID","Non COVID")</f>
        <v>Non COVID</v>
      </c>
      <c r="AT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0" s="176">
        <f>SUM('PER BULAN'!BB83)</f>
        <v>0</v>
      </c>
      <c r="AW40" s="176">
        <f>SUM('PER BULAN'!BC83)</f>
        <v>3998800</v>
      </c>
      <c r="AX40" s="176">
        <f>SUM('PER BULAN'!BD83)</f>
        <v>0</v>
      </c>
      <c r="AY40" s="176">
        <f>SUM('PER BULAN'!BE83)</f>
        <v>0</v>
      </c>
      <c r="AZ40" s="176">
        <f>SUM('PER BULAN'!BF83)</f>
        <v>0</v>
      </c>
      <c r="BA40" s="176">
        <f>SUM('PER BULAN'!BG83)</f>
        <v>0</v>
      </c>
      <c r="BB40" s="176">
        <f>SUM('PER BULAN'!BH83)</f>
        <v>0</v>
      </c>
      <c r="BC40" s="176">
        <f>SUM('PER BULAN'!BI83)</f>
        <v>0</v>
      </c>
      <c r="BD40" s="176">
        <f>SUM('PER BULAN'!BJ83)</f>
        <v>0</v>
      </c>
      <c r="BE40" s="176">
        <f>SUM('PER BULAN'!BK83)</f>
        <v>0</v>
      </c>
      <c r="BF40" s="176">
        <f>SUM('PER BULAN'!BL83)</f>
        <v>1000000</v>
      </c>
    </row>
    <row r="41" spans="1:58"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tr">
        <f>IF(LEFT(SP2D[[#This Row],[kdakun]],2)="51","Belanja Pegawai",IF(LEFT(SP2D[[#This Row],[kdakun]],2)="52","Belanja Barang",IF(LEFT(SP2D[[#This Row],[kdakun]],2)="53","Belanja Modal")))</f>
        <v>Belanja Barang</v>
      </c>
      <c r="AM41" s="162" t="s">
        <v>3775</v>
      </c>
      <c r="AN41" s="275">
        <f t="shared" si="0"/>
        <v>12688500</v>
      </c>
      <c r="AO41" s="175">
        <f t="shared" si="5"/>
        <v>97.686503964893362</v>
      </c>
      <c r="AP41" s="275">
        <f t="shared" si="2"/>
        <v>300500</v>
      </c>
      <c r="AQ41" s="175">
        <f t="shared" si="6"/>
        <v>2.3134960351066285</v>
      </c>
      <c r="AR41" s="162" t="str">
        <f t="shared" si="7"/>
        <v>WA.2378.EBA.962.301.A.524111</v>
      </c>
      <c r="AS41" s="162" t="str">
        <f>IF(ISNUMBER(SEARCH("COVID",SP2D[[#This Row],[Akun]])),"COVID","Non COVID")</f>
        <v>Non COVID</v>
      </c>
      <c r="AT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1" s="176">
        <f>SUM('PER BULAN'!BB84)</f>
        <v>2685000</v>
      </c>
      <c r="AW41" s="176">
        <f>SUM('PER BULAN'!BC84)</f>
        <v>1650000</v>
      </c>
      <c r="AX41" s="176">
        <f>SUM('PER BULAN'!BD84)</f>
        <v>0</v>
      </c>
      <c r="AY41" s="176">
        <f>SUM('PER BULAN'!BE84)</f>
        <v>3960000</v>
      </c>
      <c r="AZ41" s="176">
        <f>SUM('PER BULAN'!BF84)</f>
        <v>0</v>
      </c>
      <c r="BA41" s="176">
        <f>SUM('PER BULAN'!BG84)</f>
        <v>3043500</v>
      </c>
      <c r="BB41" s="176">
        <f>SUM('PER BULAN'!BH84)</f>
        <v>0</v>
      </c>
      <c r="BC41" s="176">
        <f>SUM('PER BULAN'!BI84)</f>
        <v>0</v>
      </c>
      <c r="BD41" s="176">
        <f>SUM('PER BULAN'!BJ84)</f>
        <v>0</v>
      </c>
      <c r="BE41" s="176">
        <f>SUM('PER BULAN'!BK84)</f>
        <v>1350000</v>
      </c>
      <c r="BF41" s="176">
        <f>SUM('PER BULAN'!BL84)</f>
        <v>0</v>
      </c>
    </row>
    <row r="42" spans="1:58"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tr">
        <f>IF(LEFT(SP2D[[#This Row],[kdakun]],2)="51","Belanja Pegawai",IF(LEFT(SP2D[[#This Row],[kdakun]],2)="52","Belanja Barang",IF(LEFT(SP2D[[#This Row],[kdakun]],2)="53","Belanja Modal")))</f>
        <v>Belanja Barang</v>
      </c>
      <c r="AM42" s="162" t="s">
        <v>3775</v>
      </c>
      <c r="AN42" s="275">
        <f t="shared" si="0"/>
        <v>750000</v>
      </c>
      <c r="AO42" s="175">
        <f t="shared" si="5"/>
        <v>100</v>
      </c>
      <c r="AP42" s="275">
        <f t="shared" si="2"/>
        <v>0</v>
      </c>
      <c r="AQ42" s="175">
        <f t="shared" si="6"/>
        <v>0</v>
      </c>
      <c r="AR42" s="162" t="str">
        <f t="shared" si="7"/>
        <v>WA.2378.EBA.962.301.A.524113</v>
      </c>
      <c r="AS42" s="162" t="str">
        <f>IF(ISNUMBER(SEARCH("COVID",SP2D[[#This Row],[Akun]])),"COVID","Non COVID")</f>
        <v>Non COVID</v>
      </c>
      <c r="AT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2" s="176">
        <f>SUM('PER BULAN'!BB85)</f>
        <v>450000</v>
      </c>
      <c r="AW42" s="176">
        <f>SUM('PER BULAN'!BC85)</f>
        <v>300000</v>
      </c>
      <c r="AX42" s="176">
        <f>SUM('PER BULAN'!BD85)</f>
        <v>0</v>
      </c>
      <c r="AY42" s="176">
        <f>SUM('PER BULAN'!BE85)</f>
        <v>0</v>
      </c>
      <c r="AZ42" s="176">
        <f>SUM('PER BULAN'!BF85)</f>
        <v>0</v>
      </c>
      <c r="BA42" s="176">
        <f>SUM('PER BULAN'!BG85)</f>
        <v>0</v>
      </c>
      <c r="BB42" s="176">
        <f>SUM('PER BULAN'!BH85)</f>
        <v>0</v>
      </c>
      <c r="BC42" s="176">
        <f>SUM('PER BULAN'!BI85)</f>
        <v>0</v>
      </c>
      <c r="BD42" s="176">
        <f>SUM('PER BULAN'!BJ85)</f>
        <v>0</v>
      </c>
      <c r="BE42" s="176">
        <f>SUM('PER BULAN'!BK85)</f>
        <v>0</v>
      </c>
      <c r="BF42" s="176">
        <f>SUM('PER BULAN'!BL85)</f>
        <v>0</v>
      </c>
    </row>
    <row r="43" spans="1:58"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tr">
        <f>IF(LEFT(SP2D[[#This Row],[kdakun]],2)="51","Belanja Pegawai",IF(LEFT(SP2D[[#This Row],[kdakun]],2)="52","Belanja Barang",IF(LEFT(SP2D[[#This Row],[kdakun]],2)="53","Belanja Modal")))</f>
        <v>Belanja Barang</v>
      </c>
      <c r="AM43" s="162" t="s">
        <v>3775</v>
      </c>
      <c r="AN43" s="275">
        <f t="shared" si="0"/>
        <v>7425000</v>
      </c>
      <c r="AO43" s="175">
        <f t="shared" si="5"/>
        <v>74.25</v>
      </c>
      <c r="AP43" s="275">
        <f t="shared" si="2"/>
        <v>2575000</v>
      </c>
      <c r="AQ43" s="175">
        <f t="shared" si="6"/>
        <v>25.75</v>
      </c>
      <c r="AR43" s="162" t="str">
        <f t="shared" si="7"/>
        <v>WA.2378.EBA.962.301.B.521211</v>
      </c>
      <c r="AS43" s="162" t="str">
        <f>IF(ISNUMBER(SEARCH("COVID",SP2D[[#This Row],[Akun]])),"COVID","Non COVID")</f>
        <v>Non COVID</v>
      </c>
      <c r="AT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3" s="176">
        <f>SUM('PER BULAN'!BB87)</f>
        <v>2485000</v>
      </c>
      <c r="AW43" s="176">
        <f>SUM('PER BULAN'!BC87)</f>
        <v>0</v>
      </c>
      <c r="AX43" s="176">
        <f>SUM('PER BULAN'!BD87)</f>
        <v>0</v>
      </c>
      <c r="AY43" s="176">
        <f>SUM('PER BULAN'!BE87)</f>
        <v>0</v>
      </c>
      <c r="AZ43" s="176">
        <f>SUM('PER BULAN'!BF87)</f>
        <v>0</v>
      </c>
      <c r="BA43" s="176">
        <f>SUM('PER BULAN'!BG87)</f>
        <v>0</v>
      </c>
      <c r="BB43" s="176">
        <f>SUM('PER BULAN'!BH87)</f>
        <v>2485000</v>
      </c>
      <c r="BC43" s="176">
        <f>SUM('PER BULAN'!BI87)</f>
        <v>0</v>
      </c>
      <c r="BD43" s="176">
        <f>SUM('PER BULAN'!BJ87)</f>
        <v>0</v>
      </c>
      <c r="BE43" s="176">
        <f>SUM('PER BULAN'!BK87)</f>
        <v>0</v>
      </c>
      <c r="BF43" s="176">
        <f>SUM('PER BULAN'!BL87)</f>
        <v>2455000</v>
      </c>
    </row>
    <row r="44" spans="1:58"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tr">
        <f>IF(LEFT(SP2D[[#This Row],[kdakun]],2)="51","Belanja Pegawai",IF(LEFT(SP2D[[#This Row],[kdakun]],2)="52","Belanja Barang",IF(LEFT(SP2D[[#This Row],[kdakun]],2)="53","Belanja Modal")))</f>
        <v>Belanja Barang</v>
      </c>
      <c r="AM44" s="162" t="s">
        <v>3775</v>
      </c>
      <c r="AN44" s="275">
        <f t="shared" si="0"/>
        <v>2031000</v>
      </c>
      <c r="AO44" s="175">
        <f t="shared" si="5"/>
        <v>100</v>
      </c>
      <c r="AP44" s="275">
        <f t="shared" si="2"/>
        <v>0</v>
      </c>
      <c r="AQ44" s="175">
        <f t="shared" si="6"/>
        <v>0</v>
      </c>
      <c r="AR44" s="162" t="str">
        <f t="shared" si="7"/>
        <v>WA.2378.EBA.962.301.B.522192</v>
      </c>
      <c r="AS44" s="162" t="str">
        <f>IF(ISNUMBER(SEARCH("COVID",SP2D[[#This Row],[Akun]])),"COVID","Non COVID")</f>
        <v>COVID</v>
      </c>
      <c r="AT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4" s="176">
        <f>SUM('PER BULAN'!BB88)</f>
        <v>1235000</v>
      </c>
      <c r="AW44" s="176">
        <f>SUM('PER BULAN'!BC88)</f>
        <v>342000</v>
      </c>
      <c r="AX44" s="176">
        <f>SUM('PER BULAN'!BD88)</f>
        <v>454000</v>
      </c>
      <c r="AY44" s="176">
        <f>SUM('PER BULAN'!BE88)</f>
        <v>0</v>
      </c>
      <c r="AZ44" s="176">
        <f>SUM('PER BULAN'!BF88)</f>
        <v>0</v>
      </c>
      <c r="BA44" s="176">
        <f>SUM('PER BULAN'!BG88)</f>
        <v>0</v>
      </c>
      <c r="BB44" s="176">
        <f>SUM('PER BULAN'!BH88)</f>
        <v>0</v>
      </c>
      <c r="BC44" s="176">
        <f>SUM('PER BULAN'!BI88)</f>
        <v>0</v>
      </c>
      <c r="BD44" s="176">
        <f>SUM('PER BULAN'!BJ88)</f>
        <v>0</v>
      </c>
      <c r="BE44" s="176">
        <f>SUM('PER BULAN'!BK88)</f>
        <v>0</v>
      </c>
      <c r="BF44" s="176">
        <f>SUM('PER BULAN'!BL88)</f>
        <v>0</v>
      </c>
    </row>
    <row r="45" spans="1:58"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tr">
        <f>IF(LEFT(SP2D[[#This Row],[kdakun]],2)="51","Belanja Pegawai",IF(LEFT(SP2D[[#This Row],[kdakun]],2)="52","Belanja Barang",IF(LEFT(SP2D[[#This Row],[kdakun]],2)="53","Belanja Modal")))</f>
        <v>Belanja Barang</v>
      </c>
      <c r="AM45" s="162" t="s">
        <v>3775</v>
      </c>
      <c r="AN45" s="275">
        <f t="shared" si="0"/>
        <v>263521871</v>
      </c>
      <c r="AO45" s="175">
        <f t="shared" si="5"/>
        <v>70.529414079018508</v>
      </c>
      <c r="AP45" s="275">
        <f t="shared" si="2"/>
        <v>110112129</v>
      </c>
      <c r="AQ45" s="175">
        <f t="shared" si="6"/>
        <v>29.470585920981495</v>
      </c>
      <c r="AR45" s="162" t="str">
        <f t="shared" si="7"/>
        <v>WA.2378.EBA.962.301.B.524111</v>
      </c>
      <c r="AS45" s="162" t="str">
        <f>IF(ISNUMBER(SEARCH("COVID",SP2D[[#This Row],[Akun]])),"COVID","Non COVID")</f>
        <v>Non COVID</v>
      </c>
      <c r="AT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5" s="176">
        <f>SUM('PER BULAN'!BB89)</f>
        <v>45385600</v>
      </c>
      <c r="AW45" s="176">
        <f>SUM('PER BULAN'!BC89)</f>
        <v>23429900</v>
      </c>
      <c r="AX45" s="176">
        <f>SUM('PER BULAN'!BD89)</f>
        <v>0</v>
      </c>
      <c r="AY45" s="176">
        <f>SUM('PER BULAN'!BE89)</f>
        <v>31588000</v>
      </c>
      <c r="AZ45" s="176">
        <f>SUM('PER BULAN'!BF89)</f>
        <v>10477701</v>
      </c>
      <c r="BA45" s="176">
        <f>SUM('PER BULAN'!BG89)</f>
        <v>4081050</v>
      </c>
      <c r="BB45" s="176">
        <f>SUM('PER BULAN'!BH89)</f>
        <v>10640750</v>
      </c>
      <c r="BC45" s="176">
        <f>SUM('PER BULAN'!BI89)</f>
        <v>0</v>
      </c>
      <c r="BD45" s="176">
        <f>SUM('PER BULAN'!BJ89)</f>
        <v>0</v>
      </c>
      <c r="BE45" s="176">
        <f>SUM('PER BULAN'!BK89)</f>
        <v>0</v>
      </c>
      <c r="BF45" s="176">
        <f>SUM('PER BULAN'!BL89)</f>
        <v>3198000</v>
      </c>
    </row>
    <row r="46" spans="1:58"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tr">
        <f>IF(LEFT(SP2D[[#This Row],[kdakun]],2)="51","Belanja Pegawai",IF(LEFT(SP2D[[#This Row],[kdakun]],2)="52","Belanja Barang",IF(LEFT(SP2D[[#This Row],[kdakun]],2)="53","Belanja Modal")))</f>
        <v>Belanja Barang</v>
      </c>
      <c r="AM46" s="162" t="s">
        <v>3775</v>
      </c>
      <c r="AN46" s="275">
        <f t="shared" si="0"/>
        <v>33371740</v>
      </c>
      <c r="AO46" s="175">
        <f t="shared" si="5"/>
        <v>99.617134328358219</v>
      </c>
      <c r="AP46" s="275">
        <f t="shared" si="2"/>
        <v>128260</v>
      </c>
      <c r="AQ46" s="175">
        <f t="shared" si="6"/>
        <v>0.38286567164179103</v>
      </c>
      <c r="AR46" s="162" t="str">
        <f t="shared" si="7"/>
        <v>WA.2378.EBA.962.301.C.521211</v>
      </c>
      <c r="AS46" s="162" t="str">
        <f>IF(ISNUMBER(SEARCH("COVID",SP2D[[#This Row],[Akun]])),"COVID","Non COVID")</f>
        <v>Non COVID</v>
      </c>
      <c r="AT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6" s="176">
        <f>SUM('PER BULAN'!BB91)</f>
        <v>0</v>
      </c>
      <c r="AW46" s="176">
        <f>SUM('PER BULAN'!BC91)</f>
        <v>3987000</v>
      </c>
      <c r="AX46" s="176">
        <f>SUM('PER BULAN'!BD91)</f>
        <v>0</v>
      </c>
      <c r="AY46" s="176">
        <f>SUM('PER BULAN'!BE91)</f>
        <v>0</v>
      </c>
      <c r="AZ46" s="176">
        <f>SUM('PER BULAN'!BF91)</f>
        <v>0</v>
      </c>
      <c r="BA46" s="176">
        <f>SUM('PER BULAN'!BG91)</f>
        <v>0</v>
      </c>
      <c r="BB46" s="176">
        <f>SUM('PER BULAN'!BH91)</f>
        <v>29384740</v>
      </c>
      <c r="BC46" s="176">
        <f>SUM('PER BULAN'!BI91)</f>
        <v>0</v>
      </c>
      <c r="BD46" s="176">
        <f>SUM('PER BULAN'!BJ91)</f>
        <v>0</v>
      </c>
      <c r="BE46" s="176">
        <f>SUM('PER BULAN'!BK91)</f>
        <v>0</v>
      </c>
      <c r="BF46" s="176">
        <f>SUM('PER BULAN'!BL91)</f>
        <v>0</v>
      </c>
    </row>
    <row r="47" spans="1:58"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tr">
        <f>IF(LEFT(SP2D[[#This Row],[kdakun]],2)="51","Belanja Pegawai",IF(LEFT(SP2D[[#This Row],[kdakun]],2)="52","Belanja Barang",IF(LEFT(SP2D[[#This Row],[kdakun]],2)="53","Belanja Modal")))</f>
        <v>Belanja Barang</v>
      </c>
      <c r="AM47" s="162" t="s">
        <v>3775</v>
      </c>
      <c r="AN47" s="275">
        <f t="shared" si="0"/>
        <v>0</v>
      </c>
      <c r="AO47" s="175">
        <f t="shared" si="5"/>
        <v>0</v>
      </c>
      <c r="AP47" s="275">
        <f t="shared" si="2"/>
        <v>3000000</v>
      </c>
      <c r="AQ47" s="175">
        <f t="shared" si="6"/>
        <v>100</v>
      </c>
      <c r="AR47" s="162" t="str">
        <f t="shared" si="7"/>
        <v>WA.2378.EBA.962.301.C.522141</v>
      </c>
      <c r="AS47" s="162" t="str">
        <f>IF(ISNUMBER(SEARCH("COVID",SP2D[[#This Row],[Akun]])),"COVID","Non COVID")</f>
        <v>Non COVID</v>
      </c>
      <c r="AT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7" s="176">
        <f>SUM('PER BULAN'!BB92)</f>
        <v>0</v>
      </c>
      <c r="AW47" s="176">
        <f>SUM('PER BULAN'!BC92)</f>
        <v>0</v>
      </c>
      <c r="AX47" s="176">
        <f>SUM('PER BULAN'!BD92)</f>
        <v>0</v>
      </c>
      <c r="AY47" s="176">
        <f>SUM('PER BULAN'!BE92)</f>
        <v>0</v>
      </c>
      <c r="AZ47" s="176">
        <f>SUM('PER BULAN'!BF92)</f>
        <v>0</v>
      </c>
      <c r="BA47" s="176">
        <f>SUM('PER BULAN'!BG92)</f>
        <v>0</v>
      </c>
      <c r="BB47" s="176">
        <f>SUM('PER BULAN'!BH92)</f>
        <v>0</v>
      </c>
      <c r="BC47" s="176">
        <f>SUM('PER BULAN'!BI92)</f>
        <v>0</v>
      </c>
      <c r="BD47" s="176">
        <f>SUM('PER BULAN'!BJ92)</f>
        <v>0</v>
      </c>
      <c r="BE47" s="176">
        <f>SUM('PER BULAN'!BK92)</f>
        <v>0</v>
      </c>
      <c r="BF47" s="176">
        <f>SUM('PER BULAN'!BL92)</f>
        <v>0</v>
      </c>
    </row>
    <row r="48" spans="1:58"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tr">
        <f>IF(LEFT(SP2D[[#This Row],[kdakun]],2)="51","Belanja Pegawai",IF(LEFT(SP2D[[#This Row],[kdakun]],2)="52","Belanja Barang",IF(LEFT(SP2D[[#This Row],[kdakun]],2)="53","Belanja Modal")))</f>
        <v>Belanja Barang</v>
      </c>
      <c r="AM48" s="162" t="s">
        <v>3775</v>
      </c>
      <c r="AN48" s="275">
        <f t="shared" si="0"/>
        <v>8980000</v>
      </c>
      <c r="AO48" s="175">
        <f t="shared" si="5"/>
        <v>49.888888888888886</v>
      </c>
      <c r="AP48" s="275">
        <f t="shared" si="2"/>
        <v>9020000</v>
      </c>
      <c r="AQ48" s="175">
        <f t="shared" si="6"/>
        <v>50.111111111111107</v>
      </c>
      <c r="AR48" s="162" t="str">
        <f t="shared" si="7"/>
        <v>WA.2378.EBA.962.301.C.524111</v>
      </c>
      <c r="AS48" s="162" t="str">
        <f>IF(ISNUMBER(SEARCH("COVID",SP2D[[#This Row],[Akun]])),"COVID","Non COVID")</f>
        <v>Non COVID</v>
      </c>
      <c r="AT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8" s="176">
        <f>SUM('PER BULAN'!BB93)</f>
        <v>0</v>
      </c>
      <c r="AW48" s="176">
        <f>SUM('PER BULAN'!BC93)</f>
        <v>1290000</v>
      </c>
      <c r="AX48" s="176">
        <f>SUM('PER BULAN'!BD93)</f>
        <v>0</v>
      </c>
      <c r="AY48" s="176">
        <f>SUM('PER BULAN'!BE93)</f>
        <v>0</v>
      </c>
      <c r="AZ48" s="176">
        <f>SUM('PER BULAN'!BF93)</f>
        <v>3300000</v>
      </c>
      <c r="BA48" s="176">
        <f>SUM('PER BULAN'!BG93)</f>
        <v>3720000</v>
      </c>
      <c r="BB48" s="176">
        <f>SUM('PER BULAN'!BH93)</f>
        <v>0</v>
      </c>
      <c r="BC48" s="176">
        <f>SUM('PER BULAN'!BI93)</f>
        <v>0</v>
      </c>
      <c r="BD48" s="176">
        <f>SUM('PER BULAN'!BJ93)</f>
        <v>0</v>
      </c>
      <c r="BE48" s="176">
        <f>SUM('PER BULAN'!BK93)</f>
        <v>0</v>
      </c>
      <c r="BF48" s="176">
        <f>SUM('PER BULAN'!BL93)</f>
        <v>670000</v>
      </c>
    </row>
    <row r="49" spans="1:58"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tr">
        <f>IF(LEFT(SP2D[[#This Row],[kdakun]],2)="51","Belanja Pegawai",IF(LEFT(SP2D[[#This Row],[kdakun]],2)="52","Belanja Barang",IF(LEFT(SP2D[[#This Row],[kdakun]],2)="53","Belanja Modal")))</f>
        <v>Belanja Barang</v>
      </c>
      <c r="AM49" s="162" t="s">
        <v>3775</v>
      </c>
      <c r="AN49" s="275">
        <f t="shared" si="0"/>
        <v>600000</v>
      </c>
      <c r="AO49" s="175">
        <f t="shared" si="5"/>
        <v>26.666666666666668</v>
      </c>
      <c r="AP49" s="275">
        <f t="shared" si="2"/>
        <v>1650000</v>
      </c>
      <c r="AQ49" s="175">
        <f t="shared" si="6"/>
        <v>73.333333333333329</v>
      </c>
      <c r="AR49" s="162" t="str">
        <f t="shared" si="7"/>
        <v>WA.2378.EBA.962.301.C.524113</v>
      </c>
      <c r="AS49" s="162" t="str">
        <f>IF(ISNUMBER(SEARCH("COVID",SP2D[[#This Row],[Akun]])),"COVID","Non COVID")</f>
        <v>Non COVID</v>
      </c>
      <c r="AT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9" s="176">
        <f>SUM('PER BULAN'!BB94)</f>
        <v>600000</v>
      </c>
      <c r="AW49" s="176">
        <f>SUM('PER BULAN'!BC94)</f>
        <v>0</v>
      </c>
      <c r="AX49" s="176">
        <f>SUM('PER BULAN'!BD94)</f>
        <v>0</v>
      </c>
      <c r="AY49" s="176">
        <f>SUM('PER BULAN'!BE94)</f>
        <v>0</v>
      </c>
      <c r="AZ49" s="176">
        <f>SUM('PER BULAN'!BF94)</f>
        <v>0</v>
      </c>
      <c r="BA49" s="176">
        <f>SUM('PER BULAN'!BG94)</f>
        <v>0</v>
      </c>
      <c r="BB49" s="176">
        <f>SUM('PER BULAN'!BH94)</f>
        <v>0</v>
      </c>
      <c r="BC49" s="176">
        <f>SUM('PER BULAN'!BI94)</f>
        <v>0</v>
      </c>
      <c r="BD49" s="176">
        <f>SUM('PER BULAN'!BJ94)</f>
        <v>0</v>
      </c>
      <c r="BE49" s="176">
        <f>SUM('PER BULAN'!BK94)</f>
        <v>0</v>
      </c>
      <c r="BF49" s="176">
        <f>SUM('PER BULAN'!BL94)</f>
        <v>0</v>
      </c>
    </row>
    <row r="50" spans="1:58"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tr">
        <f>IF(LEFT(SP2D[[#This Row],[kdakun]],2)="51","Belanja Pegawai",IF(LEFT(SP2D[[#This Row],[kdakun]],2)="52","Belanja Barang",IF(LEFT(SP2D[[#This Row],[kdakun]],2)="53","Belanja Modal")))</f>
        <v>Belanja Barang</v>
      </c>
      <c r="AM50" s="162" t="s">
        <v>3775</v>
      </c>
      <c r="AN50" s="275">
        <f t="shared" si="0"/>
        <v>9448500</v>
      </c>
      <c r="AO50" s="175">
        <f t="shared" si="5"/>
        <v>69.988888888888894</v>
      </c>
      <c r="AP50" s="275">
        <f t="shared" si="2"/>
        <v>4051500</v>
      </c>
      <c r="AQ50" s="175">
        <f t="shared" si="6"/>
        <v>30.011111111111109</v>
      </c>
      <c r="AR50" s="162" t="str">
        <f t="shared" si="7"/>
        <v>WA.2378.EBA.962.301.D.521211</v>
      </c>
      <c r="AS50" s="162" t="str">
        <f>IF(ISNUMBER(SEARCH("COVID",SP2D[[#This Row],[Akun]])),"COVID","Non COVID")</f>
        <v>Non COVID</v>
      </c>
      <c r="AT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0" s="176">
        <f>SUM('PER BULAN'!BB96)</f>
        <v>0</v>
      </c>
      <c r="AW50" s="176">
        <f>SUM('PER BULAN'!BC96)</f>
        <v>5459000</v>
      </c>
      <c r="AX50" s="176">
        <f>SUM('PER BULAN'!BD96)</f>
        <v>0</v>
      </c>
      <c r="AY50" s="176">
        <f>SUM('PER BULAN'!BE96)</f>
        <v>0</v>
      </c>
      <c r="AZ50" s="176">
        <f>SUM('PER BULAN'!BF96)</f>
        <v>0</v>
      </c>
      <c r="BA50" s="176">
        <f>SUM('PER BULAN'!BG96)</f>
        <v>0</v>
      </c>
      <c r="BB50" s="176">
        <f>SUM('PER BULAN'!BH96)</f>
        <v>0</v>
      </c>
      <c r="BC50" s="176">
        <f>SUM('PER BULAN'!BI96)</f>
        <v>0</v>
      </c>
      <c r="BD50" s="176">
        <f>SUM('PER BULAN'!BJ96)</f>
        <v>0</v>
      </c>
      <c r="BE50" s="176">
        <f>SUM('PER BULAN'!BK96)</f>
        <v>0</v>
      </c>
      <c r="BF50" s="176">
        <f>SUM('PER BULAN'!BL96)</f>
        <v>3989500</v>
      </c>
    </row>
    <row r="51" spans="1:58"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tr">
        <f>IF(LEFT(SP2D[[#This Row],[kdakun]],2)="51","Belanja Pegawai",IF(LEFT(SP2D[[#This Row],[kdakun]],2)="52","Belanja Barang",IF(LEFT(SP2D[[#This Row],[kdakun]],2)="53","Belanja Modal")))</f>
        <v>Belanja Barang</v>
      </c>
      <c r="AM51" s="162" t="s">
        <v>3775</v>
      </c>
      <c r="AN51" s="275">
        <f t="shared" si="0"/>
        <v>29769738</v>
      </c>
      <c r="AO51" s="175">
        <f t="shared" si="5"/>
        <v>62.419512297402136</v>
      </c>
      <c r="AP51" s="275">
        <f t="shared" si="2"/>
        <v>17923262</v>
      </c>
      <c r="AQ51" s="175">
        <f t="shared" si="6"/>
        <v>37.580487702597864</v>
      </c>
      <c r="AR51" s="162" t="str">
        <f t="shared" si="7"/>
        <v>WA.2378.EBA.962.301.D.524111</v>
      </c>
      <c r="AS51" s="162" t="str">
        <f>IF(ISNUMBER(SEARCH("COVID",SP2D[[#This Row],[Akun]])),"COVID","Non COVID")</f>
        <v>Non COVID</v>
      </c>
      <c r="AT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1" s="176">
        <f>SUM('PER BULAN'!BB97)</f>
        <v>4907400</v>
      </c>
      <c r="AW51" s="176">
        <f>SUM('PER BULAN'!BC97)</f>
        <v>3320000</v>
      </c>
      <c r="AX51" s="176">
        <f>SUM('PER BULAN'!BD97)</f>
        <v>0</v>
      </c>
      <c r="AY51" s="176">
        <f>SUM('PER BULAN'!BE97)</f>
        <v>1410000</v>
      </c>
      <c r="AZ51" s="176">
        <f>SUM('PER BULAN'!BF97)</f>
        <v>0</v>
      </c>
      <c r="BA51" s="176">
        <f>SUM('PER BULAN'!BG97)</f>
        <v>0</v>
      </c>
      <c r="BB51" s="176">
        <f>SUM('PER BULAN'!BH97)</f>
        <v>3691500</v>
      </c>
      <c r="BC51" s="176">
        <f>SUM('PER BULAN'!BI97)</f>
        <v>0</v>
      </c>
      <c r="BD51" s="176">
        <f>SUM('PER BULAN'!BJ97)</f>
        <v>0</v>
      </c>
      <c r="BE51" s="176">
        <f>SUM('PER BULAN'!BK97)</f>
        <v>0</v>
      </c>
      <c r="BF51" s="176">
        <f>SUM('PER BULAN'!BL97)</f>
        <v>834000</v>
      </c>
    </row>
    <row r="52" spans="1:58"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tr">
        <f>IF(LEFT(SP2D[[#This Row],[kdakun]],2)="51","Belanja Pegawai",IF(LEFT(SP2D[[#This Row],[kdakun]],2)="52","Belanja Barang",IF(LEFT(SP2D[[#This Row],[kdakun]],2)="53","Belanja Modal")))</f>
        <v>Belanja Barang</v>
      </c>
      <c r="AM52" s="162" t="s">
        <v>3775</v>
      </c>
      <c r="AN52" s="275">
        <f t="shared" si="0"/>
        <v>0</v>
      </c>
      <c r="AO52" s="175">
        <f t="shared" si="5"/>
        <v>0</v>
      </c>
      <c r="AP52" s="275">
        <f t="shared" si="2"/>
        <v>0</v>
      </c>
      <c r="AQ52" s="175">
        <f t="shared" si="6"/>
        <v>0</v>
      </c>
      <c r="AR52" s="162" t="str">
        <f t="shared" si="7"/>
        <v>WA.2378.EBA.962.301.D.524113</v>
      </c>
      <c r="AS52" s="162" t="str">
        <f>IF(ISNUMBER(SEARCH("COVID",SP2D[[#This Row],[Akun]])),"COVID","Non COVID")</f>
        <v>Non COVID</v>
      </c>
      <c r="AT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2" s="176">
        <f>SUM('PER BULAN'!BB98)</f>
        <v>0</v>
      </c>
      <c r="AW52" s="176">
        <f>SUM('PER BULAN'!BC98)</f>
        <v>0</v>
      </c>
      <c r="AX52" s="176">
        <f>SUM('PER BULAN'!BD98)</f>
        <v>0</v>
      </c>
      <c r="AY52" s="176">
        <f>SUM('PER BULAN'!BE98)</f>
        <v>0</v>
      </c>
      <c r="AZ52" s="176">
        <f>SUM('PER BULAN'!BF98)</f>
        <v>0</v>
      </c>
      <c r="BA52" s="176">
        <f>SUM('PER BULAN'!BG98)</f>
        <v>0</v>
      </c>
      <c r="BB52" s="176">
        <f>SUM('PER BULAN'!BH98)</f>
        <v>0</v>
      </c>
      <c r="BC52" s="176">
        <f>SUM('PER BULAN'!BI98)</f>
        <v>0</v>
      </c>
      <c r="BD52" s="176">
        <f>SUM('PER BULAN'!BJ98)</f>
        <v>0</v>
      </c>
      <c r="BE52" s="176">
        <f>SUM('PER BULAN'!BK98)</f>
        <v>0</v>
      </c>
      <c r="BF52" s="176">
        <f>SUM('PER BULAN'!BL98)</f>
        <v>0</v>
      </c>
    </row>
    <row r="53" spans="1:58"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tr">
        <f>IF(LEFT(SP2D[[#This Row],[kdakun]],2)="51","Belanja Pegawai",IF(LEFT(SP2D[[#This Row],[kdakun]],2)="52","Belanja Barang",IF(LEFT(SP2D[[#This Row],[kdakun]],2)="53","Belanja Modal")))</f>
        <v>Belanja Barang</v>
      </c>
      <c r="AM53" s="162" t="s">
        <v>3775</v>
      </c>
      <c r="AN53" s="275">
        <f t="shared" si="0"/>
        <v>38095000</v>
      </c>
      <c r="AO53" s="175">
        <f t="shared" si="5"/>
        <v>99.98687664041995</v>
      </c>
      <c r="AP53" s="275">
        <f t="shared" si="2"/>
        <v>5000</v>
      </c>
      <c r="AQ53" s="175">
        <f t="shared" si="6"/>
        <v>1.3123359580052493E-2</v>
      </c>
      <c r="AR53" s="162" t="str">
        <f t="shared" si="7"/>
        <v>WA.2378.EBA.962.301.E.521211</v>
      </c>
      <c r="AS53" s="162" t="str">
        <f>IF(ISNUMBER(SEARCH("COVID",SP2D[[#This Row],[Akun]])),"COVID","Non COVID")</f>
        <v>Non COVID</v>
      </c>
      <c r="AT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3" s="176">
        <f>SUM('PER BULAN'!BB100)</f>
        <v>0</v>
      </c>
      <c r="AW53" s="176">
        <f>SUM('PER BULAN'!BC100)</f>
        <v>31495000</v>
      </c>
      <c r="AX53" s="176">
        <f>SUM('PER BULAN'!BD100)</f>
        <v>0</v>
      </c>
      <c r="AY53" s="176">
        <f>SUM('PER BULAN'!BE100)</f>
        <v>0</v>
      </c>
      <c r="AZ53" s="176">
        <f>SUM('PER BULAN'!BF100)</f>
        <v>0</v>
      </c>
      <c r="BA53" s="176">
        <f>SUM('PER BULAN'!BG100)</f>
        <v>0</v>
      </c>
      <c r="BB53" s="176">
        <f>SUM('PER BULAN'!BH100)</f>
        <v>6600000</v>
      </c>
      <c r="BC53" s="176">
        <f>SUM('PER BULAN'!BI100)</f>
        <v>0</v>
      </c>
      <c r="BD53" s="176">
        <f>SUM('PER BULAN'!BJ100)</f>
        <v>0</v>
      </c>
      <c r="BE53" s="176">
        <f>SUM('PER BULAN'!BK100)</f>
        <v>0</v>
      </c>
      <c r="BF53" s="176">
        <f>SUM('PER BULAN'!BL100)</f>
        <v>0</v>
      </c>
    </row>
    <row r="54" spans="1:58"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tr">
        <f>IF(LEFT(SP2D[[#This Row],[kdakun]],2)="51","Belanja Pegawai",IF(LEFT(SP2D[[#This Row],[kdakun]],2)="52","Belanja Barang",IF(LEFT(SP2D[[#This Row],[kdakun]],2)="53","Belanja Modal")))</f>
        <v>Belanja Barang</v>
      </c>
      <c r="AM54" s="162" t="s">
        <v>3775</v>
      </c>
      <c r="AN54" s="275">
        <f t="shared" si="0"/>
        <v>82534280</v>
      </c>
      <c r="AO54" s="175">
        <f t="shared" si="5"/>
        <v>99.999127642818195</v>
      </c>
      <c r="AP54" s="275">
        <f t="shared" si="2"/>
        <v>720</v>
      </c>
      <c r="AQ54" s="175">
        <f t="shared" si="6"/>
        <v>8.7235718180165981E-4</v>
      </c>
      <c r="AR54" s="162" t="str">
        <f t="shared" si="7"/>
        <v>WA.2378.EBA.962.301.E.521241</v>
      </c>
      <c r="AS54" s="162" t="str">
        <f>IF(ISNUMBER(SEARCH("COVID",SP2D[[#This Row],[Akun]])),"COVID","Non COVID")</f>
        <v>COVID</v>
      </c>
      <c r="AT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4" s="176">
        <f>SUM('PER BULAN'!BB101)</f>
        <v>0</v>
      </c>
      <c r="AW54" s="176">
        <f>SUM('PER BULAN'!BC101)</f>
        <v>35332450</v>
      </c>
      <c r="AX54" s="176">
        <f>SUM('PER BULAN'!BD101)</f>
        <v>11800000</v>
      </c>
      <c r="AY54" s="176">
        <f>SUM('PER BULAN'!BE101)</f>
        <v>0</v>
      </c>
      <c r="AZ54" s="176">
        <f>SUM('PER BULAN'!BF101)</f>
        <v>0</v>
      </c>
      <c r="BA54" s="176">
        <f>SUM('PER BULAN'!BG101)</f>
        <v>0</v>
      </c>
      <c r="BB54" s="176">
        <f>SUM('PER BULAN'!BH101)</f>
        <v>20031830</v>
      </c>
      <c r="BC54" s="176">
        <f>SUM('PER BULAN'!BI101)</f>
        <v>0</v>
      </c>
      <c r="BD54" s="176">
        <f>SUM('PER BULAN'!BJ101)</f>
        <v>0</v>
      </c>
      <c r="BE54" s="176">
        <f>SUM('PER BULAN'!BK101)</f>
        <v>15370000</v>
      </c>
      <c r="BF54" s="176">
        <f>SUM('PER BULAN'!BL101)</f>
        <v>0</v>
      </c>
    </row>
    <row r="55" spans="1:58"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tr">
        <f>IF(LEFT(SP2D[[#This Row],[kdakun]],2)="51","Belanja Pegawai",IF(LEFT(SP2D[[#This Row],[kdakun]],2)="52","Belanja Barang",IF(LEFT(SP2D[[#This Row],[kdakun]],2)="53","Belanja Modal")))</f>
        <v>Belanja Barang</v>
      </c>
      <c r="AM55" s="162" t="s">
        <v>3775</v>
      </c>
      <c r="AN55" s="275">
        <f t="shared" si="0"/>
        <v>1600000</v>
      </c>
      <c r="AO55" s="175">
        <f t="shared" si="5"/>
        <v>99.688473520249218</v>
      </c>
      <c r="AP55" s="275">
        <f t="shared" si="2"/>
        <v>5000</v>
      </c>
      <c r="AQ55" s="175">
        <f t="shared" si="6"/>
        <v>0.3115264797507788</v>
      </c>
      <c r="AR55" s="162" t="str">
        <f t="shared" si="7"/>
        <v>WA.2378.EBA.962.301.E.522191</v>
      </c>
      <c r="AS55" s="162" t="str">
        <f>IF(ISNUMBER(SEARCH("COVID",SP2D[[#This Row],[Akun]])),"COVID","Non COVID")</f>
        <v>Non COVID</v>
      </c>
      <c r="AT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5" s="176">
        <f>SUM('PER BULAN'!BB102)</f>
        <v>0</v>
      </c>
      <c r="AW55" s="176">
        <f>SUM('PER BULAN'!BC102)</f>
        <v>0</v>
      </c>
      <c r="AX55" s="176">
        <f>SUM('PER BULAN'!BD102)</f>
        <v>0</v>
      </c>
      <c r="AY55" s="176">
        <f>SUM('PER BULAN'!BE102)</f>
        <v>0</v>
      </c>
      <c r="AZ55" s="176">
        <f>SUM('PER BULAN'!BF102)</f>
        <v>0</v>
      </c>
      <c r="BA55" s="176">
        <f>SUM('PER BULAN'!BG102)</f>
        <v>0</v>
      </c>
      <c r="BB55" s="176">
        <f>SUM('PER BULAN'!BH102)</f>
        <v>0</v>
      </c>
      <c r="BC55" s="176">
        <f>SUM('PER BULAN'!BI102)</f>
        <v>0</v>
      </c>
      <c r="BD55" s="176">
        <f>SUM('PER BULAN'!BJ102)</f>
        <v>0</v>
      </c>
      <c r="BE55" s="176">
        <f>SUM('PER BULAN'!BK102)</f>
        <v>1600000</v>
      </c>
      <c r="BF55" s="176">
        <f>SUM('PER BULAN'!BL102)</f>
        <v>0</v>
      </c>
    </row>
    <row r="56" spans="1:58"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tr">
        <f>IF(LEFT(SP2D[[#This Row],[kdakun]],2)="51","Belanja Pegawai",IF(LEFT(SP2D[[#This Row],[kdakun]],2)="52","Belanja Barang",IF(LEFT(SP2D[[#This Row],[kdakun]],2)="53","Belanja Modal")))</f>
        <v>Belanja Barang</v>
      </c>
      <c r="AM56" s="162" t="s">
        <v>3775</v>
      </c>
      <c r="AN56" s="275">
        <f t="shared" si="0"/>
        <v>4246000</v>
      </c>
      <c r="AO56" s="175">
        <f t="shared" si="5"/>
        <v>100</v>
      </c>
      <c r="AP56" s="275">
        <f t="shared" si="2"/>
        <v>0</v>
      </c>
      <c r="AQ56" s="175">
        <f t="shared" si="6"/>
        <v>0</v>
      </c>
      <c r="AR56" s="162" t="str">
        <f t="shared" si="7"/>
        <v>WA.2378.EBA.962.301.E.522192</v>
      </c>
      <c r="AS56" s="162" t="str">
        <f>IF(ISNUMBER(SEARCH("COVID",SP2D[[#This Row],[Akun]])),"COVID","Non COVID")</f>
        <v>COVID</v>
      </c>
      <c r="AT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6" s="176">
        <f>SUM('PER BULAN'!BB103)</f>
        <v>0</v>
      </c>
      <c r="AW56" s="176">
        <f>SUM('PER BULAN'!BC103)</f>
        <v>802000</v>
      </c>
      <c r="AX56" s="176">
        <f>SUM('PER BULAN'!BD103)</f>
        <v>0</v>
      </c>
      <c r="AY56" s="176">
        <f>SUM('PER BULAN'!BE103)</f>
        <v>3229000</v>
      </c>
      <c r="AZ56" s="176">
        <f>SUM('PER BULAN'!BF103)</f>
        <v>0</v>
      </c>
      <c r="BA56" s="176">
        <f>SUM('PER BULAN'!BG103)</f>
        <v>0</v>
      </c>
      <c r="BB56" s="176">
        <f>SUM('PER BULAN'!BH103)</f>
        <v>215000</v>
      </c>
      <c r="BC56" s="176">
        <f>SUM('PER BULAN'!BI103)</f>
        <v>0</v>
      </c>
      <c r="BD56" s="176">
        <f>SUM('PER BULAN'!BJ103)</f>
        <v>0</v>
      </c>
      <c r="BE56" s="176">
        <f>SUM('PER BULAN'!BK103)</f>
        <v>0</v>
      </c>
      <c r="BF56" s="176">
        <f>SUM('PER BULAN'!BL103)</f>
        <v>0</v>
      </c>
    </row>
    <row r="57" spans="1:58"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tr">
        <f>IF(LEFT(SP2D[[#This Row],[kdakun]],2)="51","Belanja Pegawai",IF(LEFT(SP2D[[#This Row],[kdakun]],2)="52","Belanja Barang",IF(LEFT(SP2D[[#This Row],[kdakun]],2)="53","Belanja Modal")))</f>
        <v>Belanja Barang</v>
      </c>
      <c r="AM57" s="162" t="s">
        <v>3775</v>
      </c>
      <c r="AN57" s="275">
        <f t="shared" si="0"/>
        <v>21850700</v>
      </c>
      <c r="AO57" s="175">
        <f t="shared" si="5"/>
        <v>99.998627065122875</v>
      </c>
      <c r="AP57" s="275">
        <f t="shared" si="2"/>
        <v>300</v>
      </c>
      <c r="AQ57" s="175">
        <f t="shared" si="6"/>
        <v>1.3729348771223285E-3</v>
      </c>
      <c r="AR57" s="162" t="str">
        <f t="shared" si="7"/>
        <v>WA.2378.EBA.962.301.E.524111</v>
      </c>
      <c r="AS57" s="162" t="str">
        <f>IF(ISNUMBER(SEARCH("COVID",SP2D[[#This Row],[Akun]])),"COVID","Non COVID")</f>
        <v>Non COVID</v>
      </c>
      <c r="AT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7" s="176">
        <f>SUM('PER BULAN'!BB104)</f>
        <v>1560000</v>
      </c>
      <c r="AW57" s="176">
        <f>SUM('PER BULAN'!BC104)</f>
        <v>6690000</v>
      </c>
      <c r="AX57" s="176">
        <f>SUM('PER BULAN'!BD104)</f>
        <v>0</v>
      </c>
      <c r="AY57" s="176">
        <f>SUM('PER BULAN'!BE104)</f>
        <v>0</v>
      </c>
      <c r="AZ57" s="176">
        <f>SUM('PER BULAN'!BF104)</f>
        <v>1860000</v>
      </c>
      <c r="BA57" s="176">
        <f>SUM('PER BULAN'!BG104)</f>
        <v>3748000</v>
      </c>
      <c r="BB57" s="176">
        <f>SUM('PER BULAN'!BH104)</f>
        <v>4280000</v>
      </c>
      <c r="BC57" s="176">
        <f>SUM('PER BULAN'!BI104)</f>
        <v>0</v>
      </c>
      <c r="BD57" s="176">
        <f>SUM('PER BULAN'!BJ104)</f>
        <v>0</v>
      </c>
      <c r="BE57" s="176">
        <f>SUM('PER BULAN'!BK104)</f>
        <v>0</v>
      </c>
      <c r="BF57" s="176">
        <f>SUM('PER BULAN'!BL104)</f>
        <v>0</v>
      </c>
    </row>
    <row r="58" spans="1:58"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tr">
        <f>IF(LEFT(SP2D[[#This Row],[kdakun]],2)="51","Belanja Pegawai",IF(LEFT(SP2D[[#This Row],[kdakun]],2)="52","Belanja Barang",IF(LEFT(SP2D[[#This Row],[kdakun]],2)="53","Belanja Modal")))</f>
        <v>Belanja Barang</v>
      </c>
      <c r="AM58" s="162" t="s">
        <v>3775</v>
      </c>
      <c r="AN58" s="275">
        <f t="shared" si="0"/>
        <v>0</v>
      </c>
      <c r="AO58" s="175">
        <f t="shared" si="5"/>
        <v>0</v>
      </c>
      <c r="AP58" s="275">
        <f t="shared" si="2"/>
        <v>515818000</v>
      </c>
      <c r="AQ58" s="175">
        <f t="shared" si="6"/>
        <v>100</v>
      </c>
      <c r="AR58" s="162" t="str">
        <f t="shared" si="7"/>
        <v>WA.2378.EBA.962.301.E.524113</v>
      </c>
      <c r="AS58" s="162" t="str">
        <f>IF(ISNUMBER(SEARCH("COVID",SP2D[[#This Row],[Akun]])),"COVID","Non COVID")</f>
        <v>Non COVID</v>
      </c>
      <c r="AT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8" s="176">
        <f>SUM('PER BULAN'!BB105)</f>
        <v>0</v>
      </c>
      <c r="AW58" s="176">
        <f>SUM('PER BULAN'!BC105)</f>
        <v>0</v>
      </c>
      <c r="AX58" s="176">
        <f>SUM('PER BULAN'!BD105)</f>
        <v>0</v>
      </c>
      <c r="AY58" s="176">
        <f>SUM('PER BULAN'!BE105)</f>
        <v>0</v>
      </c>
      <c r="AZ58" s="176">
        <f>SUM('PER BULAN'!BF105)</f>
        <v>0</v>
      </c>
      <c r="BA58" s="176">
        <f>SUM('PER BULAN'!BG105)</f>
        <v>0</v>
      </c>
      <c r="BB58" s="176">
        <f>SUM('PER BULAN'!BH105)</f>
        <v>0</v>
      </c>
      <c r="BC58" s="176">
        <f>SUM('PER BULAN'!BI105)</f>
        <v>0</v>
      </c>
      <c r="BD58" s="176">
        <f>SUM('PER BULAN'!BJ105)</f>
        <v>0</v>
      </c>
      <c r="BE58" s="176">
        <f>SUM('PER BULAN'!BK105)</f>
        <v>0</v>
      </c>
      <c r="BF58" s="176">
        <f>SUM('PER BULAN'!BL105)</f>
        <v>0</v>
      </c>
    </row>
    <row r="59" spans="1:58"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tr">
        <f>IF(LEFT(SP2D[[#This Row],[kdakun]],2)="51","Belanja Pegawai",IF(LEFT(SP2D[[#This Row],[kdakun]],2)="52","Belanja Barang",IF(LEFT(SP2D[[#This Row],[kdakun]],2)="53","Belanja Modal")))</f>
        <v>Belanja Barang</v>
      </c>
      <c r="AM59" s="162" t="s">
        <v>3775</v>
      </c>
      <c r="AN59" s="275">
        <f t="shared" si="0"/>
        <v>3999200</v>
      </c>
      <c r="AO59" s="175">
        <f t="shared" si="5"/>
        <v>99.98</v>
      </c>
      <c r="AP59" s="275">
        <f t="shared" si="2"/>
        <v>800</v>
      </c>
      <c r="AQ59" s="175">
        <f t="shared" si="6"/>
        <v>0.02</v>
      </c>
      <c r="AR59" s="162" t="str">
        <f t="shared" si="7"/>
        <v>WA.2378.EBA.962.301.F.521211</v>
      </c>
      <c r="AS59" s="162" t="str">
        <f>IF(ISNUMBER(SEARCH("COVID",SP2D[[#This Row],[Akun]])),"COVID","Non COVID")</f>
        <v>Non COVID</v>
      </c>
      <c r="AT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9" s="176">
        <f>SUM('PER BULAN'!BB107)</f>
        <v>0</v>
      </c>
      <c r="AW59" s="176">
        <f>SUM('PER BULAN'!BC107)</f>
        <v>2499500</v>
      </c>
      <c r="AX59" s="176">
        <f>SUM('PER BULAN'!BD107)</f>
        <v>1499700</v>
      </c>
      <c r="AY59" s="176">
        <f>SUM('PER BULAN'!BE107)</f>
        <v>0</v>
      </c>
      <c r="AZ59" s="176">
        <f>SUM('PER BULAN'!BF107)</f>
        <v>0</v>
      </c>
      <c r="BA59" s="176">
        <f>SUM('PER BULAN'!BG107)</f>
        <v>0</v>
      </c>
      <c r="BB59" s="176">
        <f>SUM('PER BULAN'!BH107)</f>
        <v>0</v>
      </c>
      <c r="BC59" s="176">
        <f>SUM('PER BULAN'!BI107)</f>
        <v>0</v>
      </c>
      <c r="BD59" s="176">
        <f>SUM('PER BULAN'!BJ107)</f>
        <v>0</v>
      </c>
      <c r="BE59" s="176">
        <f>SUM('PER BULAN'!BK107)</f>
        <v>0</v>
      </c>
      <c r="BF59" s="176">
        <f>SUM('PER BULAN'!BL107)</f>
        <v>0</v>
      </c>
    </row>
    <row r="60" spans="1:58"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tr">
        <f>IF(LEFT(SP2D[[#This Row],[kdakun]],2)="51","Belanja Pegawai",IF(LEFT(SP2D[[#This Row],[kdakun]],2)="52","Belanja Barang",IF(LEFT(SP2D[[#This Row],[kdakun]],2)="53","Belanja Modal")))</f>
        <v>Belanja Barang</v>
      </c>
      <c r="AM60" s="162" t="s">
        <v>3775</v>
      </c>
      <c r="AN60" s="275">
        <f t="shared" si="0"/>
        <v>4297458</v>
      </c>
      <c r="AO60" s="175">
        <f t="shared" si="5"/>
        <v>99.987389483480698</v>
      </c>
      <c r="AP60" s="275">
        <f t="shared" si="2"/>
        <v>542</v>
      </c>
      <c r="AQ60" s="175">
        <f t="shared" si="6"/>
        <v>1.2610516519311306E-2</v>
      </c>
      <c r="AR60" s="162" t="str">
        <f t="shared" si="7"/>
        <v>WA.2378.EBA.962.301.F.521219</v>
      </c>
      <c r="AS60" s="162" t="str">
        <f>IF(ISNUMBER(SEARCH("COVID",SP2D[[#This Row],[Akun]])),"COVID","Non COVID")</f>
        <v>Non COVID</v>
      </c>
      <c r="AT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0" s="176">
        <f>SUM('PER BULAN'!BB108)</f>
        <v>0</v>
      </c>
      <c r="AW60" s="176">
        <f>SUM('PER BULAN'!BC108)</f>
        <v>450000</v>
      </c>
      <c r="AX60" s="176">
        <f>SUM('PER BULAN'!BD108)</f>
        <v>244240</v>
      </c>
      <c r="AY60" s="176">
        <f>SUM('PER BULAN'!BE108)</f>
        <v>0</v>
      </c>
      <c r="AZ60" s="176">
        <f>SUM('PER BULAN'!BF108)</f>
        <v>3351204</v>
      </c>
      <c r="BA60" s="176">
        <f>SUM('PER BULAN'!BG108)</f>
        <v>252014</v>
      </c>
      <c r="BB60" s="176">
        <f>SUM('PER BULAN'!BH108)</f>
        <v>0</v>
      </c>
      <c r="BC60" s="176">
        <f>SUM('PER BULAN'!BI108)</f>
        <v>0</v>
      </c>
      <c r="BD60" s="176">
        <f>SUM('PER BULAN'!BJ108)</f>
        <v>0</v>
      </c>
      <c r="BE60" s="176">
        <f>SUM('PER BULAN'!BK108)</f>
        <v>0</v>
      </c>
      <c r="BF60" s="176">
        <f>SUM('PER BULAN'!BL108)</f>
        <v>0</v>
      </c>
    </row>
    <row r="61" spans="1:58"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tr">
        <f>IF(LEFT(SP2D[[#This Row],[kdakun]],2)="51","Belanja Pegawai",IF(LEFT(SP2D[[#This Row],[kdakun]],2)="52","Belanja Barang",IF(LEFT(SP2D[[#This Row],[kdakun]],2)="53","Belanja Modal")))</f>
        <v>Belanja Barang</v>
      </c>
      <c r="AM61" s="162" t="s">
        <v>3775</v>
      </c>
      <c r="AN61" s="275">
        <f t="shared" si="0"/>
        <v>0</v>
      </c>
      <c r="AO61" s="175">
        <f t="shared" si="5"/>
        <v>0</v>
      </c>
      <c r="AP61" s="275">
        <f t="shared" si="2"/>
        <v>432643000</v>
      </c>
      <c r="AQ61" s="175">
        <f t="shared" si="6"/>
        <v>100</v>
      </c>
      <c r="AR61" s="162" t="str">
        <f t="shared" si="7"/>
        <v>WA.2378.EBA.962.301.F.522151</v>
      </c>
      <c r="AS61" s="162" t="str">
        <f>IF(ISNUMBER(SEARCH("COVID",SP2D[[#This Row],[Akun]])),"COVID","Non COVID")</f>
        <v>Non COVID</v>
      </c>
      <c r="AT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1" s="176">
        <f>SUM('PER BULAN'!BB109)</f>
        <v>0</v>
      </c>
      <c r="AW61" s="176">
        <f>SUM('PER BULAN'!BC109)</f>
        <v>0</v>
      </c>
      <c r="AX61" s="176">
        <f>SUM('PER BULAN'!BD109)</f>
        <v>0</v>
      </c>
      <c r="AY61" s="176">
        <f>SUM('PER BULAN'!BE109)</f>
        <v>0</v>
      </c>
      <c r="AZ61" s="176">
        <f>SUM('PER BULAN'!BF109)</f>
        <v>0</v>
      </c>
      <c r="BA61" s="176">
        <f>SUM('PER BULAN'!BG109)</f>
        <v>0</v>
      </c>
      <c r="BB61" s="176">
        <f>SUM('PER BULAN'!BH109)</f>
        <v>0</v>
      </c>
      <c r="BC61" s="176">
        <f>SUM('PER BULAN'!BI109)</f>
        <v>0</v>
      </c>
      <c r="BD61" s="176">
        <f>SUM('PER BULAN'!BJ109)</f>
        <v>0</v>
      </c>
      <c r="BE61" s="176">
        <f>SUM('PER BULAN'!BK109)</f>
        <v>0</v>
      </c>
      <c r="BF61" s="176">
        <f>SUM('PER BULAN'!BL109)</f>
        <v>0</v>
      </c>
    </row>
    <row r="62" spans="1:58"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tr">
        <f>IF(LEFT(SP2D[[#This Row],[kdakun]],2)="51","Belanja Pegawai",IF(LEFT(SP2D[[#This Row],[kdakun]],2)="52","Belanja Barang",IF(LEFT(SP2D[[#This Row],[kdakun]],2)="53","Belanja Modal")))</f>
        <v>Belanja Barang</v>
      </c>
      <c r="AM62" s="162" t="s">
        <v>3775</v>
      </c>
      <c r="AN62" s="275">
        <f t="shared" si="0"/>
        <v>0</v>
      </c>
      <c r="AO62" s="175">
        <f t="shared" si="5"/>
        <v>0</v>
      </c>
      <c r="AP62" s="275">
        <f t="shared" si="2"/>
        <v>0</v>
      </c>
      <c r="AQ62" s="175">
        <f t="shared" si="6"/>
        <v>0</v>
      </c>
      <c r="AR62" s="162" t="str">
        <f t="shared" si="7"/>
        <v>WA.2378.EBA.962.301.F.522192</v>
      </c>
      <c r="AS62" s="162" t="str">
        <f>IF(ISNUMBER(SEARCH("COVID",SP2D[[#This Row],[Akun]])),"COVID","Non COVID")</f>
        <v>COVID</v>
      </c>
      <c r="AT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2" s="176">
        <f>SUM('PER BULAN'!BB110)</f>
        <v>0</v>
      </c>
      <c r="AW62" s="176">
        <f>SUM('PER BULAN'!BC110)</f>
        <v>0</v>
      </c>
      <c r="AX62" s="176">
        <f>SUM('PER BULAN'!BD110)</f>
        <v>0</v>
      </c>
      <c r="AY62" s="176">
        <f>SUM('PER BULAN'!BE110)</f>
        <v>0</v>
      </c>
      <c r="AZ62" s="176">
        <f>SUM('PER BULAN'!BF110)</f>
        <v>0</v>
      </c>
      <c r="BA62" s="176">
        <f>SUM('PER BULAN'!BG110)</f>
        <v>0</v>
      </c>
      <c r="BB62" s="176">
        <f>SUM('PER BULAN'!BH110)</f>
        <v>0</v>
      </c>
      <c r="BC62" s="176">
        <f>SUM('PER BULAN'!BI110)</f>
        <v>0</v>
      </c>
      <c r="BD62" s="176">
        <f>SUM('PER BULAN'!BJ110)</f>
        <v>0</v>
      </c>
      <c r="BE62" s="176">
        <f>SUM('PER BULAN'!BK110)</f>
        <v>0</v>
      </c>
      <c r="BF62" s="176">
        <f>SUM('PER BULAN'!BL110)</f>
        <v>0</v>
      </c>
    </row>
    <row r="63" spans="1:58"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tr">
        <f>IF(LEFT(SP2D[[#This Row],[kdakun]],2)="51","Belanja Pegawai",IF(LEFT(SP2D[[#This Row],[kdakun]],2)="52","Belanja Barang",IF(LEFT(SP2D[[#This Row],[kdakun]],2)="53","Belanja Modal")))</f>
        <v>Belanja Barang</v>
      </c>
      <c r="AM63" s="162" t="s">
        <v>3775</v>
      </c>
      <c r="AN63" s="275">
        <f t="shared" si="0"/>
        <v>5350700</v>
      </c>
      <c r="AO63" s="175">
        <f t="shared" si="5"/>
        <v>59.065018213930898</v>
      </c>
      <c r="AP63" s="275">
        <f t="shared" si="2"/>
        <v>3708300</v>
      </c>
      <c r="AQ63" s="175">
        <f t="shared" si="6"/>
        <v>40.934981786069102</v>
      </c>
      <c r="AR63" s="162" t="str">
        <f t="shared" si="7"/>
        <v>WA.2378.EBA.962.301.F.524111</v>
      </c>
      <c r="AS63" s="162" t="str">
        <f>IF(ISNUMBER(SEARCH("COVID",SP2D[[#This Row],[Akun]])),"COVID","Non COVID")</f>
        <v>Non COVID</v>
      </c>
      <c r="AT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3" s="176">
        <f>SUM('PER BULAN'!BB111)</f>
        <v>0</v>
      </c>
      <c r="AW63" s="176">
        <f>SUM('PER BULAN'!BC111)</f>
        <v>0</v>
      </c>
      <c r="AX63" s="176">
        <f>SUM('PER BULAN'!BD111)</f>
        <v>0</v>
      </c>
      <c r="AY63" s="176">
        <f>SUM('PER BULAN'!BE111)</f>
        <v>0</v>
      </c>
      <c r="AZ63" s="176">
        <f>SUM('PER BULAN'!BF111)</f>
        <v>0</v>
      </c>
      <c r="BA63" s="176">
        <f>SUM('PER BULAN'!BG111)</f>
        <v>0</v>
      </c>
      <c r="BB63" s="176">
        <f>SUM('PER BULAN'!BH111)</f>
        <v>0</v>
      </c>
      <c r="BC63" s="176">
        <f>SUM('PER BULAN'!BI111)</f>
        <v>0</v>
      </c>
      <c r="BD63" s="176">
        <f>SUM('PER BULAN'!BJ111)</f>
        <v>0</v>
      </c>
      <c r="BE63" s="176">
        <f>SUM('PER BULAN'!BK111)</f>
        <v>0</v>
      </c>
      <c r="BF63" s="176">
        <f>SUM('PER BULAN'!BL111)</f>
        <v>0</v>
      </c>
    </row>
    <row r="64" spans="1:58"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tr">
        <f>IF(LEFT(SP2D[[#This Row],[kdakun]],2)="51","Belanja Pegawai",IF(LEFT(SP2D[[#This Row],[kdakun]],2)="52","Belanja Barang",IF(LEFT(SP2D[[#This Row],[kdakun]],2)="53","Belanja Modal")))</f>
        <v>Belanja Barang</v>
      </c>
      <c r="AM64" s="162" t="s">
        <v>3775</v>
      </c>
      <c r="AN64" s="275">
        <f t="shared" si="0"/>
        <v>12517500</v>
      </c>
      <c r="AO64" s="175">
        <f t="shared" si="5"/>
        <v>99.741035856573703</v>
      </c>
      <c r="AP64" s="275">
        <f t="shared" si="2"/>
        <v>32500</v>
      </c>
      <c r="AQ64" s="175">
        <f t="shared" si="6"/>
        <v>0.25896414342629481</v>
      </c>
      <c r="AR64" s="162" t="str">
        <f t="shared" si="7"/>
        <v>WA.2378.EBA.962.301.G.521211</v>
      </c>
      <c r="AS64" s="162" t="str">
        <f>IF(ISNUMBER(SEARCH("COVID",SP2D[[#This Row],[Akun]])),"COVID","Non COVID")</f>
        <v>Non COVID</v>
      </c>
      <c r="AT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4" s="176">
        <f>SUM('PER BULAN'!BB113)</f>
        <v>0</v>
      </c>
      <c r="AW64" s="176">
        <f>SUM('PER BULAN'!BC113)</f>
        <v>1200000</v>
      </c>
      <c r="AX64" s="176">
        <f>SUM('PER BULAN'!BD113)</f>
        <v>0</v>
      </c>
      <c r="AY64" s="176">
        <f>SUM('PER BULAN'!BE113)</f>
        <v>0</v>
      </c>
      <c r="AZ64" s="176">
        <f>SUM('PER BULAN'!BF113)</f>
        <v>0</v>
      </c>
      <c r="BA64" s="176">
        <f>SUM('PER BULAN'!BG113)</f>
        <v>7854000</v>
      </c>
      <c r="BB64" s="176">
        <f>SUM('PER BULAN'!BH113)</f>
        <v>2488500</v>
      </c>
      <c r="BC64" s="176">
        <f>SUM('PER BULAN'!BI113)</f>
        <v>0</v>
      </c>
      <c r="BD64" s="176">
        <f>SUM('PER BULAN'!BJ113)</f>
        <v>975000</v>
      </c>
      <c r="BE64" s="176">
        <f>SUM('PER BULAN'!BK113)</f>
        <v>0</v>
      </c>
      <c r="BF64" s="176">
        <f>SUM('PER BULAN'!BL113)</f>
        <v>0</v>
      </c>
    </row>
    <row r="65" spans="1:58"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tr">
        <f>IF(LEFT(SP2D[[#This Row],[kdakun]],2)="51","Belanja Pegawai",IF(LEFT(SP2D[[#This Row],[kdakun]],2)="52","Belanja Barang",IF(LEFT(SP2D[[#This Row],[kdakun]],2)="53","Belanja Modal")))</f>
        <v>Belanja Barang</v>
      </c>
      <c r="AM65" s="162" t="s">
        <v>3775</v>
      </c>
      <c r="AN65" s="275">
        <f t="shared" si="0"/>
        <v>1191418</v>
      </c>
      <c r="AO65" s="175">
        <f t="shared" si="5"/>
        <v>99.951174496644285</v>
      </c>
      <c r="AP65" s="275">
        <f t="shared" si="2"/>
        <v>582</v>
      </c>
      <c r="AQ65" s="175">
        <f t="shared" si="6"/>
        <v>4.8825503355704701E-2</v>
      </c>
      <c r="AR65" s="162" t="str">
        <f t="shared" si="7"/>
        <v>WA.2378.EBA.962.301.G.521219</v>
      </c>
      <c r="AS65" s="162" t="str">
        <f>IF(ISNUMBER(SEARCH("COVID",SP2D[[#This Row],[Akun]])),"COVID","Non COVID")</f>
        <v>Non COVID</v>
      </c>
      <c r="AT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5" s="176">
        <f>SUM('PER BULAN'!BB114)</f>
        <v>0</v>
      </c>
      <c r="AW65" s="176">
        <f>SUM('PER BULAN'!BC114)</f>
        <v>236994</v>
      </c>
      <c r="AX65" s="176">
        <f>SUM('PER BULAN'!BD114)</f>
        <v>473213</v>
      </c>
      <c r="AY65" s="176">
        <f>SUM('PER BULAN'!BE114)</f>
        <v>0</v>
      </c>
      <c r="AZ65" s="176">
        <f>SUM('PER BULAN'!BF114)</f>
        <v>0</v>
      </c>
      <c r="BA65" s="176">
        <f>SUM('PER BULAN'!BG114)</f>
        <v>238833</v>
      </c>
      <c r="BB65" s="176">
        <f>SUM('PER BULAN'!BH114)</f>
        <v>242378</v>
      </c>
      <c r="BC65" s="176">
        <f>SUM('PER BULAN'!BI114)</f>
        <v>0</v>
      </c>
      <c r="BD65" s="176">
        <f>SUM('PER BULAN'!BJ114)</f>
        <v>0</v>
      </c>
      <c r="BE65" s="176">
        <f>SUM('PER BULAN'!BK114)</f>
        <v>0</v>
      </c>
      <c r="BF65" s="176">
        <f>SUM('PER BULAN'!BL114)</f>
        <v>0</v>
      </c>
    </row>
    <row r="66" spans="1:58"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tr">
        <f>IF(LEFT(SP2D[[#This Row],[kdakun]],2)="51","Belanja Pegawai",IF(LEFT(SP2D[[#This Row],[kdakun]],2)="52","Belanja Barang",IF(LEFT(SP2D[[#This Row],[kdakun]],2)="53","Belanja Modal")))</f>
        <v>Belanja Barang</v>
      </c>
      <c r="AM66" s="162" t="s">
        <v>3775</v>
      </c>
      <c r="AN66" s="275">
        <f t="shared" si="0"/>
        <v>6000000</v>
      </c>
      <c r="AO66" s="175">
        <f t="shared" si="5"/>
        <v>66.666666666666657</v>
      </c>
      <c r="AP66" s="275">
        <f t="shared" si="2"/>
        <v>3000000</v>
      </c>
      <c r="AQ66" s="175">
        <f t="shared" si="6"/>
        <v>33.333333333333329</v>
      </c>
      <c r="AR66" s="162" t="str">
        <f t="shared" si="7"/>
        <v>WA.2378.EBA.962.301.G.522151</v>
      </c>
      <c r="AS66" s="162" t="str">
        <f>IF(ISNUMBER(SEARCH("COVID",SP2D[[#This Row],[Akun]])),"COVID","Non COVID")</f>
        <v>Non COVID</v>
      </c>
      <c r="AT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6" s="176">
        <f>SUM('PER BULAN'!BB116)</f>
        <v>0</v>
      </c>
      <c r="AW66" s="176">
        <f>SUM('PER BULAN'!BC116)</f>
        <v>1800000</v>
      </c>
      <c r="AX66" s="176">
        <f>SUM('PER BULAN'!BD116)</f>
        <v>0</v>
      </c>
      <c r="AY66" s="176">
        <f>SUM('PER BULAN'!BE116)</f>
        <v>0</v>
      </c>
      <c r="AZ66" s="176">
        <f>SUM('PER BULAN'!BF116)</f>
        <v>0</v>
      </c>
      <c r="BA66" s="176">
        <f>SUM('PER BULAN'!BG116)</f>
        <v>0</v>
      </c>
      <c r="BB66" s="176">
        <f>SUM('PER BULAN'!BH116)</f>
        <v>2000000</v>
      </c>
      <c r="BC66" s="176">
        <f>SUM('PER BULAN'!BI116)</f>
        <v>0</v>
      </c>
      <c r="BD66" s="176">
        <f>SUM('PER BULAN'!BJ116)</f>
        <v>1200000</v>
      </c>
      <c r="BE66" s="176">
        <f>SUM('PER BULAN'!BK116)</f>
        <v>0</v>
      </c>
      <c r="BF66" s="176">
        <f>SUM('PER BULAN'!BL116)</f>
        <v>0</v>
      </c>
    </row>
    <row r="67" spans="1:58"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tr">
        <f>IF(LEFT(SP2D[[#This Row],[kdakun]],2)="51","Belanja Pegawai",IF(LEFT(SP2D[[#This Row],[kdakun]],2)="52","Belanja Barang",IF(LEFT(SP2D[[#This Row],[kdakun]],2)="53","Belanja Modal")))</f>
        <v>Belanja Barang</v>
      </c>
      <c r="AM67" s="162" t="s">
        <v>3775</v>
      </c>
      <c r="AN67" s="275">
        <f t="shared" si="0"/>
        <v>60763672</v>
      </c>
      <c r="AO67" s="175">
        <f t="shared" si="5"/>
        <v>99.999460206701343</v>
      </c>
      <c r="AP67" s="275">
        <f t="shared" si="2"/>
        <v>328</v>
      </c>
      <c r="AQ67" s="175">
        <f t="shared" si="6"/>
        <v>5.3979329866368244E-4</v>
      </c>
      <c r="AR67" s="162" t="str">
        <f t="shared" si="7"/>
        <v>WA.2378.EBA.962.301.G.524111</v>
      </c>
      <c r="AS67" s="162" t="str">
        <f>IF(ISNUMBER(SEARCH("COVID",SP2D[[#This Row],[Akun]])),"COVID","Non COVID")</f>
        <v>Non COVID</v>
      </c>
      <c r="AT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7" s="176">
        <f>SUM('PER BULAN'!BB117)</f>
        <v>0</v>
      </c>
      <c r="AW67" s="176">
        <f>SUM('PER BULAN'!BC117)</f>
        <v>0</v>
      </c>
      <c r="AX67" s="176">
        <f>SUM('PER BULAN'!BD117)</f>
        <v>2700000</v>
      </c>
      <c r="AY67" s="176">
        <f>SUM('PER BULAN'!BE117)</f>
        <v>0</v>
      </c>
      <c r="AZ67" s="176">
        <f>SUM('PER BULAN'!BF117)</f>
        <v>0</v>
      </c>
      <c r="BA67" s="176">
        <f>SUM('PER BULAN'!BG117)</f>
        <v>0</v>
      </c>
      <c r="BB67" s="176">
        <f>SUM('PER BULAN'!BH117)</f>
        <v>8114345</v>
      </c>
      <c r="BC67" s="176">
        <f>SUM('PER BULAN'!BI117)</f>
        <v>0</v>
      </c>
      <c r="BD67" s="176">
        <f>SUM('PER BULAN'!BJ117)</f>
        <v>0</v>
      </c>
      <c r="BE67" s="176">
        <f>SUM('PER BULAN'!BK117)</f>
        <v>0</v>
      </c>
      <c r="BF67" s="176">
        <f>SUM('PER BULAN'!BL117)</f>
        <v>0</v>
      </c>
    </row>
    <row r="68" spans="1:58"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tr">
        <f>IF(LEFT(SP2D[[#This Row],[kdakun]],2)="51","Belanja Pegawai",IF(LEFT(SP2D[[#This Row],[kdakun]],2)="52","Belanja Barang",IF(LEFT(SP2D[[#This Row],[kdakun]],2)="53","Belanja Modal")))</f>
        <v>Belanja Barang</v>
      </c>
      <c r="AM68" s="162" t="s">
        <v>3775</v>
      </c>
      <c r="AN68" s="275">
        <f t="shared" ref="AN68:AN131" si="8">SUM(V68:AG68)</f>
        <v>0</v>
      </c>
      <c r="AO68" s="175">
        <f t="shared" ref="AO68:AO99" si="9">IFERROR(AN68/Q68*100,0)</f>
        <v>0</v>
      </c>
      <c r="AP68" s="275">
        <f t="shared" ref="AP68:AP131" si="10">Q68-AN68</f>
        <v>118575000</v>
      </c>
      <c r="AQ68" s="175">
        <f t="shared" ref="AQ68:AQ99" si="11">IFERROR(AP68/Q68*100,0)</f>
        <v>100</v>
      </c>
      <c r="AR68" s="162" t="str">
        <f t="shared" ref="AR68:AR99" si="12">_xlfn.TEXTJOIN(".",TRUE,C68,E68,G68,I68,K68,M68,O68)</f>
        <v>WA.2378.EBA.962.301.H.521211</v>
      </c>
      <c r="AS68" s="162" t="str">
        <f>IF(ISNUMBER(SEARCH("COVID",SP2D[[#This Row],[Akun]])),"COVID","Non COVID")</f>
        <v>Non COVID</v>
      </c>
      <c r="AT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8" s="176">
        <f>SUM('PER BULAN'!BB119)</f>
        <v>0</v>
      </c>
      <c r="AW68" s="176">
        <f>SUM('PER BULAN'!BC119)</f>
        <v>0</v>
      </c>
      <c r="AX68" s="176">
        <f>SUM('PER BULAN'!BD119)</f>
        <v>0</v>
      </c>
      <c r="AY68" s="176">
        <f>SUM('PER BULAN'!BE119)</f>
        <v>0</v>
      </c>
      <c r="AZ68" s="176">
        <f>SUM('PER BULAN'!BF119)</f>
        <v>0</v>
      </c>
      <c r="BA68" s="176">
        <f>SUM('PER BULAN'!BG119)</f>
        <v>0</v>
      </c>
      <c r="BB68" s="176">
        <f>SUM('PER BULAN'!BH119)</f>
        <v>0</v>
      </c>
      <c r="BC68" s="176">
        <f>SUM('PER BULAN'!BI119)</f>
        <v>0</v>
      </c>
      <c r="BD68" s="176">
        <f>SUM('PER BULAN'!BJ119)</f>
        <v>0</v>
      </c>
      <c r="BE68" s="176">
        <f>SUM('PER BULAN'!BK119)</f>
        <v>0</v>
      </c>
      <c r="BF68" s="176">
        <f>SUM('PER BULAN'!BL119)</f>
        <v>0</v>
      </c>
    </row>
    <row r="69" spans="1:58"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tr">
        <f>IF(LEFT(SP2D[[#This Row],[kdakun]],2)="51","Belanja Pegawai",IF(LEFT(SP2D[[#This Row],[kdakun]],2)="52","Belanja Barang",IF(LEFT(SP2D[[#This Row],[kdakun]],2)="53","Belanja Modal")))</f>
        <v>Belanja Barang</v>
      </c>
      <c r="AM69" s="162" t="s">
        <v>3775</v>
      </c>
      <c r="AN69" s="275">
        <f t="shared" si="8"/>
        <v>0</v>
      </c>
      <c r="AO69" s="175">
        <f t="shared" si="9"/>
        <v>0</v>
      </c>
      <c r="AP69" s="275">
        <f t="shared" si="10"/>
        <v>393200000</v>
      </c>
      <c r="AQ69" s="175">
        <f t="shared" si="11"/>
        <v>100</v>
      </c>
      <c r="AR69" s="162" t="str">
        <f t="shared" si="12"/>
        <v>WA.2378.EBA.962.301.H.521219</v>
      </c>
      <c r="AS69" s="162" t="str">
        <f>IF(ISNUMBER(SEARCH("COVID",SP2D[[#This Row],[Akun]])),"COVID","Non COVID")</f>
        <v>Non COVID</v>
      </c>
      <c r="AT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9" s="176">
        <f>SUM('PER BULAN'!BB120)</f>
        <v>0</v>
      </c>
      <c r="AW69" s="176">
        <f>SUM('PER BULAN'!BC120)</f>
        <v>0</v>
      </c>
      <c r="AX69" s="176">
        <f>SUM('PER BULAN'!BD120)</f>
        <v>0</v>
      </c>
      <c r="AY69" s="176">
        <f>SUM('PER BULAN'!BE120)</f>
        <v>0</v>
      </c>
      <c r="AZ69" s="176">
        <f>SUM('PER BULAN'!BF120)</f>
        <v>0</v>
      </c>
      <c r="BA69" s="176">
        <f>SUM('PER BULAN'!BG120)</f>
        <v>0</v>
      </c>
      <c r="BB69" s="176">
        <f>SUM('PER BULAN'!BH120)</f>
        <v>0</v>
      </c>
      <c r="BC69" s="176">
        <f>SUM('PER BULAN'!BI120)</f>
        <v>0</v>
      </c>
      <c r="BD69" s="176">
        <f>SUM('PER BULAN'!BJ120)</f>
        <v>0</v>
      </c>
      <c r="BE69" s="176">
        <f>SUM('PER BULAN'!BK120)</f>
        <v>0</v>
      </c>
      <c r="BF69" s="176">
        <f>SUM('PER BULAN'!BL120)</f>
        <v>0</v>
      </c>
    </row>
    <row r="70" spans="1:58"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tr">
        <f>IF(LEFT(SP2D[[#This Row],[kdakun]],2)="51","Belanja Pegawai",IF(LEFT(SP2D[[#This Row],[kdakun]],2)="52","Belanja Barang",IF(LEFT(SP2D[[#This Row],[kdakun]],2)="53","Belanja Modal")))</f>
        <v>Belanja Barang</v>
      </c>
      <c r="AM70" s="162" t="s">
        <v>3775</v>
      </c>
      <c r="AN70" s="275">
        <f t="shared" si="8"/>
        <v>0</v>
      </c>
      <c r="AO70" s="175">
        <f t="shared" si="9"/>
        <v>0</v>
      </c>
      <c r="AP70" s="275">
        <f t="shared" si="10"/>
        <v>120000000</v>
      </c>
      <c r="AQ70" s="175">
        <f t="shared" si="11"/>
        <v>100</v>
      </c>
      <c r="AR70" s="162" t="str">
        <f t="shared" si="12"/>
        <v>WA.2378.EBA.962.301.H.522141</v>
      </c>
      <c r="AS70" s="162" t="str">
        <f>IF(ISNUMBER(SEARCH("COVID",SP2D[[#This Row],[Akun]])),"COVID","Non COVID")</f>
        <v>Non COVID</v>
      </c>
      <c r="AT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0" s="176">
        <f>SUM('PER BULAN'!BB121)</f>
        <v>0</v>
      </c>
      <c r="AW70" s="176">
        <f>SUM('PER BULAN'!BC121)</f>
        <v>0</v>
      </c>
      <c r="AX70" s="176">
        <f>SUM('PER BULAN'!BD121)</f>
        <v>0</v>
      </c>
      <c r="AY70" s="176">
        <f>SUM('PER BULAN'!BE121)</f>
        <v>0</v>
      </c>
      <c r="AZ70" s="176">
        <f>SUM('PER BULAN'!BF121)</f>
        <v>0</v>
      </c>
      <c r="BA70" s="176">
        <f>SUM('PER BULAN'!BG121)</f>
        <v>0</v>
      </c>
      <c r="BB70" s="176">
        <f>SUM('PER BULAN'!BH121)</f>
        <v>0</v>
      </c>
      <c r="BC70" s="176">
        <f>SUM('PER BULAN'!BI121)</f>
        <v>0</v>
      </c>
      <c r="BD70" s="176">
        <f>SUM('PER BULAN'!BJ121)</f>
        <v>0</v>
      </c>
      <c r="BE70" s="176">
        <f>SUM('PER BULAN'!BK121)</f>
        <v>0</v>
      </c>
      <c r="BF70" s="176">
        <f>SUM('PER BULAN'!BL121)</f>
        <v>0</v>
      </c>
    </row>
    <row r="71" spans="1:58"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tr">
        <f>IF(LEFT(SP2D[[#This Row],[kdakun]],2)="51","Belanja Pegawai",IF(LEFT(SP2D[[#This Row],[kdakun]],2)="52","Belanja Barang",IF(LEFT(SP2D[[#This Row],[kdakun]],2)="53","Belanja Modal")))</f>
        <v>Belanja Barang</v>
      </c>
      <c r="AM71" s="162" t="s">
        <v>3775</v>
      </c>
      <c r="AN71" s="275">
        <f t="shared" si="8"/>
        <v>0</v>
      </c>
      <c r="AO71" s="175">
        <f t="shared" si="9"/>
        <v>0</v>
      </c>
      <c r="AP71" s="275">
        <f t="shared" si="10"/>
        <v>7962000</v>
      </c>
      <c r="AQ71" s="175">
        <f t="shared" si="11"/>
        <v>100</v>
      </c>
      <c r="AR71" s="162" t="str">
        <f t="shared" si="12"/>
        <v>WA.2378.EBA.962.301.H.524111</v>
      </c>
      <c r="AS71" s="162" t="str">
        <f>IF(ISNUMBER(SEARCH("COVID",SP2D[[#This Row],[Akun]])),"COVID","Non COVID")</f>
        <v>Non COVID</v>
      </c>
      <c r="AT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1" s="176">
        <f>SUM('PER BULAN'!BB122)</f>
        <v>0</v>
      </c>
      <c r="AW71" s="176">
        <f>SUM('PER BULAN'!BC122)</f>
        <v>0</v>
      </c>
      <c r="AX71" s="176">
        <f>SUM('PER BULAN'!BD122)</f>
        <v>0</v>
      </c>
      <c r="AY71" s="176">
        <f>SUM('PER BULAN'!BE122)</f>
        <v>0</v>
      </c>
      <c r="AZ71" s="176">
        <f>SUM('PER BULAN'!BF122)</f>
        <v>0</v>
      </c>
      <c r="BA71" s="176">
        <f>SUM('PER BULAN'!BG122)</f>
        <v>0</v>
      </c>
      <c r="BB71" s="176">
        <f>SUM('PER BULAN'!BH122)</f>
        <v>0</v>
      </c>
      <c r="BC71" s="176">
        <f>SUM('PER BULAN'!BI122)</f>
        <v>0</v>
      </c>
      <c r="BD71" s="176">
        <f>SUM('PER BULAN'!BJ122)</f>
        <v>0</v>
      </c>
      <c r="BE71" s="176">
        <f>SUM('PER BULAN'!BK122)</f>
        <v>0</v>
      </c>
      <c r="BF71" s="176">
        <f>SUM('PER BULAN'!BL122)</f>
        <v>0</v>
      </c>
    </row>
    <row r="72" spans="1:58"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tr">
        <f>IF(LEFT(SP2D[[#This Row],[kdakun]],2)="51","Belanja Pegawai",IF(LEFT(SP2D[[#This Row],[kdakun]],2)="52","Belanja Barang",IF(LEFT(SP2D[[#This Row],[kdakun]],2)="53","Belanja Modal")))</f>
        <v>Belanja Barang</v>
      </c>
      <c r="AM72" s="162" t="s">
        <v>3775</v>
      </c>
      <c r="AN72" s="275">
        <f t="shared" si="8"/>
        <v>10269000</v>
      </c>
      <c r="AO72" s="175">
        <f t="shared" si="9"/>
        <v>58.512820512820518</v>
      </c>
      <c r="AP72" s="275">
        <f t="shared" si="10"/>
        <v>7281000</v>
      </c>
      <c r="AQ72" s="175">
        <f t="shared" si="11"/>
        <v>41.487179487179489</v>
      </c>
      <c r="AR72" s="162" t="str">
        <f t="shared" si="12"/>
        <v>WA.2378.EBA.962.301.I.521211</v>
      </c>
      <c r="AS72" s="162" t="str">
        <f>IF(ISNUMBER(SEARCH("COVID",SP2D[[#This Row],[Akun]])),"COVID","Non COVID")</f>
        <v>Non COVID</v>
      </c>
      <c r="AT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2" s="176">
        <f>SUM('PER BULAN'!BB124)</f>
        <v>0</v>
      </c>
      <c r="AW72" s="176">
        <f>SUM('PER BULAN'!BC124)</f>
        <v>2444000</v>
      </c>
      <c r="AX72" s="176">
        <f>SUM('PER BULAN'!BD124)</f>
        <v>0</v>
      </c>
      <c r="AY72" s="176">
        <f>SUM('PER BULAN'!BE124)</f>
        <v>0</v>
      </c>
      <c r="AZ72" s="176">
        <f>SUM('PER BULAN'!BF124)</f>
        <v>0</v>
      </c>
      <c r="BA72" s="176">
        <f>SUM('PER BULAN'!BG124)</f>
        <v>528000</v>
      </c>
      <c r="BB72" s="176">
        <f>SUM('PER BULAN'!BH124)</f>
        <v>6497000</v>
      </c>
      <c r="BC72" s="176">
        <f>SUM('PER BULAN'!BI124)</f>
        <v>0</v>
      </c>
      <c r="BD72" s="176">
        <f>SUM('PER BULAN'!BJ124)</f>
        <v>0</v>
      </c>
      <c r="BE72" s="176">
        <f>SUM('PER BULAN'!BK124)</f>
        <v>0</v>
      </c>
      <c r="BF72" s="176">
        <f>SUM('PER BULAN'!BL124)</f>
        <v>0</v>
      </c>
    </row>
    <row r="73" spans="1:58"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tr">
        <f>IF(LEFT(SP2D[[#This Row],[kdakun]],2)="51","Belanja Pegawai",IF(LEFT(SP2D[[#This Row],[kdakun]],2)="52","Belanja Barang",IF(LEFT(SP2D[[#This Row],[kdakun]],2)="53","Belanja Modal")))</f>
        <v>Belanja Barang</v>
      </c>
      <c r="AM73" s="162" t="s">
        <v>3775</v>
      </c>
      <c r="AN73" s="275">
        <f t="shared" si="8"/>
        <v>620000</v>
      </c>
      <c r="AO73" s="175">
        <f t="shared" si="9"/>
        <v>2.2422335539401832</v>
      </c>
      <c r="AP73" s="275">
        <f t="shared" si="10"/>
        <v>27031000</v>
      </c>
      <c r="AQ73" s="175">
        <f t="shared" si="11"/>
        <v>97.757766446059819</v>
      </c>
      <c r="AR73" s="162" t="str">
        <f t="shared" si="12"/>
        <v>WA.2378.EBA.962.301.I.521219</v>
      </c>
      <c r="AS73" s="162" t="str">
        <f>IF(ISNUMBER(SEARCH("COVID",SP2D[[#This Row],[Akun]])),"COVID","Non COVID")</f>
        <v>Non COVID</v>
      </c>
      <c r="AT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3" s="176">
        <f>SUM('PER BULAN'!BB125)</f>
        <v>0</v>
      </c>
      <c r="AW73" s="176">
        <f>SUM('PER BULAN'!BC125)</f>
        <v>250000</v>
      </c>
      <c r="AX73" s="176">
        <f>SUM('PER BULAN'!BD125)</f>
        <v>120000</v>
      </c>
      <c r="AY73" s="176">
        <f>SUM('PER BULAN'!BE125)</f>
        <v>0</v>
      </c>
      <c r="AZ73" s="176">
        <f>SUM('PER BULAN'!BF125)</f>
        <v>0</v>
      </c>
      <c r="BA73" s="176">
        <f>SUM('PER BULAN'!BG125)</f>
        <v>0</v>
      </c>
      <c r="BB73" s="176">
        <f>SUM('PER BULAN'!BH125)</f>
        <v>250000</v>
      </c>
      <c r="BC73" s="176">
        <f>SUM('PER BULAN'!BI125)</f>
        <v>0</v>
      </c>
      <c r="BD73" s="176">
        <f>SUM('PER BULAN'!BJ125)</f>
        <v>0</v>
      </c>
      <c r="BE73" s="176">
        <f>SUM('PER BULAN'!BK125)</f>
        <v>0</v>
      </c>
      <c r="BF73" s="176">
        <f>SUM('PER BULAN'!BL125)</f>
        <v>0</v>
      </c>
    </row>
    <row r="74" spans="1:58"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tr">
        <f>IF(LEFT(SP2D[[#This Row],[kdakun]],2)="51","Belanja Pegawai",IF(LEFT(SP2D[[#This Row],[kdakun]],2)="52","Belanja Barang",IF(LEFT(SP2D[[#This Row],[kdakun]],2)="53","Belanja Modal")))</f>
        <v>Belanja Barang</v>
      </c>
      <c r="AM74" s="162" t="s">
        <v>3775</v>
      </c>
      <c r="AN74" s="275">
        <f t="shared" si="8"/>
        <v>40000000</v>
      </c>
      <c r="AO74" s="175">
        <f t="shared" si="9"/>
        <v>100</v>
      </c>
      <c r="AP74" s="275">
        <f t="shared" si="10"/>
        <v>0</v>
      </c>
      <c r="AQ74" s="175">
        <f t="shared" si="11"/>
        <v>0</v>
      </c>
      <c r="AR74" s="162" t="str">
        <f t="shared" si="12"/>
        <v>WA.2378.EBA.962.301.I.522151</v>
      </c>
      <c r="AS74" s="162" t="str">
        <f>IF(ISNUMBER(SEARCH("COVID",SP2D[[#This Row],[Akun]])),"COVID","Non COVID")</f>
        <v>Non COVID</v>
      </c>
      <c r="AT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4" s="176">
        <f>SUM('PER BULAN'!BB126)</f>
        <v>0</v>
      </c>
      <c r="AW74" s="176">
        <f>SUM('PER BULAN'!BC126)</f>
        <v>0</v>
      </c>
      <c r="AX74" s="176">
        <f>SUM('PER BULAN'!BD126)</f>
        <v>0</v>
      </c>
      <c r="AY74" s="176">
        <f>SUM('PER BULAN'!BE126)</f>
        <v>0</v>
      </c>
      <c r="AZ74" s="176">
        <f>SUM('PER BULAN'!BF126)</f>
        <v>0</v>
      </c>
      <c r="BA74" s="176">
        <f>SUM('PER BULAN'!BG126)</f>
        <v>0</v>
      </c>
      <c r="BB74" s="176">
        <f>SUM('PER BULAN'!BH126)</f>
        <v>14000000</v>
      </c>
      <c r="BC74" s="176">
        <f>SUM('PER BULAN'!BI126)</f>
        <v>0</v>
      </c>
      <c r="BD74" s="176">
        <f>SUM('PER BULAN'!BJ126)</f>
        <v>0</v>
      </c>
      <c r="BE74" s="176">
        <f>SUM('PER BULAN'!BK126)</f>
        <v>0</v>
      </c>
      <c r="BF74" s="176">
        <f>SUM('PER BULAN'!BL126)</f>
        <v>0</v>
      </c>
    </row>
    <row r="75" spans="1:58"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tr">
        <f>IF(LEFT(SP2D[[#This Row],[kdakun]],2)="51","Belanja Pegawai",IF(LEFT(SP2D[[#This Row],[kdakun]],2)="52","Belanja Barang",IF(LEFT(SP2D[[#This Row],[kdakun]],2)="53","Belanja Modal")))</f>
        <v>Belanja Barang</v>
      </c>
      <c r="AM75" s="162" t="s">
        <v>3775</v>
      </c>
      <c r="AN75" s="275">
        <f t="shared" si="8"/>
        <v>25062000</v>
      </c>
      <c r="AO75" s="175">
        <f t="shared" si="9"/>
        <v>100</v>
      </c>
      <c r="AP75" s="275">
        <f t="shared" si="10"/>
        <v>0</v>
      </c>
      <c r="AQ75" s="175">
        <f t="shared" si="11"/>
        <v>0</v>
      </c>
      <c r="AR75" s="162" t="str">
        <f t="shared" si="12"/>
        <v>WA.2378.EBA.962.301.I.524111</v>
      </c>
      <c r="AS75" s="162" t="str">
        <f>IF(ISNUMBER(SEARCH("COVID",SP2D[[#This Row],[Akun]])),"COVID","Non COVID")</f>
        <v>Non COVID</v>
      </c>
      <c r="AT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5" s="176">
        <f>SUM('PER BULAN'!BB127)</f>
        <v>0</v>
      </c>
      <c r="AW75" s="176">
        <f>SUM('PER BULAN'!BC127)</f>
        <v>15982000</v>
      </c>
      <c r="AX75" s="176">
        <f>SUM('PER BULAN'!BD127)</f>
        <v>9080000</v>
      </c>
      <c r="AY75" s="176">
        <f>SUM('PER BULAN'!BE127)</f>
        <v>0</v>
      </c>
      <c r="AZ75" s="176">
        <f>SUM('PER BULAN'!BF127)</f>
        <v>0</v>
      </c>
      <c r="BA75" s="176">
        <f>SUM('PER BULAN'!BG127)</f>
        <v>0</v>
      </c>
      <c r="BB75" s="176">
        <f>SUM('PER BULAN'!BH127)</f>
        <v>0</v>
      </c>
      <c r="BC75" s="176">
        <f>SUM('PER BULAN'!BI127)</f>
        <v>0</v>
      </c>
      <c r="BD75" s="176">
        <f>SUM('PER BULAN'!BJ127)</f>
        <v>0</v>
      </c>
      <c r="BE75" s="176">
        <f>SUM('PER BULAN'!BK127)</f>
        <v>0</v>
      </c>
      <c r="BF75" s="176">
        <f>SUM('PER BULAN'!BL127)</f>
        <v>0</v>
      </c>
    </row>
    <row r="76" spans="1:58"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63640000</v>
      </c>
      <c r="AE76" s="176">
        <f>SUM('PER BULAN'!AK131:AM131)</f>
        <v>0</v>
      </c>
      <c r="AF76" s="176">
        <f>SUM('PER BULAN'!AN131:AP131)</f>
        <v>0</v>
      </c>
      <c r="AG76" s="176">
        <f>SUM('PER BULAN'!AQ131:AS131)</f>
        <v>0</v>
      </c>
      <c r="AH76" s="162" t="s">
        <v>523</v>
      </c>
      <c r="AI76" s="162" t="s">
        <v>565</v>
      </c>
      <c r="AJ76" s="162" t="s">
        <v>549</v>
      </c>
      <c r="AK76" s="162" t="s">
        <v>3774</v>
      </c>
      <c r="AL76" s="162" t="str">
        <f>IF(LEFT(SP2D[[#This Row],[kdakun]],2)="51","Belanja Pegawai",IF(LEFT(SP2D[[#This Row],[kdakun]],2)="52","Belanja Barang",IF(LEFT(SP2D[[#This Row],[kdakun]],2)="53","Belanja Modal")))</f>
        <v>Belanja Barang</v>
      </c>
      <c r="AM76" s="162" t="s">
        <v>3775</v>
      </c>
      <c r="AN76" s="275">
        <f t="shared" si="8"/>
        <v>643043906</v>
      </c>
      <c r="AO76" s="175">
        <f t="shared" si="9"/>
        <v>59.750228206128867</v>
      </c>
      <c r="AP76" s="275">
        <f t="shared" si="10"/>
        <v>433176094</v>
      </c>
      <c r="AQ76" s="175">
        <f t="shared" si="11"/>
        <v>40.24977179387114</v>
      </c>
      <c r="AR76" s="162" t="str">
        <f t="shared" si="12"/>
        <v>WA.2378.EBA.994.002.GA.521111</v>
      </c>
      <c r="AS76" s="162" t="str">
        <f>IF(ISNUMBER(SEARCH("COVID",SP2D[[#This Row],[Akun]])),"COVID","Non COVID")</f>
        <v>Non COVID</v>
      </c>
      <c r="AT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6" s="176">
        <f>SUM('PER BULAN'!BB131)</f>
        <v>2178865</v>
      </c>
      <c r="AW76" s="176">
        <f>SUM('PER BULAN'!BC131)</f>
        <v>8107900</v>
      </c>
      <c r="AX76" s="176">
        <f>SUM('PER BULAN'!BD131)</f>
        <v>6849722</v>
      </c>
      <c r="AY76" s="176">
        <f>SUM('PER BULAN'!BE131)</f>
        <v>8235096</v>
      </c>
      <c r="AZ76" s="176">
        <f>SUM('PER BULAN'!BF131)</f>
        <v>8616711</v>
      </c>
      <c r="BA76" s="176">
        <f>SUM('PER BULAN'!BG131)</f>
        <v>7229857</v>
      </c>
      <c r="BB76" s="176">
        <f>SUM('PER BULAN'!BH131)</f>
        <v>0</v>
      </c>
      <c r="BC76" s="176">
        <f>SUM('PER BULAN'!BI131)</f>
        <v>0</v>
      </c>
      <c r="BD76" s="176">
        <f>SUM('PER BULAN'!BJ131)</f>
        <v>11688602</v>
      </c>
      <c r="BE76" s="176">
        <f>SUM('PER BULAN'!BK131)</f>
        <v>13582251</v>
      </c>
      <c r="BF76" s="176">
        <f>SUM('PER BULAN'!BL131)</f>
        <v>0</v>
      </c>
    </row>
    <row r="77" spans="1:58"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tr">
        <f>IF(LEFT(SP2D[[#This Row],[kdakun]],2)="51","Belanja Pegawai",IF(LEFT(SP2D[[#This Row],[kdakun]],2)="52","Belanja Barang",IF(LEFT(SP2D[[#This Row],[kdakun]],2)="53","Belanja Modal")))</f>
        <v>Belanja Barang</v>
      </c>
      <c r="AM77" s="162" t="s">
        <v>3775</v>
      </c>
      <c r="AN77" s="275">
        <f t="shared" si="8"/>
        <v>69183000</v>
      </c>
      <c r="AO77" s="175">
        <f t="shared" si="9"/>
        <v>38.831948810058378</v>
      </c>
      <c r="AP77" s="275">
        <f t="shared" si="10"/>
        <v>108977000</v>
      </c>
      <c r="AQ77" s="175">
        <f t="shared" si="11"/>
        <v>61.168051189941629</v>
      </c>
      <c r="AR77" s="162" t="str">
        <f t="shared" si="12"/>
        <v>WA.2378.EBA.994.002.GA.521811</v>
      </c>
      <c r="AS77" s="162" t="str">
        <f>IF(ISNUMBER(SEARCH("COVID",SP2D[[#This Row],[Akun]])),"COVID","Non COVID")</f>
        <v>Non COVID</v>
      </c>
      <c r="AT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7" s="176">
        <f>SUM('PER BULAN'!BB132)</f>
        <v>13175000</v>
      </c>
      <c r="AW77" s="176">
        <f>SUM('PER BULAN'!BC132)</f>
        <v>19299000</v>
      </c>
      <c r="AX77" s="176">
        <f>SUM('PER BULAN'!BD132)</f>
        <v>0</v>
      </c>
      <c r="AY77" s="176">
        <f>SUM('PER BULAN'!BE132)</f>
        <v>8952000</v>
      </c>
      <c r="AZ77" s="176">
        <f>SUM('PER BULAN'!BF132)</f>
        <v>1680000</v>
      </c>
      <c r="BA77" s="176">
        <f>SUM('PER BULAN'!BG132)</f>
        <v>21602000</v>
      </c>
      <c r="BB77" s="176">
        <f>SUM('PER BULAN'!BH132)</f>
        <v>0</v>
      </c>
      <c r="BC77" s="176">
        <f>SUM('PER BULAN'!BI132)</f>
        <v>0</v>
      </c>
      <c r="BD77" s="176">
        <f>SUM('PER BULAN'!BJ132)</f>
        <v>0</v>
      </c>
      <c r="BE77" s="176">
        <f>SUM('PER BULAN'!BK132)</f>
        <v>4475000</v>
      </c>
      <c r="BF77" s="176">
        <f>SUM('PER BULAN'!BL132)</f>
        <v>0</v>
      </c>
    </row>
    <row r="78" spans="1:58"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tr">
        <f>IF(LEFT(SP2D[[#This Row],[kdakun]],2)="51","Belanja Pegawai",IF(LEFT(SP2D[[#This Row],[kdakun]],2)="52","Belanja Barang",IF(LEFT(SP2D[[#This Row],[kdakun]],2)="53","Belanja Modal")))</f>
        <v>Belanja Barang</v>
      </c>
      <c r="AM78" s="162" t="s">
        <v>3775</v>
      </c>
      <c r="AN78" s="275">
        <f t="shared" si="8"/>
        <v>2777050</v>
      </c>
      <c r="AO78" s="175">
        <f t="shared" si="9"/>
        <v>9.2568333333333328</v>
      </c>
      <c r="AP78" s="275">
        <f t="shared" si="10"/>
        <v>27222950</v>
      </c>
      <c r="AQ78" s="175">
        <f t="shared" si="11"/>
        <v>90.743166666666667</v>
      </c>
      <c r="AR78" s="162" t="str">
        <f t="shared" si="12"/>
        <v>WA.2378.EBA.994.002.GB.521114</v>
      </c>
      <c r="AS78" s="162" t="str">
        <f>IF(ISNUMBER(SEARCH("COVID",SP2D[[#This Row],[Akun]])),"COVID","Non COVID")</f>
        <v>Non COVID</v>
      </c>
      <c r="AT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U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8" s="176">
        <f>SUM('PER BULAN'!BB134)</f>
        <v>295050</v>
      </c>
      <c r="AW78" s="176">
        <f>SUM('PER BULAN'!BC134)</f>
        <v>0</v>
      </c>
      <c r="AX78" s="176">
        <f>SUM('PER BULAN'!BD134)</f>
        <v>59000</v>
      </c>
      <c r="AY78" s="176">
        <f>SUM('PER BULAN'!BE134)</f>
        <v>603000</v>
      </c>
      <c r="AZ78" s="176">
        <f>SUM('PER BULAN'!BF134)</f>
        <v>276000</v>
      </c>
      <c r="BA78" s="176">
        <f>SUM('PER BULAN'!BG134)</f>
        <v>1053000</v>
      </c>
      <c r="BB78" s="176">
        <f>SUM('PER BULAN'!BH134)</f>
        <v>0</v>
      </c>
      <c r="BC78" s="176">
        <f>SUM('PER BULAN'!BI134)</f>
        <v>0</v>
      </c>
      <c r="BD78" s="176">
        <f>SUM('PER BULAN'!BJ134)</f>
        <v>155000</v>
      </c>
      <c r="BE78" s="176">
        <f>SUM('PER BULAN'!BK134)</f>
        <v>86000</v>
      </c>
      <c r="BF78" s="176">
        <f>SUM('PER BULAN'!BL134)</f>
        <v>0</v>
      </c>
    </row>
    <row r="79" spans="1:58"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tr">
        <f>IF(LEFT(SP2D[[#This Row],[kdakun]],2)="51","Belanja Pegawai",IF(LEFT(SP2D[[#This Row],[kdakun]],2)="52","Belanja Barang",IF(LEFT(SP2D[[#This Row],[kdakun]],2)="53","Belanja Modal")))</f>
        <v>Belanja Barang</v>
      </c>
      <c r="AM79" s="162" t="s">
        <v>3775</v>
      </c>
      <c r="AN79" s="275">
        <f t="shared" si="8"/>
        <v>79700000</v>
      </c>
      <c r="AO79" s="175">
        <f t="shared" si="9"/>
        <v>67.058190017837319</v>
      </c>
      <c r="AP79" s="275">
        <f t="shared" si="10"/>
        <v>39152000</v>
      </c>
      <c r="AQ79" s="175">
        <f t="shared" si="11"/>
        <v>32.941809982162688</v>
      </c>
      <c r="AR79" s="162" t="str">
        <f t="shared" si="12"/>
        <v>WA.2378.EBA.994.002.GB.522141</v>
      </c>
      <c r="AS79" s="162" t="str">
        <f>IF(ISNUMBER(SEARCH("COVID",SP2D[[#This Row],[Akun]])),"COVID","Non COVID")</f>
        <v>Non COVID</v>
      </c>
      <c r="AT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9" s="176">
        <f>SUM('PER BULAN'!BB135)</f>
        <v>0</v>
      </c>
      <c r="AW79" s="176">
        <f>SUM('PER BULAN'!BC135)</f>
        <v>4950000</v>
      </c>
      <c r="AX79" s="176">
        <f>SUM('PER BULAN'!BD135)</f>
        <v>0</v>
      </c>
      <c r="AY79" s="176">
        <f>SUM('PER BULAN'!BE135)</f>
        <v>9900000</v>
      </c>
      <c r="AZ79" s="176">
        <f>SUM('PER BULAN'!BF135)</f>
        <v>0</v>
      </c>
      <c r="BA79" s="176">
        <f>SUM('PER BULAN'!BG135)</f>
        <v>4950000</v>
      </c>
      <c r="BB79" s="176">
        <f>SUM('PER BULAN'!BH135)</f>
        <v>0</v>
      </c>
      <c r="BC79" s="176">
        <f>SUM('PER BULAN'!BI135)</f>
        <v>0</v>
      </c>
      <c r="BD79" s="176">
        <f>SUM('PER BULAN'!BJ135)</f>
        <v>50000000</v>
      </c>
      <c r="BE79" s="176">
        <f>SUM('PER BULAN'!BK135)</f>
        <v>9900000</v>
      </c>
      <c r="BF79" s="176">
        <f>SUM('PER BULAN'!BL135)</f>
        <v>0</v>
      </c>
    </row>
    <row r="80" spans="1:58"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tr">
        <f>IF(LEFT(SP2D[[#This Row],[kdakun]],2)="51","Belanja Pegawai",IF(LEFT(SP2D[[#This Row],[kdakun]],2)="52","Belanja Barang",IF(LEFT(SP2D[[#This Row],[kdakun]],2)="53","Belanja Modal")))</f>
        <v>Belanja Barang</v>
      </c>
      <c r="AM80" s="162" t="s">
        <v>3775</v>
      </c>
      <c r="AN80" s="275">
        <f t="shared" si="8"/>
        <v>176897560</v>
      </c>
      <c r="AO80" s="175">
        <f t="shared" si="9"/>
        <v>35.589489990946582</v>
      </c>
      <c r="AP80" s="275">
        <f t="shared" si="10"/>
        <v>320152440</v>
      </c>
      <c r="AQ80" s="175">
        <f t="shared" si="11"/>
        <v>64.410510009053411</v>
      </c>
      <c r="AR80" s="162" t="str">
        <f t="shared" si="12"/>
        <v>WA.2378.EBA.994.002.GC.523121</v>
      </c>
      <c r="AS80" s="162" t="str">
        <f>IF(ISNUMBER(SEARCH("COVID",SP2D[[#This Row],[Akun]])),"COVID","Non COVID")</f>
        <v>Non COVID</v>
      </c>
      <c r="AT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0" s="176">
        <f>SUM('PER BULAN'!BB137)</f>
        <v>25004200</v>
      </c>
      <c r="AW80" s="176">
        <f>SUM('PER BULAN'!BC137)</f>
        <v>32727500</v>
      </c>
      <c r="AX80" s="176">
        <f>SUM('PER BULAN'!BD137)</f>
        <v>1859700</v>
      </c>
      <c r="AY80" s="176">
        <f>SUM('PER BULAN'!BE137)</f>
        <v>7448700</v>
      </c>
      <c r="AZ80" s="176">
        <f>SUM('PER BULAN'!BF137)</f>
        <v>6968000</v>
      </c>
      <c r="BA80" s="176">
        <f>SUM('PER BULAN'!BG137)</f>
        <v>11867340</v>
      </c>
      <c r="BB80" s="176">
        <f>SUM('PER BULAN'!BH137)</f>
        <v>0</v>
      </c>
      <c r="BC80" s="176">
        <f>SUM('PER BULAN'!BI137)</f>
        <v>0</v>
      </c>
      <c r="BD80" s="176">
        <f>SUM('PER BULAN'!BJ137)</f>
        <v>11143300</v>
      </c>
      <c r="BE80" s="176">
        <f>SUM('PER BULAN'!BK137)</f>
        <v>38886520</v>
      </c>
      <c r="BF80" s="176">
        <f>SUM('PER BULAN'!BL137)</f>
        <v>0</v>
      </c>
    </row>
    <row r="81" spans="1:58"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tr">
        <f>IF(LEFT(SP2D[[#This Row],[kdakun]],2)="51","Belanja Pegawai",IF(LEFT(SP2D[[#This Row],[kdakun]],2)="52","Belanja Barang",IF(LEFT(SP2D[[#This Row],[kdakun]],2)="53","Belanja Modal")))</f>
        <v>Belanja Barang</v>
      </c>
      <c r="AM81" s="162" t="s">
        <v>3775</v>
      </c>
      <c r="AN81" s="275">
        <f t="shared" si="8"/>
        <v>12000000</v>
      </c>
      <c r="AO81" s="175">
        <f t="shared" si="9"/>
        <v>33.333333333333329</v>
      </c>
      <c r="AP81" s="275">
        <f t="shared" si="10"/>
        <v>24000000</v>
      </c>
      <c r="AQ81" s="175">
        <f t="shared" si="11"/>
        <v>66.666666666666657</v>
      </c>
      <c r="AR81" s="162" t="str">
        <f t="shared" si="12"/>
        <v>WA.2378.EBA.994.002.GC.523199</v>
      </c>
      <c r="AS81" s="162" t="str">
        <f>IF(ISNUMBER(SEARCH("COVID",SP2D[[#This Row],[Akun]])),"COVID","Non COVID")</f>
        <v>Non COVID</v>
      </c>
      <c r="AT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1" s="176">
        <f>SUM('PER BULAN'!BB138)</f>
        <v>0</v>
      </c>
      <c r="AW81" s="176">
        <f>SUM('PER BULAN'!BC138)</f>
        <v>6000000</v>
      </c>
      <c r="AX81" s="176">
        <f>SUM('PER BULAN'!BD138)</f>
        <v>0</v>
      </c>
      <c r="AY81" s="176">
        <f>SUM('PER BULAN'!BE138)</f>
        <v>0</v>
      </c>
      <c r="AZ81" s="176">
        <f>SUM('PER BULAN'!BF138)</f>
        <v>3000000</v>
      </c>
      <c r="BA81" s="176">
        <f>SUM('PER BULAN'!BG138)</f>
        <v>0</v>
      </c>
      <c r="BB81" s="176">
        <f>SUM('PER BULAN'!BH138)</f>
        <v>0</v>
      </c>
      <c r="BC81" s="176">
        <f>SUM('PER BULAN'!BI138)</f>
        <v>0</v>
      </c>
      <c r="BD81" s="176">
        <f>SUM('PER BULAN'!BJ138)</f>
        <v>0</v>
      </c>
      <c r="BE81" s="176">
        <f>SUM('PER BULAN'!BK138)</f>
        <v>3000000</v>
      </c>
      <c r="BF81" s="176">
        <f>SUM('PER BULAN'!BL138)</f>
        <v>0</v>
      </c>
    </row>
    <row r="82" spans="1:58"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tr">
        <f>IF(LEFT(SP2D[[#This Row],[kdakun]],2)="51","Belanja Pegawai",IF(LEFT(SP2D[[#This Row],[kdakun]],2)="52","Belanja Barang",IF(LEFT(SP2D[[#This Row],[kdakun]],2)="53","Belanja Modal")))</f>
        <v>Belanja Barang</v>
      </c>
      <c r="AM82" s="162" t="s">
        <v>3775</v>
      </c>
      <c r="AN82" s="275">
        <f t="shared" si="8"/>
        <v>44410000</v>
      </c>
      <c r="AO82" s="175">
        <f t="shared" si="9"/>
        <v>43.963332541379586</v>
      </c>
      <c r="AP82" s="275">
        <f t="shared" si="10"/>
        <v>56606000</v>
      </c>
      <c r="AQ82" s="175">
        <f t="shared" si="11"/>
        <v>56.036667458620414</v>
      </c>
      <c r="AR82" s="162" t="str">
        <f t="shared" si="12"/>
        <v>WA.2378.EBA.994.002.GD.521111</v>
      </c>
      <c r="AS82" s="162" t="str">
        <f>IF(ISNUMBER(SEARCH("COVID",SP2D[[#This Row],[Akun]])),"COVID","Non COVID")</f>
        <v>Non COVID</v>
      </c>
      <c r="AT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2" s="176">
        <f>SUM('PER BULAN'!BB140)</f>
        <v>0</v>
      </c>
      <c r="AW82" s="176">
        <f>SUM('PER BULAN'!BC140)</f>
        <v>0</v>
      </c>
      <c r="AX82" s="176">
        <f>SUM('PER BULAN'!BD140)</f>
        <v>0</v>
      </c>
      <c r="AY82" s="176">
        <f>SUM('PER BULAN'!BE140)</f>
        <v>0</v>
      </c>
      <c r="AZ82" s="176">
        <f>SUM('PER BULAN'!BF140)</f>
        <v>44410000</v>
      </c>
      <c r="BA82" s="176">
        <f>SUM('PER BULAN'!BG140)</f>
        <v>0</v>
      </c>
      <c r="BB82" s="176">
        <f>SUM('PER BULAN'!BH140)</f>
        <v>0</v>
      </c>
      <c r="BC82" s="176">
        <f>SUM('PER BULAN'!BI140)</f>
        <v>0</v>
      </c>
      <c r="BD82" s="176">
        <f>SUM('PER BULAN'!BJ140)</f>
        <v>0</v>
      </c>
      <c r="BE82" s="176">
        <f>SUM('PER BULAN'!BK140)</f>
        <v>0</v>
      </c>
      <c r="BF82" s="176">
        <f>SUM('PER BULAN'!BL140)</f>
        <v>0</v>
      </c>
    </row>
    <row r="83" spans="1:58"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tr">
        <f>IF(LEFT(SP2D[[#This Row],[kdakun]],2)="51","Belanja Pegawai",IF(LEFT(SP2D[[#This Row],[kdakun]],2)="52","Belanja Barang",IF(LEFT(SP2D[[#This Row],[kdakun]],2)="53","Belanja Modal")))</f>
        <v>Belanja Barang</v>
      </c>
      <c r="AM83" s="162" t="s">
        <v>3775</v>
      </c>
      <c r="AN83" s="275">
        <f t="shared" si="8"/>
        <v>28368000</v>
      </c>
      <c r="AO83" s="175">
        <f t="shared" si="9"/>
        <v>48.608636052090468</v>
      </c>
      <c r="AP83" s="275">
        <f t="shared" si="10"/>
        <v>29992000</v>
      </c>
      <c r="AQ83" s="175">
        <f t="shared" si="11"/>
        <v>51.391363947909532</v>
      </c>
      <c r="AR83" s="162" t="str">
        <f t="shared" si="12"/>
        <v>WA.2378.EBA.994.002.GD.521115</v>
      </c>
      <c r="AS83" s="162" t="str">
        <f>IF(ISNUMBER(SEARCH("COVID",SP2D[[#This Row],[Akun]])),"COVID","Non COVID")</f>
        <v>Non COVID</v>
      </c>
      <c r="AT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U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3" s="176">
        <f>SUM('PER BULAN'!BB141)</f>
        <v>0</v>
      </c>
      <c r="AW83" s="176">
        <f>SUM('PER BULAN'!BC141)</f>
        <v>9456000</v>
      </c>
      <c r="AX83" s="176">
        <f>SUM('PER BULAN'!BD141)</f>
        <v>0</v>
      </c>
      <c r="AY83" s="176">
        <f>SUM('PER BULAN'!BE141)</f>
        <v>0</v>
      </c>
      <c r="AZ83" s="176">
        <f>SUM('PER BULAN'!BF141)</f>
        <v>0</v>
      </c>
      <c r="BA83" s="176">
        <f>SUM('PER BULAN'!BG141)</f>
        <v>4728000</v>
      </c>
      <c r="BB83" s="176">
        <f>SUM('PER BULAN'!BH141)</f>
        <v>0</v>
      </c>
      <c r="BC83" s="176">
        <f>SUM('PER BULAN'!BI141)</f>
        <v>0</v>
      </c>
      <c r="BD83" s="176">
        <f>SUM('PER BULAN'!BJ141)</f>
        <v>4728000</v>
      </c>
      <c r="BE83" s="176">
        <f>SUM('PER BULAN'!BK141)</f>
        <v>9456000</v>
      </c>
      <c r="BF83" s="176">
        <f>SUM('PER BULAN'!BL141)</f>
        <v>0</v>
      </c>
    </row>
    <row r="84" spans="1:58"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tr">
        <f>IF(LEFT(SP2D[[#This Row],[kdakun]],2)="51","Belanja Pegawai",IF(LEFT(SP2D[[#This Row],[kdakun]],2)="52","Belanja Barang",IF(LEFT(SP2D[[#This Row],[kdakun]],2)="53","Belanja Modal")))</f>
        <v>Belanja Barang</v>
      </c>
      <c r="AM84" s="162" t="s">
        <v>3775</v>
      </c>
      <c r="AN84" s="275">
        <f t="shared" si="8"/>
        <v>0</v>
      </c>
      <c r="AO84" s="175">
        <f t="shared" si="9"/>
        <v>0</v>
      </c>
      <c r="AP84" s="275">
        <f t="shared" si="10"/>
        <v>45000000</v>
      </c>
      <c r="AQ84" s="175">
        <f t="shared" si="11"/>
        <v>100</v>
      </c>
      <c r="AR84" s="162" t="str">
        <f t="shared" si="12"/>
        <v>WA.2378.EBA.994.002.GE.521111</v>
      </c>
      <c r="AS84" s="162" t="str">
        <f>IF(ISNUMBER(SEARCH("COVID",SP2D[[#This Row],[Akun]])),"COVID","Non COVID")</f>
        <v>Non COVID</v>
      </c>
      <c r="AT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4" s="176">
        <f>SUM('PER BULAN'!BB143)</f>
        <v>0</v>
      </c>
      <c r="AW84" s="176">
        <f>SUM('PER BULAN'!BC143)</f>
        <v>0</v>
      </c>
      <c r="AX84" s="176">
        <f>SUM('PER BULAN'!BD143)</f>
        <v>0</v>
      </c>
      <c r="AY84" s="176">
        <f>SUM('PER BULAN'!BE143)</f>
        <v>0</v>
      </c>
      <c r="AZ84" s="176">
        <f>SUM('PER BULAN'!BF143)</f>
        <v>0</v>
      </c>
      <c r="BA84" s="176">
        <f>SUM('PER BULAN'!BG143)</f>
        <v>0</v>
      </c>
      <c r="BB84" s="176">
        <f>SUM('PER BULAN'!BH143)</f>
        <v>0</v>
      </c>
      <c r="BC84" s="176">
        <f>SUM('PER BULAN'!BI143)</f>
        <v>0</v>
      </c>
      <c r="BD84" s="176">
        <f>SUM('PER BULAN'!BJ143)</f>
        <v>0</v>
      </c>
      <c r="BE84" s="176">
        <f>SUM('PER BULAN'!BK143)</f>
        <v>0</v>
      </c>
      <c r="BF84" s="176">
        <f>SUM('PER BULAN'!BL143)</f>
        <v>0</v>
      </c>
    </row>
    <row r="85" spans="1:58"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tr">
        <f>IF(LEFT(SP2D[[#This Row],[kdakun]],2)="51","Belanja Pegawai",IF(LEFT(SP2D[[#This Row],[kdakun]],2)="52","Belanja Barang",IF(LEFT(SP2D[[#This Row],[kdakun]],2)="53","Belanja Modal")))</f>
        <v>Belanja Barang</v>
      </c>
      <c r="AM85" s="162" t="s">
        <v>3775</v>
      </c>
      <c r="AN85" s="275">
        <f t="shared" si="8"/>
        <v>0</v>
      </c>
      <c r="AO85" s="175">
        <f t="shared" si="9"/>
        <v>0</v>
      </c>
      <c r="AP85" s="275">
        <f t="shared" si="10"/>
        <v>26000000</v>
      </c>
      <c r="AQ85" s="175">
        <f t="shared" si="11"/>
        <v>100</v>
      </c>
      <c r="AR85" s="162" t="str">
        <f t="shared" si="12"/>
        <v>WA.2378.EBA.994.002.GE.521811</v>
      </c>
      <c r="AS85" s="162" t="str">
        <f>IF(ISNUMBER(SEARCH("COVID",SP2D[[#This Row],[Akun]])),"COVID","Non COVID")</f>
        <v>Non COVID</v>
      </c>
      <c r="AT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5" s="176">
        <f>SUM('PER BULAN'!BB144)</f>
        <v>0</v>
      </c>
      <c r="AW85" s="176">
        <f>SUM('PER BULAN'!BC144)</f>
        <v>0</v>
      </c>
      <c r="AX85" s="176">
        <f>SUM('PER BULAN'!BD144)</f>
        <v>0</v>
      </c>
      <c r="AY85" s="176">
        <f>SUM('PER BULAN'!BE144)</f>
        <v>0</v>
      </c>
      <c r="AZ85" s="176">
        <f>SUM('PER BULAN'!BF144)</f>
        <v>0</v>
      </c>
      <c r="BA85" s="176">
        <f>SUM('PER BULAN'!BG144)</f>
        <v>0</v>
      </c>
      <c r="BB85" s="176">
        <f>SUM('PER BULAN'!BH144)</f>
        <v>0</v>
      </c>
      <c r="BC85" s="176">
        <f>SUM('PER BULAN'!BI144)</f>
        <v>0</v>
      </c>
      <c r="BD85" s="176">
        <f>SUM('PER BULAN'!BJ144)</f>
        <v>0</v>
      </c>
      <c r="BE85" s="176">
        <f>SUM('PER BULAN'!BK144)</f>
        <v>0</v>
      </c>
      <c r="BF85" s="176">
        <f>SUM('PER BULAN'!BL144)</f>
        <v>0</v>
      </c>
    </row>
    <row r="86" spans="1:58"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tr">
        <f>IF(LEFT(SP2D[[#This Row],[kdakun]],2)="51","Belanja Pegawai",IF(LEFT(SP2D[[#This Row],[kdakun]],2)="52","Belanja Barang",IF(LEFT(SP2D[[#This Row],[kdakun]],2)="53","Belanja Modal")))</f>
        <v>Belanja Barang</v>
      </c>
      <c r="AM86" s="162" t="s">
        <v>3775</v>
      </c>
      <c r="AN86" s="275">
        <f t="shared" si="8"/>
        <v>0</v>
      </c>
      <c r="AO86" s="175">
        <f t="shared" si="9"/>
        <v>0</v>
      </c>
      <c r="AP86" s="275">
        <f t="shared" si="10"/>
        <v>29000000</v>
      </c>
      <c r="AQ86" s="175">
        <f t="shared" si="11"/>
        <v>100</v>
      </c>
      <c r="AR86" s="162" t="str">
        <f t="shared" si="12"/>
        <v>WA.2378.EBA.994.002.GE.523121</v>
      </c>
      <c r="AS86" s="162" t="str">
        <f>IF(ISNUMBER(SEARCH("COVID",SP2D[[#This Row],[Akun]])),"COVID","Non COVID")</f>
        <v>Non COVID</v>
      </c>
      <c r="AT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6" s="176">
        <f>SUM('PER BULAN'!BB145)</f>
        <v>0</v>
      </c>
      <c r="AW86" s="176">
        <f>SUM('PER BULAN'!BC145)</f>
        <v>0</v>
      </c>
      <c r="AX86" s="176">
        <f>SUM('PER BULAN'!BD145)</f>
        <v>0</v>
      </c>
      <c r="AY86" s="176">
        <f>SUM('PER BULAN'!BE145)</f>
        <v>0</v>
      </c>
      <c r="AZ86" s="176">
        <f>SUM('PER BULAN'!BF145)</f>
        <v>0</v>
      </c>
      <c r="BA86" s="176">
        <f>SUM('PER BULAN'!BG145)</f>
        <v>0</v>
      </c>
      <c r="BB86" s="176">
        <f>SUM('PER BULAN'!BH145)</f>
        <v>0</v>
      </c>
      <c r="BC86" s="176">
        <f>SUM('PER BULAN'!BI145)</f>
        <v>0</v>
      </c>
      <c r="BD86" s="176">
        <f>SUM('PER BULAN'!BJ145)</f>
        <v>0</v>
      </c>
      <c r="BE86" s="176">
        <f>SUM('PER BULAN'!BK145)</f>
        <v>0</v>
      </c>
      <c r="BF86" s="176">
        <f>SUM('PER BULAN'!BL145)</f>
        <v>0</v>
      </c>
    </row>
    <row r="87" spans="1:58"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tr">
        <f>IF(LEFT(SP2D[[#This Row],[kdakun]],2)="51","Belanja Pegawai",IF(LEFT(SP2D[[#This Row],[kdakun]],2)="52","Belanja Barang",IF(LEFT(SP2D[[#This Row],[kdakun]],2)="53","Belanja Modal")))</f>
        <v>Belanja Modal</v>
      </c>
      <c r="AM87" s="162" t="s">
        <v>3775</v>
      </c>
      <c r="AN87" s="275">
        <f t="shared" si="8"/>
        <v>540000000</v>
      </c>
      <c r="AO87" s="175">
        <f t="shared" si="9"/>
        <v>100</v>
      </c>
      <c r="AP87" s="275">
        <f t="shared" si="10"/>
        <v>0</v>
      </c>
      <c r="AQ87" s="175">
        <f t="shared" si="11"/>
        <v>0</v>
      </c>
      <c r="AR87" s="162" t="str">
        <f t="shared" si="12"/>
        <v>WA.2378.EBB.951.301.A.532111</v>
      </c>
      <c r="AS87" s="162" t="str">
        <f>IF(ISNUMBER(SEARCH("COVID",SP2D[[#This Row],[Akun]])),"COVID","Non COVID")</f>
        <v>Non COVID</v>
      </c>
      <c r="AT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V87" s="176">
        <f>SUM('PER BULAN'!BB150)</f>
        <v>0</v>
      </c>
      <c r="AW87" s="176">
        <f>SUM('PER BULAN'!BC150)</f>
        <v>0</v>
      </c>
      <c r="AX87" s="176">
        <f>SUM('PER BULAN'!BD150)</f>
        <v>0</v>
      </c>
      <c r="AY87" s="176">
        <f>SUM('PER BULAN'!BE150)</f>
        <v>0</v>
      </c>
      <c r="AZ87" s="176">
        <f>SUM('PER BULAN'!BF150)</f>
        <v>0</v>
      </c>
      <c r="BA87" s="176">
        <f>SUM('PER BULAN'!BG150)</f>
        <v>0</v>
      </c>
      <c r="BB87" s="176">
        <f>SUM('PER BULAN'!BH150)</f>
        <v>0</v>
      </c>
      <c r="BC87" s="176">
        <f>SUM('PER BULAN'!BI150)</f>
        <v>0</v>
      </c>
      <c r="BD87" s="176">
        <f>SUM('PER BULAN'!BJ150)</f>
        <v>0</v>
      </c>
      <c r="BE87" s="176">
        <f>SUM('PER BULAN'!BK150)</f>
        <v>0</v>
      </c>
      <c r="BF87" s="176">
        <f>SUM('PER BULAN'!BL150)</f>
        <v>0</v>
      </c>
    </row>
    <row r="88" spans="1:58"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tr">
        <f>IF(LEFT(SP2D[[#This Row],[kdakun]],2)="51","Belanja Pegawai",IF(LEFT(SP2D[[#This Row],[kdakun]],2)="52","Belanja Barang",IF(LEFT(SP2D[[#This Row],[kdakun]],2)="53","Belanja Modal")))</f>
        <v>Belanja Barang</v>
      </c>
      <c r="AM88" s="162" t="s">
        <v>3775</v>
      </c>
      <c r="AN88" s="275">
        <f t="shared" si="8"/>
        <v>4448550</v>
      </c>
      <c r="AO88" s="175">
        <f t="shared" si="9"/>
        <v>74.142499999999998</v>
      </c>
      <c r="AP88" s="275">
        <f t="shared" si="10"/>
        <v>1551450</v>
      </c>
      <c r="AQ88" s="175">
        <f t="shared" si="11"/>
        <v>25.857500000000002</v>
      </c>
      <c r="AR88" s="162" t="str">
        <f t="shared" si="12"/>
        <v>WA.2378.EBD.952.301.A.521211</v>
      </c>
      <c r="AS88" s="162" t="str">
        <f>IF(ISNUMBER(SEARCH("COVID",SP2D[[#This Row],[Akun]])),"COVID","Non COVID")</f>
        <v>Non COVID</v>
      </c>
      <c r="AT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8" s="176">
        <f>SUM('PER BULAN'!BB157)</f>
        <v>0</v>
      </c>
      <c r="AW88" s="176">
        <f>SUM('PER BULAN'!BC157)</f>
        <v>1498000</v>
      </c>
      <c r="AX88" s="176">
        <f>SUM('PER BULAN'!BD157)</f>
        <v>0</v>
      </c>
      <c r="AY88" s="176">
        <f>SUM('PER BULAN'!BE157)</f>
        <v>0</v>
      </c>
      <c r="AZ88" s="176">
        <f>SUM('PER BULAN'!BF157)</f>
        <v>0</v>
      </c>
      <c r="BA88" s="176">
        <f>SUM('PER BULAN'!BG157)</f>
        <v>0</v>
      </c>
      <c r="BB88" s="176">
        <f>SUM('PER BULAN'!BH157)</f>
        <v>1493000</v>
      </c>
      <c r="BC88" s="176">
        <f>SUM('PER BULAN'!BI157)</f>
        <v>0</v>
      </c>
      <c r="BD88" s="176">
        <f>SUM('PER BULAN'!BJ157)</f>
        <v>0</v>
      </c>
      <c r="BE88" s="176">
        <f>SUM('PER BULAN'!BK157)</f>
        <v>0</v>
      </c>
      <c r="BF88" s="176">
        <f>SUM('PER BULAN'!BL157)</f>
        <v>1457550</v>
      </c>
    </row>
    <row r="89" spans="1:58"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tr">
        <f>IF(LEFT(SP2D[[#This Row],[kdakun]],2)="51","Belanja Pegawai",IF(LEFT(SP2D[[#This Row],[kdakun]],2)="52","Belanja Barang",IF(LEFT(SP2D[[#This Row],[kdakun]],2)="53","Belanja Modal")))</f>
        <v>Belanja Barang</v>
      </c>
      <c r="AM89" s="162" t="s">
        <v>3775</v>
      </c>
      <c r="AN89" s="275">
        <f t="shared" si="8"/>
        <v>876329</v>
      </c>
      <c r="AO89" s="175">
        <f t="shared" si="9"/>
        <v>87.632900000000006</v>
      </c>
      <c r="AP89" s="275">
        <f t="shared" si="10"/>
        <v>123671</v>
      </c>
      <c r="AQ89" s="175">
        <f t="shared" si="11"/>
        <v>12.367100000000001</v>
      </c>
      <c r="AR89" s="162" t="str">
        <f t="shared" si="12"/>
        <v>WA.2378.EBD.952.301.A.521219</v>
      </c>
      <c r="AS89" s="162" t="str">
        <f>IF(ISNUMBER(SEARCH("COVID",SP2D[[#This Row],[Akun]])),"COVID","Non COVID")</f>
        <v>Non COVID</v>
      </c>
      <c r="AT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9" s="176">
        <f>SUM('PER BULAN'!BB158)</f>
        <v>0</v>
      </c>
      <c r="AW89" s="176">
        <f>SUM('PER BULAN'!BC158)</f>
        <v>346915</v>
      </c>
      <c r="AX89" s="176">
        <f>SUM('PER BULAN'!BD158)</f>
        <v>0</v>
      </c>
      <c r="AY89" s="176">
        <f>SUM('PER BULAN'!BE158)</f>
        <v>0</v>
      </c>
      <c r="AZ89" s="176">
        <f>SUM('PER BULAN'!BF158)</f>
        <v>0</v>
      </c>
      <c r="BA89" s="176">
        <f>SUM('PER BULAN'!BG158)</f>
        <v>0</v>
      </c>
      <c r="BB89" s="176">
        <f>SUM('PER BULAN'!BH158)</f>
        <v>355980</v>
      </c>
      <c r="BC89" s="176">
        <f>SUM('PER BULAN'!BI158)</f>
        <v>0</v>
      </c>
      <c r="BD89" s="176">
        <f>SUM('PER BULAN'!BJ158)</f>
        <v>0</v>
      </c>
      <c r="BE89" s="176">
        <f>SUM('PER BULAN'!BK158)</f>
        <v>0</v>
      </c>
      <c r="BF89" s="176">
        <f>SUM('PER BULAN'!BL158)</f>
        <v>0</v>
      </c>
    </row>
    <row r="90" spans="1:58"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tr">
        <f>IF(LEFT(SP2D[[#This Row],[kdakun]],2)="51","Belanja Pegawai",IF(LEFT(SP2D[[#This Row],[kdakun]],2)="52","Belanja Barang",IF(LEFT(SP2D[[#This Row],[kdakun]],2)="53","Belanja Modal")))</f>
        <v>Belanja Barang</v>
      </c>
      <c r="AM90" s="162" t="s">
        <v>3775</v>
      </c>
      <c r="AN90" s="275">
        <f t="shared" si="8"/>
        <v>6344000</v>
      </c>
      <c r="AO90" s="175">
        <f t="shared" si="9"/>
        <v>63.44</v>
      </c>
      <c r="AP90" s="275">
        <f t="shared" si="10"/>
        <v>3656000</v>
      </c>
      <c r="AQ90" s="175">
        <f t="shared" si="11"/>
        <v>36.559999999999995</v>
      </c>
      <c r="AR90" s="162" t="str">
        <f t="shared" si="12"/>
        <v>WA.2378.EBD.952.301.A.521811</v>
      </c>
      <c r="AS90" s="162" t="str">
        <f>IF(ISNUMBER(SEARCH("COVID",SP2D[[#This Row],[Akun]])),"COVID","Non COVID")</f>
        <v>Non COVID</v>
      </c>
      <c r="AT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0" s="176">
        <f>SUM('PER BULAN'!BB159)</f>
        <v>0</v>
      </c>
      <c r="AW90" s="176">
        <f>SUM('PER BULAN'!BC159)</f>
        <v>2459000</v>
      </c>
      <c r="AX90" s="176">
        <f>SUM('PER BULAN'!BD159)</f>
        <v>0</v>
      </c>
      <c r="AY90" s="176">
        <f>SUM('PER BULAN'!BE159)</f>
        <v>0</v>
      </c>
      <c r="AZ90" s="176">
        <f>SUM('PER BULAN'!BF159)</f>
        <v>0</v>
      </c>
      <c r="BA90" s="176">
        <f>SUM('PER BULAN'!BG159)</f>
        <v>0</v>
      </c>
      <c r="BB90" s="176">
        <f>SUM('PER BULAN'!BH159)</f>
        <v>2390000</v>
      </c>
      <c r="BC90" s="176">
        <f>SUM('PER BULAN'!BI159)</f>
        <v>0</v>
      </c>
      <c r="BD90" s="176">
        <f>SUM('PER BULAN'!BJ159)</f>
        <v>0</v>
      </c>
      <c r="BE90" s="176">
        <f>SUM('PER BULAN'!BK159)</f>
        <v>0</v>
      </c>
      <c r="BF90" s="176">
        <f>SUM('PER BULAN'!BL159)</f>
        <v>1495000</v>
      </c>
    </row>
    <row r="91" spans="1:58"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tr">
        <f>IF(LEFT(SP2D[[#This Row],[kdakun]],2)="51","Belanja Pegawai",IF(LEFT(SP2D[[#This Row],[kdakun]],2)="52","Belanja Barang",IF(LEFT(SP2D[[#This Row],[kdakun]],2)="53","Belanja Modal")))</f>
        <v>Belanja Barang</v>
      </c>
      <c r="AM91" s="162" t="s">
        <v>3775</v>
      </c>
      <c r="AN91" s="275">
        <f t="shared" si="8"/>
        <v>5163500</v>
      </c>
      <c r="AO91" s="175">
        <f t="shared" si="9"/>
        <v>99.990317583268791</v>
      </c>
      <c r="AP91" s="275">
        <f t="shared" si="10"/>
        <v>500</v>
      </c>
      <c r="AQ91" s="175">
        <f t="shared" si="11"/>
        <v>9.6824167312161129E-3</v>
      </c>
      <c r="AR91" s="162" t="str">
        <f t="shared" si="12"/>
        <v>WA.2378.EBD.952.301.A.524111</v>
      </c>
      <c r="AS91" s="162" t="str">
        <f>IF(ISNUMBER(SEARCH("COVID",SP2D[[#This Row],[Akun]])),"COVID","Non COVID")</f>
        <v>Non COVID</v>
      </c>
      <c r="AT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1" s="176">
        <f>SUM('PER BULAN'!BB160)</f>
        <v>0</v>
      </c>
      <c r="AW91" s="176">
        <f>SUM('PER BULAN'!BC160)</f>
        <v>0</v>
      </c>
      <c r="AX91" s="176">
        <f>SUM('PER BULAN'!BD160)</f>
        <v>2805000</v>
      </c>
      <c r="AY91" s="176">
        <f>SUM('PER BULAN'!BE160)</f>
        <v>0</v>
      </c>
      <c r="AZ91" s="176">
        <f>SUM('PER BULAN'!BF160)</f>
        <v>0</v>
      </c>
      <c r="BA91" s="176">
        <f>SUM('PER BULAN'!BG160)</f>
        <v>0</v>
      </c>
      <c r="BB91" s="176">
        <f>SUM('PER BULAN'!BH160)</f>
        <v>0</v>
      </c>
      <c r="BC91" s="176">
        <f>SUM('PER BULAN'!BI160)</f>
        <v>0</v>
      </c>
      <c r="BD91" s="176">
        <f>SUM('PER BULAN'!BJ160)</f>
        <v>0</v>
      </c>
      <c r="BE91" s="176">
        <f>SUM('PER BULAN'!BK160)</f>
        <v>0</v>
      </c>
      <c r="BF91" s="176">
        <f>SUM('PER BULAN'!BL160)</f>
        <v>0</v>
      </c>
    </row>
    <row r="92" spans="1:58"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tr">
        <f>IF(LEFT(SP2D[[#This Row],[kdakun]],2)="51","Belanja Pegawai",IF(LEFT(SP2D[[#This Row],[kdakun]],2)="52","Belanja Barang",IF(LEFT(SP2D[[#This Row],[kdakun]],2)="53","Belanja Modal")))</f>
        <v>Belanja Barang</v>
      </c>
      <c r="AM92" s="162" t="s">
        <v>3775</v>
      </c>
      <c r="AN92" s="275">
        <f t="shared" si="8"/>
        <v>7434850</v>
      </c>
      <c r="AO92" s="175">
        <f t="shared" si="9"/>
        <v>61.95708333333333</v>
      </c>
      <c r="AP92" s="275">
        <f t="shared" si="10"/>
        <v>4565150</v>
      </c>
      <c r="AQ92" s="175">
        <f t="shared" si="11"/>
        <v>38.042916666666663</v>
      </c>
      <c r="AR92" s="162" t="str">
        <f t="shared" si="12"/>
        <v>WA.2378.EBD.952.301.B.521211</v>
      </c>
      <c r="AS92" s="162" t="str">
        <f>IF(ISNUMBER(SEARCH("COVID",SP2D[[#This Row],[Akun]])),"COVID","Non COVID")</f>
        <v>Non COVID</v>
      </c>
      <c r="AT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2" s="176">
        <f>SUM('PER BULAN'!BB162)</f>
        <v>0</v>
      </c>
      <c r="AW92" s="176">
        <f>SUM('PER BULAN'!BC162)</f>
        <v>2964000</v>
      </c>
      <c r="AX92" s="176">
        <f>SUM('PER BULAN'!BD162)</f>
        <v>0</v>
      </c>
      <c r="AY92" s="176">
        <f>SUM('PER BULAN'!BE162)</f>
        <v>0</v>
      </c>
      <c r="AZ92" s="176">
        <f>SUM('PER BULAN'!BF162)</f>
        <v>0</v>
      </c>
      <c r="BA92" s="176">
        <f>SUM('PER BULAN'!BG162)</f>
        <v>0</v>
      </c>
      <c r="BB92" s="176">
        <f>SUM('PER BULAN'!BH162)</f>
        <v>2975000</v>
      </c>
      <c r="BC92" s="176">
        <f>SUM('PER BULAN'!BI162)</f>
        <v>0</v>
      </c>
      <c r="BD92" s="176">
        <f>SUM('PER BULAN'!BJ162)</f>
        <v>0</v>
      </c>
      <c r="BE92" s="176">
        <f>SUM('PER BULAN'!BK162)</f>
        <v>0</v>
      </c>
      <c r="BF92" s="176">
        <f>SUM('PER BULAN'!BL162)</f>
        <v>1495850</v>
      </c>
    </row>
    <row r="93" spans="1:58"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tr">
        <f>IF(LEFT(SP2D[[#This Row],[kdakun]],2)="51","Belanja Pegawai",IF(LEFT(SP2D[[#This Row],[kdakun]],2)="52","Belanja Barang",IF(LEFT(SP2D[[#This Row],[kdakun]],2)="53","Belanja Modal")))</f>
        <v>Belanja Barang</v>
      </c>
      <c r="AM93" s="162" t="s">
        <v>3775</v>
      </c>
      <c r="AN93" s="275">
        <f t="shared" si="8"/>
        <v>358831</v>
      </c>
      <c r="AO93" s="175">
        <f t="shared" si="9"/>
        <v>35.883099999999999</v>
      </c>
      <c r="AP93" s="275">
        <f t="shared" si="10"/>
        <v>641169</v>
      </c>
      <c r="AQ93" s="175">
        <f t="shared" si="11"/>
        <v>64.116900000000001</v>
      </c>
      <c r="AR93" s="162" t="str">
        <f t="shared" si="12"/>
        <v>WA.2378.EBD.952.301.B.521219</v>
      </c>
      <c r="AS93" s="162" t="str">
        <f>IF(ISNUMBER(SEARCH("COVID",SP2D[[#This Row],[Akun]])),"COVID","Non COVID")</f>
        <v>Non COVID</v>
      </c>
      <c r="AT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3" s="176">
        <f>SUM('PER BULAN'!BB163)</f>
        <v>0</v>
      </c>
      <c r="AW93" s="176">
        <f>SUM('PER BULAN'!BC163)</f>
        <v>0</v>
      </c>
      <c r="AX93" s="176">
        <f>SUM('PER BULAN'!BD163)</f>
        <v>0</v>
      </c>
      <c r="AY93" s="176">
        <f>SUM('PER BULAN'!BE163)</f>
        <v>0</v>
      </c>
      <c r="AZ93" s="176">
        <f>SUM('PER BULAN'!BF163)</f>
        <v>0</v>
      </c>
      <c r="BA93" s="176">
        <f>SUM('PER BULAN'!BG163)</f>
        <v>0</v>
      </c>
      <c r="BB93" s="176">
        <f>SUM('PER BULAN'!BH163)</f>
        <v>0</v>
      </c>
      <c r="BC93" s="176">
        <f>SUM('PER BULAN'!BI163)</f>
        <v>0</v>
      </c>
      <c r="BD93" s="176">
        <f>SUM('PER BULAN'!BJ163)</f>
        <v>0</v>
      </c>
      <c r="BE93" s="176">
        <f>SUM('PER BULAN'!BK163)</f>
        <v>0</v>
      </c>
      <c r="BF93" s="176">
        <f>SUM('PER BULAN'!BL163)</f>
        <v>358831</v>
      </c>
    </row>
    <row r="94" spans="1:58"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tr">
        <f>IF(LEFT(SP2D[[#This Row],[kdakun]],2)="51","Belanja Pegawai",IF(LEFT(SP2D[[#This Row],[kdakun]],2)="52","Belanja Barang",IF(LEFT(SP2D[[#This Row],[kdakun]],2)="53","Belanja Modal")))</f>
        <v>Belanja Barang</v>
      </c>
      <c r="AM94" s="162" t="s">
        <v>3775</v>
      </c>
      <c r="AN94" s="275">
        <f t="shared" si="8"/>
        <v>12648000</v>
      </c>
      <c r="AO94" s="175">
        <f t="shared" si="9"/>
        <v>63.239999999999995</v>
      </c>
      <c r="AP94" s="275">
        <f t="shared" si="10"/>
        <v>7352000</v>
      </c>
      <c r="AQ94" s="175">
        <f t="shared" si="11"/>
        <v>36.76</v>
      </c>
      <c r="AR94" s="162" t="str">
        <f t="shared" si="12"/>
        <v>WA.2378.EBD.952.301.B.521811</v>
      </c>
      <c r="AS94" s="162" t="str">
        <f>IF(ISNUMBER(SEARCH("COVID",SP2D[[#This Row],[Akun]])),"COVID","Non COVID")</f>
        <v>Non COVID</v>
      </c>
      <c r="AT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4" s="176">
        <f>SUM('PER BULAN'!BB164)</f>
        <v>0</v>
      </c>
      <c r="AW94" s="176">
        <f>SUM('PER BULAN'!BC164)</f>
        <v>4910000</v>
      </c>
      <c r="AX94" s="176">
        <f>SUM('PER BULAN'!BD164)</f>
        <v>0</v>
      </c>
      <c r="AY94" s="176">
        <f>SUM('PER BULAN'!BE164)</f>
        <v>0</v>
      </c>
      <c r="AZ94" s="176">
        <f>SUM('PER BULAN'!BF164)</f>
        <v>0</v>
      </c>
      <c r="BA94" s="176">
        <f>SUM('PER BULAN'!BG164)</f>
        <v>0</v>
      </c>
      <c r="BB94" s="176">
        <f>SUM('PER BULAN'!BH164)</f>
        <v>4873000</v>
      </c>
      <c r="BC94" s="176">
        <f>SUM('PER BULAN'!BI164)</f>
        <v>0</v>
      </c>
      <c r="BD94" s="176">
        <f>SUM('PER BULAN'!BJ164)</f>
        <v>0</v>
      </c>
      <c r="BE94" s="176">
        <f>SUM('PER BULAN'!BK164)</f>
        <v>0</v>
      </c>
      <c r="BF94" s="176">
        <f>SUM('PER BULAN'!BL164)</f>
        <v>2865000</v>
      </c>
    </row>
    <row r="95" spans="1:58"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tr">
        <f>IF(LEFT(SP2D[[#This Row],[kdakun]],2)="51","Belanja Pegawai",IF(LEFT(SP2D[[#This Row],[kdakun]],2)="52","Belanja Barang",IF(LEFT(SP2D[[#This Row],[kdakun]],2)="53","Belanja Modal")))</f>
        <v>Belanja Barang</v>
      </c>
      <c r="AM95" s="162" t="s">
        <v>3775</v>
      </c>
      <c r="AN95" s="275">
        <f t="shared" si="8"/>
        <v>0</v>
      </c>
      <c r="AO95" s="175">
        <f t="shared" si="9"/>
        <v>0</v>
      </c>
      <c r="AP95" s="275">
        <f t="shared" si="10"/>
        <v>0</v>
      </c>
      <c r="AQ95" s="175">
        <f t="shared" si="11"/>
        <v>0</v>
      </c>
      <c r="AR95" s="162" t="str">
        <f t="shared" si="12"/>
        <v>WA.2378.EBD.952.301.B.522151</v>
      </c>
      <c r="AS95" s="162" t="str">
        <f>IF(ISNUMBER(SEARCH("COVID",SP2D[[#This Row],[Akun]])),"COVID","Non COVID")</f>
        <v>Non COVID</v>
      </c>
      <c r="AT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5" s="176">
        <f>SUM('PER BULAN'!BB165)</f>
        <v>0</v>
      </c>
      <c r="AW95" s="176">
        <f>SUM('PER BULAN'!BC165)</f>
        <v>0</v>
      </c>
      <c r="AX95" s="176">
        <f>SUM('PER BULAN'!BD165)</f>
        <v>0</v>
      </c>
      <c r="AY95" s="176">
        <f>SUM('PER BULAN'!BE165)</f>
        <v>0</v>
      </c>
      <c r="AZ95" s="176">
        <f>SUM('PER BULAN'!BF165)</f>
        <v>0</v>
      </c>
      <c r="BA95" s="176">
        <f>SUM('PER BULAN'!BG165)</f>
        <v>0</v>
      </c>
      <c r="BB95" s="176">
        <f>SUM('PER BULAN'!BH165)</f>
        <v>0</v>
      </c>
      <c r="BC95" s="176">
        <f>SUM('PER BULAN'!BI165)</f>
        <v>0</v>
      </c>
      <c r="BD95" s="176">
        <f>SUM('PER BULAN'!BJ165)</f>
        <v>0</v>
      </c>
      <c r="BE95" s="176">
        <f>SUM('PER BULAN'!BK165)</f>
        <v>0</v>
      </c>
      <c r="BF95" s="176">
        <f>SUM('PER BULAN'!BL165)</f>
        <v>0</v>
      </c>
    </row>
    <row r="96" spans="1:58"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tr">
        <f>IF(LEFT(SP2D[[#This Row],[kdakun]],2)="51","Belanja Pegawai",IF(LEFT(SP2D[[#This Row],[kdakun]],2)="52","Belanja Barang",IF(LEFT(SP2D[[#This Row],[kdakun]],2)="53","Belanja Modal")))</f>
        <v>Belanja Barang</v>
      </c>
      <c r="AM96" s="162" t="s">
        <v>3775</v>
      </c>
      <c r="AN96" s="275">
        <f t="shared" si="8"/>
        <v>19577850</v>
      </c>
      <c r="AO96" s="175">
        <f t="shared" si="9"/>
        <v>43.506333333333338</v>
      </c>
      <c r="AP96" s="275">
        <f t="shared" si="10"/>
        <v>25422150</v>
      </c>
      <c r="AQ96" s="175">
        <f t="shared" si="11"/>
        <v>56.493666666666662</v>
      </c>
      <c r="AR96" s="162" t="str">
        <f t="shared" si="12"/>
        <v>WA.2378.EBD.952.301.B.524111</v>
      </c>
      <c r="AS96" s="162" t="str">
        <f>IF(ISNUMBER(SEARCH("COVID",SP2D[[#This Row],[Akun]])),"COVID","Non COVID")</f>
        <v>Non COVID</v>
      </c>
      <c r="AT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6" s="176">
        <f>SUM('PER BULAN'!BB166)</f>
        <v>0</v>
      </c>
      <c r="AW96" s="176">
        <f>SUM('PER BULAN'!BC166)</f>
        <v>0</v>
      </c>
      <c r="AX96" s="176">
        <f>SUM('PER BULAN'!BD166)</f>
        <v>0</v>
      </c>
      <c r="AY96" s="176">
        <f>SUM('PER BULAN'!BE166)</f>
        <v>0</v>
      </c>
      <c r="AZ96" s="176">
        <f>SUM('PER BULAN'!BF166)</f>
        <v>0</v>
      </c>
      <c r="BA96" s="176">
        <f>SUM('PER BULAN'!BG166)</f>
        <v>0</v>
      </c>
      <c r="BB96" s="176">
        <f>SUM('PER BULAN'!BH166)</f>
        <v>0</v>
      </c>
      <c r="BC96" s="176">
        <f>SUM('PER BULAN'!BI166)</f>
        <v>0</v>
      </c>
      <c r="BD96" s="176">
        <f>SUM('PER BULAN'!BJ166)</f>
        <v>0</v>
      </c>
      <c r="BE96" s="176">
        <f>SUM('PER BULAN'!BK166)</f>
        <v>0</v>
      </c>
      <c r="BF96" s="176">
        <f>SUM('PER BULAN'!BL166)</f>
        <v>0</v>
      </c>
    </row>
    <row r="97" spans="1:58"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tr">
        <f>IF(LEFT(SP2D[[#This Row],[kdakun]],2)="51","Belanja Pegawai",IF(LEFT(SP2D[[#This Row],[kdakun]],2)="52","Belanja Barang",IF(LEFT(SP2D[[#This Row],[kdakun]],2)="53","Belanja Modal")))</f>
        <v>Belanja Barang</v>
      </c>
      <c r="AM97" s="162" t="s">
        <v>3775</v>
      </c>
      <c r="AN97" s="275">
        <f t="shared" si="8"/>
        <v>19309350</v>
      </c>
      <c r="AO97" s="175">
        <f t="shared" si="9"/>
        <v>91.949285714285708</v>
      </c>
      <c r="AP97" s="275">
        <f t="shared" si="10"/>
        <v>1690650</v>
      </c>
      <c r="AQ97" s="175">
        <f t="shared" si="11"/>
        <v>8.0507142857142853</v>
      </c>
      <c r="AR97" s="162" t="str">
        <f t="shared" si="12"/>
        <v>WA.2378.EBD.952.301.C.521211</v>
      </c>
      <c r="AS97" s="162" t="str">
        <f>IF(ISNUMBER(SEARCH("COVID",SP2D[[#This Row],[Akun]])),"COVID","Non COVID")</f>
        <v>Non COVID</v>
      </c>
      <c r="AT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7" s="176">
        <f>SUM('PER BULAN'!BB168)</f>
        <v>0</v>
      </c>
      <c r="AW97" s="176">
        <f>SUM('PER BULAN'!BC168)</f>
        <v>2955000</v>
      </c>
      <c r="AX97" s="176">
        <f>SUM('PER BULAN'!BD168)</f>
        <v>0</v>
      </c>
      <c r="AY97" s="176">
        <f>SUM('PER BULAN'!BE168)</f>
        <v>0</v>
      </c>
      <c r="AZ97" s="176">
        <f>SUM('PER BULAN'!BF168)</f>
        <v>0</v>
      </c>
      <c r="BA97" s="176">
        <f>SUM('PER BULAN'!BG168)</f>
        <v>0</v>
      </c>
      <c r="BB97" s="176">
        <f>SUM('PER BULAN'!BH168)</f>
        <v>2933500</v>
      </c>
      <c r="BC97" s="176">
        <f>SUM('PER BULAN'!BI168)</f>
        <v>0</v>
      </c>
      <c r="BD97" s="176">
        <f>SUM('PER BULAN'!BJ168)</f>
        <v>0</v>
      </c>
      <c r="BE97" s="176">
        <f>SUM('PER BULAN'!BK168)</f>
        <v>0</v>
      </c>
      <c r="BF97" s="176">
        <f>SUM('PER BULAN'!BL168)</f>
        <v>2920850</v>
      </c>
    </row>
    <row r="98" spans="1:58"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tr">
        <f>IF(LEFT(SP2D[[#This Row],[kdakun]],2)="51","Belanja Pegawai",IF(LEFT(SP2D[[#This Row],[kdakun]],2)="52","Belanja Barang",IF(LEFT(SP2D[[#This Row],[kdakun]],2)="53","Belanja Modal")))</f>
        <v>Belanja Barang</v>
      </c>
      <c r="AM98" s="162" t="s">
        <v>3775</v>
      </c>
      <c r="AN98" s="275">
        <f t="shared" si="8"/>
        <v>11275750</v>
      </c>
      <c r="AO98" s="175">
        <f t="shared" si="9"/>
        <v>64.432857142857145</v>
      </c>
      <c r="AP98" s="275">
        <f t="shared" si="10"/>
        <v>6224250</v>
      </c>
      <c r="AQ98" s="175">
        <f t="shared" si="11"/>
        <v>35.567142857142855</v>
      </c>
      <c r="AR98" s="162" t="str">
        <f t="shared" si="12"/>
        <v>WA.2378.EBD.952.301.C.521811</v>
      </c>
      <c r="AS98" s="162" t="str">
        <f>IF(ISNUMBER(SEARCH("COVID",SP2D[[#This Row],[Akun]])),"COVID","Non COVID")</f>
        <v>Non COVID</v>
      </c>
      <c r="AT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8" s="176">
        <f>SUM('PER BULAN'!BB169)</f>
        <v>0</v>
      </c>
      <c r="AW98" s="176">
        <f>SUM('PER BULAN'!BC169)</f>
        <v>4947750</v>
      </c>
      <c r="AX98" s="176">
        <f>SUM('PER BULAN'!BD169)</f>
        <v>0</v>
      </c>
      <c r="AY98" s="176">
        <f>SUM('PER BULAN'!BE169)</f>
        <v>0</v>
      </c>
      <c r="AZ98" s="176">
        <f>SUM('PER BULAN'!BF169)</f>
        <v>0</v>
      </c>
      <c r="BA98" s="176">
        <f>SUM('PER BULAN'!BG169)</f>
        <v>0</v>
      </c>
      <c r="BB98" s="176">
        <f>SUM('PER BULAN'!BH169)</f>
        <v>4878000</v>
      </c>
      <c r="BC98" s="176">
        <f>SUM('PER BULAN'!BI169)</f>
        <v>0</v>
      </c>
      <c r="BD98" s="176">
        <f>SUM('PER BULAN'!BJ169)</f>
        <v>0</v>
      </c>
      <c r="BE98" s="176">
        <f>SUM('PER BULAN'!BK169)</f>
        <v>0</v>
      </c>
      <c r="BF98" s="176">
        <f>SUM('PER BULAN'!BL169)</f>
        <v>1450000</v>
      </c>
    </row>
    <row r="99" spans="1:58"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tr">
        <f>IF(LEFT(SP2D[[#This Row],[kdakun]],2)="51","Belanja Pegawai",IF(LEFT(SP2D[[#This Row],[kdakun]],2)="52","Belanja Barang",IF(LEFT(SP2D[[#This Row],[kdakun]],2)="53","Belanja Modal")))</f>
        <v>Belanja Barang</v>
      </c>
      <c r="AM99" s="162" t="s">
        <v>3775</v>
      </c>
      <c r="AN99" s="275">
        <f t="shared" si="8"/>
        <v>0</v>
      </c>
      <c r="AO99" s="175">
        <f t="shared" si="9"/>
        <v>0</v>
      </c>
      <c r="AP99" s="275">
        <f t="shared" si="10"/>
        <v>0</v>
      </c>
      <c r="AQ99" s="175">
        <f t="shared" si="11"/>
        <v>0</v>
      </c>
      <c r="AR99" s="162" t="str">
        <f t="shared" si="12"/>
        <v>WA.2378.EBD.952.301.C.522151</v>
      </c>
      <c r="AS99" s="162" t="str">
        <f>IF(ISNUMBER(SEARCH("COVID",SP2D[[#This Row],[Akun]])),"COVID","Non COVID")</f>
        <v>Non COVID</v>
      </c>
      <c r="AT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9" s="176">
        <f>SUM('PER BULAN'!BB170)</f>
        <v>0</v>
      </c>
      <c r="AW99" s="176">
        <f>SUM('PER BULAN'!BC170)</f>
        <v>0</v>
      </c>
      <c r="AX99" s="176">
        <f>SUM('PER BULAN'!BD170)</f>
        <v>0</v>
      </c>
      <c r="AY99" s="176">
        <f>SUM('PER BULAN'!BE170)</f>
        <v>0</v>
      </c>
      <c r="AZ99" s="176">
        <f>SUM('PER BULAN'!BF170)</f>
        <v>0</v>
      </c>
      <c r="BA99" s="176">
        <f>SUM('PER BULAN'!BG170)</f>
        <v>0</v>
      </c>
      <c r="BB99" s="176">
        <f>SUM('PER BULAN'!BH170)</f>
        <v>0</v>
      </c>
      <c r="BC99" s="176">
        <f>SUM('PER BULAN'!BI170)</f>
        <v>0</v>
      </c>
      <c r="BD99" s="176">
        <f>SUM('PER BULAN'!BJ170)</f>
        <v>0</v>
      </c>
      <c r="BE99" s="176">
        <f>SUM('PER BULAN'!BK170)</f>
        <v>0</v>
      </c>
      <c r="BF99" s="176">
        <f>SUM('PER BULAN'!BL170)</f>
        <v>0</v>
      </c>
    </row>
    <row r="100" spans="1:58"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tr">
        <f>IF(LEFT(SP2D[[#This Row],[kdakun]],2)="51","Belanja Pegawai",IF(LEFT(SP2D[[#This Row],[kdakun]],2)="52","Belanja Barang",IF(LEFT(SP2D[[#This Row],[kdakun]],2)="53","Belanja Modal")))</f>
        <v>Belanja Barang</v>
      </c>
      <c r="AM100" s="162" t="s">
        <v>3775</v>
      </c>
      <c r="AN100" s="275">
        <f t="shared" si="8"/>
        <v>41907800</v>
      </c>
      <c r="AO100" s="175">
        <f t="shared" ref="AO100:AO131" si="13">IFERROR(AN100/Q100*100,0)</f>
        <v>99.999522764150043</v>
      </c>
      <c r="AP100" s="275">
        <f t="shared" si="10"/>
        <v>200</v>
      </c>
      <c r="AQ100" s="175">
        <f t="shared" ref="AQ100:AQ131" si="14">IFERROR(AP100/Q100*100,0)</f>
        <v>4.7723584995704876E-4</v>
      </c>
      <c r="AR100" s="162" t="str">
        <f t="shared" ref="AR100:AR131" si="15">_xlfn.TEXTJOIN(".",TRUE,C100,E100,G100,I100,K100,M100,O100)</f>
        <v>WA.2378.EBD.952.301.C.524111</v>
      </c>
      <c r="AS100" s="162" t="str">
        <f>IF(ISNUMBER(SEARCH("COVID",SP2D[[#This Row],[Akun]])),"COVID","Non COVID")</f>
        <v>Non COVID</v>
      </c>
      <c r="AT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0" s="176">
        <f>SUM('PER BULAN'!BB171)</f>
        <v>0</v>
      </c>
      <c r="AW100" s="176">
        <f>SUM('PER BULAN'!BC171)</f>
        <v>17350000</v>
      </c>
      <c r="AX100" s="176">
        <f>SUM('PER BULAN'!BD171)</f>
        <v>5040000</v>
      </c>
      <c r="AY100" s="176">
        <f>SUM('PER BULAN'!BE171)</f>
        <v>0</v>
      </c>
      <c r="AZ100" s="176">
        <f>SUM('PER BULAN'!BF171)</f>
        <v>0</v>
      </c>
      <c r="BA100" s="176">
        <f>SUM('PER BULAN'!BG171)</f>
        <v>0</v>
      </c>
      <c r="BB100" s="176">
        <f>SUM('PER BULAN'!BH171)</f>
        <v>0</v>
      </c>
      <c r="BC100" s="176">
        <f>SUM('PER BULAN'!BI171)</f>
        <v>0</v>
      </c>
      <c r="BD100" s="176">
        <f>SUM('PER BULAN'!BJ171)</f>
        <v>0</v>
      </c>
      <c r="BE100" s="176">
        <f>SUM('PER BULAN'!BK171)</f>
        <v>0</v>
      </c>
      <c r="BF100" s="176">
        <f>SUM('PER BULAN'!BL171)</f>
        <v>0</v>
      </c>
    </row>
    <row r="101" spans="1:58"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tr">
        <f>IF(LEFT(SP2D[[#This Row],[kdakun]],2)="51","Belanja Pegawai",IF(LEFT(SP2D[[#This Row],[kdakun]],2)="52","Belanja Barang",IF(LEFT(SP2D[[#This Row],[kdakun]],2)="53","Belanja Modal")))</f>
        <v>Belanja Barang</v>
      </c>
      <c r="AM101" s="162" t="s">
        <v>3775</v>
      </c>
      <c r="AN101" s="275">
        <f t="shared" si="8"/>
        <v>10196500</v>
      </c>
      <c r="AO101" s="175">
        <f t="shared" si="13"/>
        <v>43.855913978494627</v>
      </c>
      <c r="AP101" s="275">
        <f t="shared" si="10"/>
        <v>13053500</v>
      </c>
      <c r="AQ101" s="175">
        <f t="shared" si="14"/>
        <v>56.14408602150538</v>
      </c>
      <c r="AR101" s="162" t="str">
        <f t="shared" si="15"/>
        <v>WA.2378.EBD.953.301.A.521211</v>
      </c>
      <c r="AS101" s="162" t="str">
        <f>IF(ISNUMBER(SEARCH("COVID",SP2D[[#This Row],[Akun]])),"COVID","Non COVID")</f>
        <v>Non COVID</v>
      </c>
      <c r="AT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1" s="176">
        <f>SUM('PER BULAN'!BB177)</f>
        <v>0</v>
      </c>
      <c r="AW101" s="176">
        <f>SUM('PER BULAN'!BC177)</f>
        <v>0</v>
      </c>
      <c r="AX101" s="176">
        <f>SUM('PER BULAN'!BD177)</f>
        <v>0</v>
      </c>
      <c r="AY101" s="176">
        <f>SUM('PER BULAN'!BE177)</f>
        <v>0</v>
      </c>
      <c r="AZ101" s="176">
        <f>SUM('PER BULAN'!BF177)</f>
        <v>0</v>
      </c>
      <c r="BA101" s="176">
        <f>SUM('PER BULAN'!BG177)</f>
        <v>0</v>
      </c>
      <c r="BB101" s="176">
        <f>SUM('PER BULAN'!BH177)</f>
        <v>6278500</v>
      </c>
      <c r="BC101" s="176">
        <f>SUM('PER BULAN'!BI177)</f>
        <v>0</v>
      </c>
      <c r="BD101" s="176">
        <f>SUM('PER BULAN'!BJ177)</f>
        <v>0</v>
      </c>
      <c r="BE101" s="176">
        <f>SUM('PER BULAN'!BK177)</f>
        <v>0</v>
      </c>
      <c r="BF101" s="176">
        <f>SUM('PER BULAN'!BL177)</f>
        <v>3918000</v>
      </c>
    </row>
    <row r="102" spans="1:58"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tr">
        <f>IF(LEFT(SP2D[[#This Row],[kdakun]],2)="51","Belanja Pegawai",IF(LEFT(SP2D[[#This Row],[kdakun]],2)="52","Belanja Barang",IF(LEFT(SP2D[[#This Row],[kdakun]],2)="53","Belanja Modal")))</f>
        <v>Belanja Barang</v>
      </c>
      <c r="AM102" s="162" t="s">
        <v>3775</v>
      </c>
      <c r="AN102" s="275">
        <f t="shared" si="8"/>
        <v>499528</v>
      </c>
      <c r="AO102" s="175">
        <f t="shared" si="13"/>
        <v>24.976400000000002</v>
      </c>
      <c r="AP102" s="275">
        <f t="shared" si="10"/>
        <v>1500472</v>
      </c>
      <c r="AQ102" s="175">
        <f t="shared" si="14"/>
        <v>75.023600000000002</v>
      </c>
      <c r="AR102" s="162" t="str">
        <f t="shared" si="15"/>
        <v>WA.2378.EBD.953.301.A.521219</v>
      </c>
      <c r="AS102" s="162" t="str">
        <f>IF(ISNUMBER(SEARCH("COVID",SP2D[[#This Row],[Akun]])),"COVID","Non COVID")</f>
        <v>Non COVID</v>
      </c>
      <c r="AT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2" s="176">
        <f>SUM('PER BULAN'!BB178)</f>
        <v>0</v>
      </c>
      <c r="AW102" s="176">
        <f>SUM('PER BULAN'!BC178)</f>
        <v>499528</v>
      </c>
      <c r="AX102" s="176">
        <f>SUM('PER BULAN'!BD178)</f>
        <v>0</v>
      </c>
      <c r="AY102" s="176">
        <f>SUM('PER BULAN'!BE178)</f>
        <v>0</v>
      </c>
      <c r="AZ102" s="176">
        <f>SUM('PER BULAN'!BF178)</f>
        <v>0</v>
      </c>
      <c r="BA102" s="176">
        <f>SUM('PER BULAN'!BG178)</f>
        <v>0</v>
      </c>
      <c r="BB102" s="176">
        <f>SUM('PER BULAN'!BH178)</f>
        <v>0</v>
      </c>
      <c r="BC102" s="176">
        <f>SUM('PER BULAN'!BI178)</f>
        <v>0</v>
      </c>
      <c r="BD102" s="176">
        <f>SUM('PER BULAN'!BJ178)</f>
        <v>0</v>
      </c>
      <c r="BE102" s="176">
        <f>SUM('PER BULAN'!BK178)</f>
        <v>0</v>
      </c>
      <c r="BF102" s="176">
        <f>SUM('PER BULAN'!BL178)</f>
        <v>0</v>
      </c>
    </row>
    <row r="103" spans="1:58"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tr">
        <f>IF(LEFT(SP2D[[#This Row],[kdakun]],2)="51","Belanja Pegawai",IF(LEFT(SP2D[[#This Row],[kdakun]],2)="52","Belanja Barang",IF(LEFT(SP2D[[#This Row],[kdakun]],2)="53","Belanja Modal")))</f>
        <v>Belanja Barang</v>
      </c>
      <c r="AM103" s="162" t="s">
        <v>3775</v>
      </c>
      <c r="AN103" s="275">
        <f t="shared" si="8"/>
        <v>0</v>
      </c>
      <c r="AO103" s="175">
        <f t="shared" si="13"/>
        <v>0</v>
      </c>
      <c r="AP103" s="275">
        <f t="shared" si="10"/>
        <v>18539000</v>
      </c>
      <c r="AQ103" s="175">
        <f t="shared" si="14"/>
        <v>100</v>
      </c>
      <c r="AR103" s="162" t="str">
        <f t="shared" si="15"/>
        <v>WA.2378.EBD.953.301.A.524111</v>
      </c>
      <c r="AS103" s="162" t="str">
        <f>IF(ISNUMBER(SEARCH("COVID",SP2D[[#This Row],[Akun]])),"COVID","Non COVID")</f>
        <v>Non COVID</v>
      </c>
      <c r="AT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3" s="176">
        <f>SUM('PER BULAN'!BB179)</f>
        <v>0</v>
      </c>
      <c r="AW103" s="176">
        <f>SUM('PER BULAN'!BC179)</f>
        <v>0</v>
      </c>
      <c r="AX103" s="176">
        <f>SUM('PER BULAN'!BD179)</f>
        <v>0</v>
      </c>
      <c r="AY103" s="176">
        <f>SUM('PER BULAN'!BE179)</f>
        <v>0</v>
      </c>
      <c r="AZ103" s="176">
        <f>SUM('PER BULAN'!BF179)</f>
        <v>0</v>
      </c>
      <c r="BA103" s="176">
        <f>SUM('PER BULAN'!BG179)</f>
        <v>0</v>
      </c>
      <c r="BB103" s="176">
        <f>SUM('PER BULAN'!BH179)</f>
        <v>0</v>
      </c>
      <c r="BC103" s="176">
        <f>SUM('PER BULAN'!BI179)</f>
        <v>0</v>
      </c>
      <c r="BD103" s="176">
        <f>SUM('PER BULAN'!BJ179)</f>
        <v>0</v>
      </c>
      <c r="BE103" s="176">
        <f>SUM('PER BULAN'!BK179)</f>
        <v>0</v>
      </c>
      <c r="BF103" s="176">
        <f>SUM('PER BULAN'!BL179)</f>
        <v>0</v>
      </c>
    </row>
    <row r="104" spans="1:58"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tr">
        <f>IF(LEFT(SP2D[[#This Row],[kdakun]],2)="51","Belanja Pegawai",IF(LEFT(SP2D[[#This Row],[kdakun]],2)="52","Belanja Barang",IF(LEFT(SP2D[[#This Row],[kdakun]],2)="53","Belanja Modal")))</f>
        <v>Belanja Barang</v>
      </c>
      <c r="AM104" s="162" t="s">
        <v>3775</v>
      </c>
      <c r="AN104" s="275">
        <f t="shared" si="8"/>
        <v>9519000</v>
      </c>
      <c r="AO104" s="175">
        <f t="shared" si="13"/>
        <v>70.380776340110913</v>
      </c>
      <c r="AP104" s="275">
        <f t="shared" si="10"/>
        <v>4006000</v>
      </c>
      <c r="AQ104" s="175">
        <f t="shared" si="14"/>
        <v>29.619223659889094</v>
      </c>
      <c r="AR104" s="162" t="str">
        <f t="shared" si="15"/>
        <v>WA.2378.EBD.953.301.B.521211</v>
      </c>
      <c r="AS104" s="162" t="str">
        <f>IF(ISNUMBER(SEARCH("COVID",SP2D[[#This Row],[Akun]])),"COVID","Non COVID")</f>
        <v>Non COVID</v>
      </c>
      <c r="AT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4" s="176">
        <f>SUM('PER BULAN'!BB181)</f>
        <v>0</v>
      </c>
      <c r="AW104" s="176">
        <f>SUM('PER BULAN'!BC181)</f>
        <v>2499000</v>
      </c>
      <c r="AX104" s="176">
        <f>SUM('PER BULAN'!BD181)</f>
        <v>880000</v>
      </c>
      <c r="AY104" s="176">
        <f>SUM('PER BULAN'!BE181)</f>
        <v>0</v>
      </c>
      <c r="AZ104" s="176">
        <f>SUM('PER BULAN'!BF181)</f>
        <v>0</v>
      </c>
      <c r="BA104" s="176">
        <f>SUM('PER BULAN'!BG181)</f>
        <v>0</v>
      </c>
      <c r="BB104" s="176">
        <f>SUM('PER BULAN'!BH181)</f>
        <v>3500000</v>
      </c>
      <c r="BC104" s="176">
        <f>SUM('PER BULAN'!BI181)</f>
        <v>2640000</v>
      </c>
      <c r="BD104" s="176">
        <f>SUM('PER BULAN'!BJ181)</f>
        <v>0</v>
      </c>
      <c r="BE104" s="176">
        <f>SUM('PER BULAN'!BK181)</f>
        <v>0</v>
      </c>
      <c r="BF104" s="176">
        <f>SUM('PER BULAN'!BL181)</f>
        <v>0</v>
      </c>
    </row>
    <row r="105" spans="1:58"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tr">
        <f>IF(LEFT(SP2D[[#This Row],[kdakun]],2)="51","Belanja Pegawai",IF(LEFT(SP2D[[#This Row],[kdakun]],2)="52","Belanja Barang",IF(LEFT(SP2D[[#This Row],[kdakun]],2)="53","Belanja Modal")))</f>
        <v>Belanja Barang</v>
      </c>
      <c r="AM105" s="162" t="s">
        <v>3775</v>
      </c>
      <c r="AN105" s="275">
        <f t="shared" si="8"/>
        <v>913673</v>
      </c>
      <c r="AO105" s="175">
        <f t="shared" si="13"/>
        <v>45.68365</v>
      </c>
      <c r="AP105" s="275">
        <f t="shared" si="10"/>
        <v>1086327</v>
      </c>
      <c r="AQ105" s="175">
        <f t="shared" si="14"/>
        <v>54.31635</v>
      </c>
      <c r="AR105" s="162" t="str">
        <f t="shared" si="15"/>
        <v>WA.2378.EBD.953.301.B.521219</v>
      </c>
      <c r="AS105" s="162" t="str">
        <f>IF(ISNUMBER(SEARCH("COVID",SP2D[[#This Row],[Akun]])),"COVID","Non COVID")</f>
        <v>Non COVID</v>
      </c>
      <c r="AT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5" s="176">
        <f>SUM('PER BULAN'!BB182)</f>
        <v>0</v>
      </c>
      <c r="AW105" s="176">
        <f>SUM('PER BULAN'!BC182)</f>
        <v>0</v>
      </c>
      <c r="AX105" s="176">
        <f>SUM('PER BULAN'!BD182)</f>
        <v>0</v>
      </c>
      <c r="AY105" s="176">
        <f>SUM('PER BULAN'!BE182)</f>
        <v>0</v>
      </c>
      <c r="AZ105" s="176">
        <f>SUM('PER BULAN'!BF182)</f>
        <v>0</v>
      </c>
      <c r="BA105" s="176">
        <f>SUM('PER BULAN'!BG182)</f>
        <v>300383</v>
      </c>
      <c r="BB105" s="176">
        <f>SUM('PER BULAN'!BH182)</f>
        <v>302631</v>
      </c>
      <c r="BC105" s="176">
        <f>SUM('PER BULAN'!BI182)</f>
        <v>0</v>
      </c>
      <c r="BD105" s="176">
        <f>SUM('PER BULAN'!BJ182)</f>
        <v>0</v>
      </c>
      <c r="BE105" s="176">
        <f>SUM('PER BULAN'!BK182)</f>
        <v>0</v>
      </c>
      <c r="BF105" s="176">
        <f>SUM('PER BULAN'!BL182)</f>
        <v>310659</v>
      </c>
    </row>
    <row r="106" spans="1:58"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tr">
        <f>IF(LEFT(SP2D[[#This Row],[kdakun]],2)="51","Belanja Pegawai",IF(LEFT(SP2D[[#This Row],[kdakun]],2)="52","Belanja Barang",IF(LEFT(SP2D[[#This Row],[kdakun]],2)="53","Belanja Modal")))</f>
        <v>Belanja Barang</v>
      </c>
      <c r="AM106" s="162" t="s">
        <v>3775</v>
      </c>
      <c r="AN106" s="275">
        <f t="shared" si="8"/>
        <v>0</v>
      </c>
      <c r="AO106" s="175">
        <f t="shared" si="13"/>
        <v>0</v>
      </c>
      <c r="AP106" s="275">
        <f t="shared" si="10"/>
        <v>0</v>
      </c>
      <c r="AQ106" s="175">
        <f t="shared" si="14"/>
        <v>0</v>
      </c>
      <c r="AR106" s="162" t="str">
        <f t="shared" si="15"/>
        <v>WA.2378.EBD.953.301.B.522151</v>
      </c>
      <c r="AS106" s="162" t="str">
        <f>IF(ISNUMBER(SEARCH("COVID",SP2D[[#This Row],[Akun]])),"COVID","Non COVID")</f>
        <v>Non COVID</v>
      </c>
      <c r="AT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6" s="176">
        <f>SUM('PER BULAN'!BB183)</f>
        <v>0</v>
      </c>
      <c r="AW106" s="176">
        <f>SUM('PER BULAN'!BC183)</f>
        <v>0</v>
      </c>
      <c r="AX106" s="176">
        <f>SUM('PER BULAN'!BD183)</f>
        <v>0</v>
      </c>
      <c r="AY106" s="176">
        <f>SUM('PER BULAN'!BE183)</f>
        <v>0</v>
      </c>
      <c r="AZ106" s="176">
        <f>SUM('PER BULAN'!BF183)</f>
        <v>0</v>
      </c>
      <c r="BA106" s="176">
        <f>SUM('PER BULAN'!BG183)</f>
        <v>0</v>
      </c>
      <c r="BB106" s="176">
        <f>SUM('PER BULAN'!BH183)</f>
        <v>0</v>
      </c>
      <c r="BC106" s="176">
        <f>SUM('PER BULAN'!BI183)</f>
        <v>0</v>
      </c>
      <c r="BD106" s="176">
        <f>SUM('PER BULAN'!BJ183)</f>
        <v>0</v>
      </c>
      <c r="BE106" s="176">
        <f>SUM('PER BULAN'!BK183)</f>
        <v>0</v>
      </c>
      <c r="BF106" s="176">
        <f>SUM('PER BULAN'!BL183)</f>
        <v>0</v>
      </c>
    </row>
    <row r="107" spans="1:58"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tr">
        <f>IF(LEFT(SP2D[[#This Row],[kdakun]],2)="51","Belanja Pegawai",IF(LEFT(SP2D[[#This Row],[kdakun]],2)="52","Belanja Barang",IF(LEFT(SP2D[[#This Row],[kdakun]],2)="53","Belanja Modal")))</f>
        <v>Belanja Barang</v>
      </c>
      <c r="AM107" s="162" t="s">
        <v>3775</v>
      </c>
      <c r="AN107" s="275">
        <f t="shared" si="8"/>
        <v>60414255</v>
      </c>
      <c r="AO107" s="175">
        <f t="shared" si="13"/>
        <v>99.99876686253414</v>
      </c>
      <c r="AP107" s="275">
        <f t="shared" si="10"/>
        <v>745</v>
      </c>
      <c r="AQ107" s="175">
        <f t="shared" si="14"/>
        <v>1.2331374658611273E-3</v>
      </c>
      <c r="AR107" s="162" t="str">
        <f t="shared" si="15"/>
        <v>WA.2378.EBD.953.301.B.524111</v>
      </c>
      <c r="AS107" s="162" t="str">
        <f>IF(ISNUMBER(SEARCH("COVID",SP2D[[#This Row],[Akun]])),"COVID","Non COVID")</f>
        <v>Non COVID</v>
      </c>
      <c r="AT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7" s="176">
        <f>SUM('PER BULAN'!BB184)</f>
        <v>0</v>
      </c>
      <c r="AW107" s="176">
        <f>SUM('PER BULAN'!BC184)</f>
        <v>0</v>
      </c>
      <c r="AX107" s="176">
        <f>SUM('PER BULAN'!BD184)</f>
        <v>0</v>
      </c>
      <c r="AY107" s="176">
        <f>SUM('PER BULAN'!BE184)</f>
        <v>0</v>
      </c>
      <c r="AZ107" s="176">
        <f>SUM('PER BULAN'!BF184)</f>
        <v>0</v>
      </c>
      <c r="BA107" s="176">
        <f>SUM('PER BULAN'!BG184)</f>
        <v>0</v>
      </c>
      <c r="BB107" s="176">
        <f>SUM('PER BULAN'!BH184)</f>
        <v>21422224</v>
      </c>
      <c r="BC107" s="176">
        <f>SUM('PER BULAN'!BI184)</f>
        <v>0</v>
      </c>
      <c r="BD107" s="176">
        <f>SUM('PER BULAN'!BJ184)</f>
        <v>0</v>
      </c>
      <c r="BE107" s="176">
        <f>SUM('PER BULAN'!BK184)</f>
        <v>0</v>
      </c>
      <c r="BF107" s="176">
        <f>SUM('PER BULAN'!BL184)</f>
        <v>0</v>
      </c>
    </row>
    <row r="108" spans="1:58"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tr">
        <f>IF(LEFT(SP2D[[#This Row],[kdakun]],2)="51","Belanja Pegawai",IF(LEFT(SP2D[[#This Row],[kdakun]],2)="52","Belanja Barang",IF(LEFT(SP2D[[#This Row],[kdakun]],2)="53","Belanja Modal")))</f>
        <v>Belanja Barang</v>
      </c>
      <c r="AM108" s="162" t="s">
        <v>3775</v>
      </c>
      <c r="AN108" s="275">
        <f t="shared" si="8"/>
        <v>0</v>
      </c>
      <c r="AO108" s="175">
        <f t="shared" si="13"/>
        <v>0</v>
      </c>
      <c r="AP108" s="275">
        <f t="shared" si="10"/>
        <v>0</v>
      </c>
      <c r="AQ108" s="175">
        <f t="shared" si="14"/>
        <v>0</v>
      </c>
      <c r="AR108" s="162" t="str">
        <f t="shared" si="15"/>
        <v>WA.2378.EBD.953.301.B.524113</v>
      </c>
      <c r="AS108" s="162" t="str">
        <f>IF(ISNUMBER(SEARCH("COVID",SP2D[[#This Row],[Akun]])),"COVID","Non COVID")</f>
        <v>Non COVID</v>
      </c>
      <c r="AT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8" s="176">
        <f>SUM('PER BULAN'!BB185)</f>
        <v>0</v>
      </c>
      <c r="AW108" s="176">
        <f>SUM('PER BULAN'!BC185)</f>
        <v>0</v>
      </c>
      <c r="AX108" s="176">
        <f>SUM('PER BULAN'!BD185)</f>
        <v>0</v>
      </c>
      <c r="AY108" s="176">
        <f>SUM('PER BULAN'!BE185)</f>
        <v>0</v>
      </c>
      <c r="AZ108" s="176">
        <f>SUM('PER BULAN'!BF185)</f>
        <v>0</v>
      </c>
      <c r="BA108" s="176">
        <f>SUM('PER BULAN'!BG185)</f>
        <v>0</v>
      </c>
      <c r="BB108" s="176">
        <f>SUM('PER BULAN'!BH185)</f>
        <v>0</v>
      </c>
      <c r="BC108" s="176">
        <f>SUM('PER BULAN'!BI185)</f>
        <v>0</v>
      </c>
      <c r="BD108" s="176">
        <f>SUM('PER BULAN'!BJ185)</f>
        <v>0</v>
      </c>
      <c r="BE108" s="176">
        <f>SUM('PER BULAN'!BK185)</f>
        <v>0</v>
      </c>
      <c r="BF108" s="176">
        <f>SUM('PER BULAN'!BL185)</f>
        <v>0</v>
      </c>
    </row>
    <row r="109" spans="1:58"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tr">
        <f>IF(LEFT(SP2D[[#This Row],[kdakun]],2)="51","Belanja Pegawai",IF(LEFT(SP2D[[#This Row],[kdakun]],2)="52","Belanja Barang",IF(LEFT(SP2D[[#This Row],[kdakun]],2)="53","Belanja Modal")))</f>
        <v>Belanja Barang</v>
      </c>
      <c r="AM109" s="162" t="s">
        <v>3775</v>
      </c>
      <c r="AN109" s="275">
        <f t="shared" si="8"/>
        <v>11269000</v>
      </c>
      <c r="AO109" s="175">
        <f t="shared" si="13"/>
        <v>62.955307262569839</v>
      </c>
      <c r="AP109" s="275">
        <f t="shared" si="10"/>
        <v>6631000</v>
      </c>
      <c r="AQ109" s="175">
        <f t="shared" si="14"/>
        <v>37.044692737430168</v>
      </c>
      <c r="AR109" s="162" t="str">
        <f t="shared" si="15"/>
        <v>WA.2378.EBD.953.302.A.521211</v>
      </c>
      <c r="AS109" s="162" t="str">
        <f>IF(ISNUMBER(SEARCH("COVID",SP2D[[#This Row],[Akun]])),"COVID","Non COVID")</f>
        <v>Non COVID</v>
      </c>
      <c r="AT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9" s="176">
        <f>SUM('PER BULAN'!BB190)</f>
        <v>0</v>
      </c>
      <c r="AW109" s="176">
        <f>SUM('PER BULAN'!BC190)</f>
        <v>2498000</v>
      </c>
      <c r="AX109" s="176">
        <f>SUM('PER BULAN'!BD190)</f>
        <v>860000</v>
      </c>
      <c r="AY109" s="176">
        <f>SUM('PER BULAN'!BE190)</f>
        <v>0</v>
      </c>
      <c r="AZ109" s="176">
        <f>SUM('PER BULAN'!BF190)</f>
        <v>0</v>
      </c>
      <c r="BA109" s="176">
        <f>SUM('PER BULAN'!BG190)</f>
        <v>0</v>
      </c>
      <c r="BB109" s="176">
        <f>SUM('PER BULAN'!BH190)</f>
        <v>4986000</v>
      </c>
      <c r="BC109" s="176">
        <f>SUM('PER BULAN'!BI190)</f>
        <v>0</v>
      </c>
      <c r="BD109" s="176">
        <f>SUM('PER BULAN'!BJ190)</f>
        <v>0</v>
      </c>
      <c r="BE109" s="176">
        <f>SUM('PER BULAN'!BK190)</f>
        <v>0</v>
      </c>
      <c r="BF109" s="176">
        <f>SUM('PER BULAN'!BL190)</f>
        <v>2925000</v>
      </c>
    </row>
    <row r="110" spans="1:58"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tr">
        <f>IF(LEFT(SP2D[[#This Row],[kdakun]],2)="51","Belanja Pegawai",IF(LEFT(SP2D[[#This Row],[kdakun]],2)="52","Belanja Barang",IF(LEFT(SP2D[[#This Row],[kdakun]],2)="53","Belanja Modal")))</f>
        <v>Belanja Barang</v>
      </c>
      <c r="AM110" s="162" t="s">
        <v>3775</v>
      </c>
      <c r="AN110" s="275">
        <f t="shared" si="8"/>
        <v>302663</v>
      </c>
      <c r="AO110" s="175">
        <f t="shared" si="13"/>
        <v>15.133150000000001</v>
      </c>
      <c r="AP110" s="275">
        <f t="shared" si="10"/>
        <v>1697337</v>
      </c>
      <c r="AQ110" s="175">
        <f t="shared" si="14"/>
        <v>84.866849999999999</v>
      </c>
      <c r="AR110" s="162" t="str">
        <f t="shared" si="15"/>
        <v>WA.2378.EBD.953.302.A.521219</v>
      </c>
      <c r="AS110" s="162" t="str">
        <f>IF(ISNUMBER(SEARCH("COVID",SP2D[[#This Row],[Akun]])),"COVID","Non COVID")</f>
        <v>Non COVID</v>
      </c>
      <c r="AT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0" s="176">
        <f>SUM('PER BULAN'!BB191)</f>
        <v>0</v>
      </c>
      <c r="AW110" s="176">
        <f>SUM('PER BULAN'!BC191)</f>
        <v>0</v>
      </c>
      <c r="AX110" s="176">
        <f>SUM('PER BULAN'!BD191)</f>
        <v>0</v>
      </c>
      <c r="AY110" s="176">
        <f>SUM('PER BULAN'!BE191)</f>
        <v>0</v>
      </c>
      <c r="AZ110" s="176">
        <f>SUM('PER BULAN'!BF191)</f>
        <v>0</v>
      </c>
      <c r="BA110" s="176">
        <f>SUM('PER BULAN'!BG191)</f>
        <v>0</v>
      </c>
      <c r="BB110" s="176">
        <f>SUM('PER BULAN'!BH191)</f>
        <v>0</v>
      </c>
      <c r="BC110" s="176">
        <f>SUM('PER BULAN'!BI191)</f>
        <v>0</v>
      </c>
      <c r="BD110" s="176">
        <f>SUM('PER BULAN'!BJ191)</f>
        <v>0</v>
      </c>
      <c r="BE110" s="176">
        <f>SUM('PER BULAN'!BK191)</f>
        <v>0</v>
      </c>
      <c r="BF110" s="176">
        <f>SUM('PER BULAN'!BL191)</f>
        <v>0</v>
      </c>
    </row>
    <row r="111" spans="1:58"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tr">
        <f>IF(LEFT(SP2D[[#This Row],[kdakun]],2)="51","Belanja Pegawai",IF(LEFT(SP2D[[#This Row],[kdakun]],2)="52","Belanja Barang",IF(LEFT(SP2D[[#This Row],[kdakun]],2)="53","Belanja Modal")))</f>
        <v>Belanja Barang</v>
      </c>
      <c r="AM111" s="162" t="s">
        <v>3775</v>
      </c>
      <c r="AN111" s="275">
        <f t="shared" si="8"/>
        <v>29579000</v>
      </c>
      <c r="AO111" s="175">
        <f t="shared" si="13"/>
        <v>98.044350160761056</v>
      </c>
      <c r="AP111" s="275">
        <f t="shared" si="10"/>
        <v>590000</v>
      </c>
      <c r="AQ111" s="175">
        <f t="shared" si="14"/>
        <v>1.9556498392389539</v>
      </c>
      <c r="AR111" s="162" t="str">
        <f t="shared" si="15"/>
        <v>WA.2378.EBD.953.302.A.524111</v>
      </c>
      <c r="AS111" s="162" t="str">
        <f>IF(ISNUMBER(SEARCH("COVID",SP2D[[#This Row],[Akun]])),"COVID","Non COVID")</f>
        <v>Non COVID</v>
      </c>
      <c r="AT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1" s="176">
        <f>SUM('PER BULAN'!BB192)</f>
        <v>0</v>
      </c>
      <c r="AW111" s="176">
        <f>SUM('PER BULAN'!BC192)</f>
        <v>0</v>
      </c>
      <c r="AX111" s="176">
        <f>SUM('PER BULAN'!BD192)</f>
        <v>2490000</v>
      </c>
      <c r="AY111" s="176">
        <f>SUM('PER BULAN'!BE192)</f>
        <v>0</v>
      </c>
      <c r="AZ111" s="176">
        <f>SUM('PER BULAN'!BF192)</f>
        <v>0</v>
      </c>
      <c r="BA111" s="176">
        <f>SUM('PER BULAN'!BG192)</f>
        <v>0</v>
      </c>
      <c r="BB111" s="176">
        <f>SUM('PER BULAN'!BH192)</f>
        <v>0</v>
      </c>
      <c r="BC111" s="176">
        <f>SUM('PER BULAN'!BI192)</f>
        <v>0</v>
      </c>
      <c r="BD111" s="176">
        <f>SUM('PER BULAN'!BJ192)</f>
        <v>0</v>
      </c>
      <c r="BE111" s="176">
        <f>SUM('PER BULAN'!BK192)</f>
        <v>0</v>
      </c>
      <c r="BF111" s="176">
        <f>SUM('PER BULAN'!BL192)</f>
        <v>5185000</v>
      </c>
    </row>
    <row r="112" spans="1:58"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tr">
        <f>IF(LEFT(SP2D[[#This Row],[kdakun]],2)="51","Belanja Pegawai",IF(LEFT(SP2D[[#This Row],[kdakun]],2)="52","Belanja Barang",IF(LEFT(SP2D[[#This Row],[kdakun]],2)="53","Belanja Modal")))</f>
        <v>Belanja Barang</v>
      </c>
      <c r="AM112" s="162" t="s">
        <v>3775</v>
      </c>
      <c r="AN112" s="275">
        <f t="shared" si="8"/>
        <v>16821000</v>
      </c>
      <c r="AO112" s="175">
        <f t="shared" si="13"/>
        <v>91.418478260869563</v>
      </c>
      <c r="AP112" s="275">
        <f t="shared" si="10"/>
        <v>1579000</v>
      </c>
      <c r="AQ112" s="175">
        <f t="shared" si="14"/>
        <v>8.5815217391304355</v>
      </c>
      <c r="AR112" s="162" t="str">
        <f t="shared" si="15"/>
        <v>WA.2378.EBD.955.301.A.521211</v>
      </c>
      <c r="AS112" s="162" t="str">
        <f>IF(ISNUMBER(SEARCH("COVID",SP2D[[#This Row],[Akun]])),"COVID","Non COVID")</f>
        <v>Non COVID</v>
      </c>
      <c r="AT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2" s="176">
        <f>SUM('PER BULAN'!BB198)</f>
        <v>0</v>
      </c>
      <c r="AW112" s="176">
        <f>SUM('PER BULAN'!BC198)</f>
        <v>3275000</v>
      </c>
      <c r="AX112" s="176">
        <f>SUM('PER BULAN'!BD198)</f>
        <v>2450000</v>
      </c>
      <c r="AY112" s="176">
        <f>SUM('PER BULAN'!BE198)</f>
        <v>2446000</v>
      </c>
      <c r="AZ112" s="176">
        <f>SUM('PER BULAN'!BF198)</f>
        <v>1810000</v>
      </c>
      <c r="BA112" s="176">
        <f>SUM('PER BULAN'!BG198)</f>
        <v>0</v>
      </c>
      <c r="BB112" s="176">
        <f>SUM('PER BULAN'!BH198)</f>
        <v>3850000</v>
      </c>
      <c r="BC112" s="176">
        <f>SUM('PER BULAN'!BI198)</f>
        <v>0</v>
      </c>
      <c r="BD112" s="176">
        <f>SUM('PER BULAN'!BJ198)</f>
        <v>2290000</v>
      </c>
      <c r="BE112" s="176">
        <f>SUM('PER BULAN'!BK198)</f>
        <v>0</v>
      </c>
      <c r="BF112" s="176">
        <f>SUM('PER BULAN'!BL198)</f>
        <v>700000</v>
      </c>
    </row>
    <row r="113" spans="1:58"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tr">
        <f>IF(LEFT(SP2D[[#This Row],[kdakun]],2)="51","Belanja Pegawai",IF(LEFT(SP2D[[#This Row],[kdakun]],2)="52","Belanja Barang",IF(LEFT(SP2D[[#This Row],[kdakun]],2)="53","Belanja Modal")))</f>
        <v>Belanja Barang</v>
      </c>
      <c r="AM113" s="162" t="s">
        <v>3775</v>
      </c>
      <c r="AN113" s="275">
        <f t="shared" si="8"/>
        <v>8701552</v>
      </c>
      <c r="AO113" s="175">
        <f t="shared" si="13"/>
        <v>99.994851758216498</v>
      </c>
      <c r="AP113" s="275">
        <f t="shared" si="10"/>
        <v>448</v>
      </c>
      <c r="AQ113" s="175">
        <f t="shared" si="14"/>
        <v>5.1482417834980464E-3</v>
      </c>
      <c r="AR113" s="162" t="str">
        <f t="shared" si="15"/>
        <v>WA.2378.EBD.955.301.A.524111</v>
      </c>
      <c r="AS113" s="162" t="str">
        <f>IF(ISNUMBER(SEARCH("COVID",SP2D[[#This Row],[Akun]])),"COVID","Non COVID")</f>
        <v>Non COVID</v>
      </c>
      <c r="AT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3" s="176">
        <f>SUM('PER BULAN'!BB199)</f>
        <v>0</v>
      </c>
      <c r="AW113" s="176">
        <f>SUM('PER BULAN'!BC199)</f>
        <v>0</v>
      </c>
      <c r="AX113" s="176">
        <f>SUM('PER BULAN'!BD199)</f>
        <v>0</v>
      </c>
      <c r="AY113" s="176">
        <f>SUM('PER BULAN'!BE199)</f>
        <v>0</v>
      </c>
      <c r="AZ113" s="176">
        <f>SUM('PER BULAN'!BF199)</f>
        <v>0</v>
      </c>
      <c r="BA113" s="176">
        <f>SUM('PER BULAN'!BG199)</f>
        <v>0</v>
      </c>
      <c r="BB113" s="176">
        <f>SUM('PER BULAN'!BH199)</f>
        <v>8701552</v>
      </c>
      <c r="BC113" s="176">
        <f>SUM('PER BULAN'!BI199)</f>
        <v>0</v>
      </c>
      <c r="BD113" s="176">
        <f>SUM('PER BULAN'!BJ199)</f>
        <v>0</v>
      </c>
      <c r="BE113" s="176">
        <f>SUM('PER BULAN'!BK199)</f>
        <v>0</v>
      </c>
      <c r="BF113" s="176">
        <f>SUM('PER BULAN'!BL199)</f>
        <v>0</v>
      </c>
    </row>
    <row r="114" spans="1:58"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tr">
        <f>IF(LEFT(SP2D[[#This Row],[kdakun]],2)="51","Belanja Pegawai",IF(LEFT(SP2D[[#This Row],[kdakun]],2)="52","Belanja Barang",IF(LEFT(SP2D[[#This Row],[kdakun]],2)="53","Belanja Modal")))</f>
        <v>Belanja Barang</v>
      </c>
      <c r="AM114" s="162" t="s">
        <v>3775</v>
      </c>
      <c r="AN114" s="275">
        <f t="shared" si="8"/>
        <v>7364000</v>
      </c>
      <c r="AO114" s="175">
        <f t="shared" si="13"/>
        <v>98.186666666666667</v>
      </c>
      <c r="AP114" s="275">
        <f t="shared" si="10"/>
        <v>136000</v>
      </c>
      <c r="AQ114" s="175">
        <f t="shared" si="14"/>
        <v>1.8133333333333335</v>
      </c>
      <c r="AR114" s="162" t="str">
        <f t="shared" si="15"/>
        <v>WA.2378.EBD.955.301.B.521211</v>
      </c>
      <c r="AS114" s="162" t="str">
        <f>IF(ISNUMBER(SEARCH("COVID",SP2D[[#This Row],[Akun]])),"COVID","Non COVID")</f>
        <v>Non COVID</v>
      </c>
      <c r="AT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4" s="176">
        <f>SUM('PER BULAN'!BB201)</f>
        <v>0</v>
      </c>
      <c r="AW114" s="176">
        <f>SUM('PER BULAN'!BC201)</f>
        <v>2500000</v>
      </c>
      <c r="AX114" s="176">
        <f>SUM('PER BULAN'!BD201)</f>
        <v>0</v>
      </c>
      <c r="AY114" s="176">
        <f>SUM('PER BULAN'!BE201)</f>
        <v>0</v>
      </c>
      <c r="AZ114" s="176">
        <f>SUM('PER BULAN'!BF201)</f>
        <v>0</v>
      </c>
      <c r="BA114" s="176">
        <f>SUM('PER BULAN'!BG201)</f>
        <v>2444000</v>
      </c>
      <c r="BB114" s="176">
        <f>SUM('PER BULAN'!BH201)</f>
        <v>0</v>
      </c>
      <c r="BC114" s="176">
        <f>SUM('PER BULAN'!BI201)</f>
        <v>0</v>
      </c>
      <c r="BD114" s="176">
        <f>SUM('PER BULAN'!BJ201)</f>
        <v>0</v>
      </c>
      <c r="BE114" s="176">
        <f>SUM('PER BULAN'!BK201)</f>
        <v>0</v>
      </c>
      <c r="BF114" s="176">
        <f>SUM('PER BULAN'!BL201)</f>
        <v>0</v>
      </c>
    </row>
    <row r="115" spans="1:58"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tr">
        <f>IF(LEFT(SP2D[[#This Row],[kdakun]],2)="51","Belanja Pegawai",IF(LEFT(SP2D[[#This Row],[kdakun]],2)="52","Belanja Barang",IF(LEFT(SP2D[[#This Row],[kdakun]],2)="53","Belanja Modal")))</f>
        <v>Belanja Barang</v>
      </c>
      <c r="AM115" s="162" t="s">
        <v>3775</v>
      </c>
      <c r="AN115" s="275">
        <f t="shared" si="8"/>
        <v>2850000</v>
      </c>
      <c r="AO115" s="175">
        <f t="shared" si="13"/>
        <v>53.271028037383175</v>
      </c>
      <c r="AP115" s="275">
        <f t="shared" si="10"/>
        <v>2500000</v>
      </c>
      <c r="AQ115" s="175">
        <f t="shared" si="14"/>
        <v>46.728971962616825</v>
      </c>
      <c r="AR115" s="162" t="str">
        <f t="shared" si="15"/>
        <v>WA.2378.EBD.955.301.B.524111</v>
      </c>
      <c r="AS115" s="162" t="str">
        <f>IF(ISNUMBER(SEARCH("COVID",SP2D[[#This Row],[Akun]])),"COVID","Non COVID")</f>
        <v>Non COVID</v>
      </c>
      <c r="AT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5" s="176">
        <f>SUM('PER BULAN'!BB202)</f>
        <v>0</v>
      </c>
      <c r="AW115" s="176">
        <f>SUM('PER BULAN'!BC202)</f>
        <v>2850000</v>
      </c>
      <c r="AX115" s="176">
        <f>SUM('PER BULAN'!BD202)</f>
        <v>0</v>
      </c>
      <c r="AY115" s="176">
        <f>SUM('PER BULAN'!BE202)</f>
        <v>0</v>
      </c>
      <c r="AZ115" s="176">
        <f>SUM('PER BULAN'!BF202)</f>
        <v>0</v>
      </c>
      <c r="BA115" s="176">
        <f>SUM('PER BULAN'!BG202)</f>
        <v>0</v>
      </c>
      <c r="BB115" s="176">
        <f>SUM('PER BULAN'!BH202)</f>
        <v>0</v>
      </c>
      <c r="BC115" s="176">
        <f>SUM('PER BULAN'!BI202)</f>
        <v>0</v>
      </c>
      <c r="BD115" s="176">
        <f>SUM('PER BULAN'!BJ202)</f>
        <v>0</v>
      </c>
      <c r="BE115" s="176">
        <f>SUM('PER BULAN'!BK202)</f>
        <v>0</v>
      </c>
      <c r="BF115" s="176">
        <f>SUM('PER BULAN'!BL202)</f>
        <v>0</v>
      </c>
    </row>
    <row r="116" spans="1:58"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tr">
        <f>IF(LEFT(SP2D[[#This Row],[kdakun]],2)="51","Belanja Pegawai",IF(LEFT(SP2D[[#This Row],[kdakun]],2)="52","Belanja Barang",IF(LEFT(SP2D[[#This Row],[kdakun]],2)="53","Belanja Modal")))</f>
        <v>Belanja Barang</v>
      </c>
      <c r="AM116" s="162" t="s">
        <v>3775</v>
      </c>
      <c r="AN116" s="275">
        <f t="shared" si="8"/>
        <v>7467500</v>
      </c>
      <c r="AO116" s="175">
        <f t="shared" si="13"/>
        <v>99.566666666666663</v>
      </c>
      <c r="AP116" s="275">
        <f t="shared" si="10"/>
        <v>32500</v>
      </c>
      <c r="AQ116" s="175">
        <f t="shared" si="14"/>
        <v>0.43333333333333329</v>
      </c>
      <c r="AR116" s="162" t="str">
        <f t="shared" si="15"/>
        <v>WA.2378.EBD.955.301.C.521211</v>
      </c>
      <c r="AS116" s="162" t="str">
        <f>IF(ISNUMBER(SEARCH("COVID",SP2D[[#This Row],[Akun]])),"COVID","Non COVID")</f>
        <v>Non COVID</v>
      </c>
      <c r="AT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6" s="176">
        <f>SUM('PER BULAN'!BB204)</f>
        <v>0</v>
      </c>
      <c r="AW116" s="176">
        <f>SUM('PER BULAN'!BC204)</f>
        <v>0</v>
      </c>
      <c r="AX116" s="176">
        <f>SUM('PER BULAN'!BD204)</f>
        <v>2469500</v>
      </c>
      <c r="AY116" s="176">
        <f>SUM('PER BULAN'!BE204)</f>
        <v>0</v>
      </c>
      <c r="AZ116" s="176">
        <f>SUM('PER BULAN'!BF204)</f>
        <v>0</v>
      </c>
      <c r="BA116" s="176">
        <f>SUM('PER BULAN'!BG204)</f>
        <v>2499000</v>
      </c>
      <c r="BB116" s="176">
        <f>SUM('PER BULAN'!BH204)</f>
        <v>0</v>
      </c>
      <c r="BC116" s="176">
        <f>SUM('PER BULAN'!BI204)</f>
        <v>0</v>
      </c>
      <c r="BD116" s="176">
        <f>SUM('PER BULAN'!BJ204)</f>
        <v>2499000</v>
      </c>
      <c r="BE116" s="176">
        <f>SUM('PER BULAN'!BK204)</f>
        <v>0</v>
      </c>
      <c r="BF116" s="176">
        <f>SUM('PER BULAN'!BL204)</f>
        <v>0</v>
      </c>
    </row>
    <row r="117" spans="1:58"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tr">
        <f>IF(LEFT(SP2D[[#This Row],[kdakun]],2)="51","Belanja Pegawai",IF(LEFT(SP2D[[#This Row],[kdakun]],2)="52","Belanja Barang",IF(LEFT(SP2D[[#This Row],[kdakun]],2)="53","Belanja Modal")))</f>
        <v>Belanja Barang</v>
      </c>
      <c r="AM117" s="162" t="s">
        <v>3775</v>
      </c>
      <c r="AN117" s="275">
        <f t="shared" si="8"/>
        <v>0</v>
      </c>
      <c r="AO117" s="175">
        <f t="shared" si="13"/>
        <v>0</v>
      </c>
      <c r="AP117" s="275">
        <f t="shared" si="10"/>
        <v>0</v>
      </c>
      <c r="AQ117" s="175">
        <f t="shared" si="14"/>
        <v>0</v>
      </c>
      <c r="AR117" s="162" t="str">
        <f t="shared" si="15"/>
        <v>WA.2378.EBD.955.301.C.524111</v>
      </c>
      <c r="AS117" s="162" t="str">
        <f>IF(ISNUMBER(SEARCH("COVID",SP2D[[#This Row],[Akun]])),"COVID","Non COVID")</f>
        <v>Non COVID</v>
      </c>
      <c r="AT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7" s="176">
        <f>SUM('PER BULAN'!BB205)</f>
        <v>0</v>
      </c>
      <c r="AW117" s="176">
        <f>SUM('PER BULAN'!BC205)</f>
        <v>0</v>
      </c>
      <c r="AX117" s="176">
        <f>SUM('PER BULAN'!BD205)</f>
        <v>0</v>
      </c>
      <c r="AY117" s="176">
        <f>SUM('PER BULAN'!BE205)</f>
        <v>0</v>
      </c>
      <c r="AZ117" s="176">
        <f>SUM('PER BULAN'!BF205)</f>
        <v>0</v>
      </c>
      <c r="BA117" s="176">
        <f>SUM('PER BULAN'!BG205)</f>
        <v>0</v>
      </c>
      <c r="BB117" s="176">
        <f>SUM('PER BULAN'!BH205)</f>
        <v>0</v>
      </c>
      <c r="BC117" s="176">
        <f>SUM('PER BULAN'!BI205)</f>
        <v>0</v>
      </c>
      <c r="BD117" s="176">
        <f>SUM('PER BULAN'!BJ205)</f>
        <v>0</v>
      </c>
      <c r="BE117" s="176">
        <f>SUM('PER BULAN'!BK205)</f>
        <v>0</v>
      </c>
      <c r="BF117" s="176">
        <f>SUM('PER BULAN'!BL205)</f>
        <v>0</v>
      </c>
    </row>
    <row r="118" spans="1:58"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tr">
        <f>IF(LEFT(SP2D[[#This Row],[kdakun]],2)="51","Belanja Pegawai",IF(LEFT(SP2D[[#This Row],[kdakun]],2)="52","Belanja Barang",IF(LEFT(SP2D[[#This Row],[kdakun]],2)="53","Belanja Modal")))</f>
        <v>Belanja Barang</v>
      </c>
      <c r="AM118" s="162" t="s">
        <v>3775</v>
      </c>
      <c r="AN118" s="275">
        <f t="shared" si="8"/>
        <v>12465000</v>
      </c>
      <c r="AO118" s="175">
        <f t="shared" si="13"/>
        <v>89.035714285714278</v>
      </c>
      <c r="AP118" s="275">
        <f t="shared" si="10"/>
        <v>1535000</v>
      </c>
      <c r="AQ118" s="175">
        <f t="shared" si="14"/>
        <v>10.964285714285714</v>
      </c>
      <c r="AR118" s="162" t="str">
        <f t="shared" si="15"/>
        <v>WA.2378.EBD.955.301.D.521211</v>
      </c>
      <c r="AS118" s="162" t="str">
        <f>IF(ISNUMBER(SEARCH("COVID",SP2D[[#This Row],[Akun]])),"COVID","Non COVID")</f>
        <v>Non COVID</v>
      </c>
      <c r="AT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8" s="176">
        <f>SUM('PER BULAN'!BB207)</f>
        <v>0</v>
      </c>
      <c r="AW118" s="176">
        <f>SUM('PER BULAN'!BC207)</f>
        <v>2500000</v>
      </c>
      <c r="AX118" s="176">
        <f>SUM('PER BULAN'!BD207)</f>
        <v>0</v>
      </c>
      <c r="AY118" s="176">
        <f>SUM('PER BULAN'!BE207)</f>
        <v>3400000</v>
      </c>
      <c r="AZ118" s="176">
        <f>SUM('PER BULAN'!BF207)</f>
        <v>2590000</v>
      </c>
      <c r="BA118" s="176">
        <f>SUM('PER BULAN'!BG207)</f>
        <v>2495000</v>
      </c>
      <c r="BB118" s="176">
        <f>SUM('PER BULAN'!BH207)</f>
        <v>0</v>
      </c>
      <c r="BC118" s="176">
        <f>SUM('PER BULAN'!BI207)</f>
        <v>0</v>
      </c>
      <c r="BD118" s="176">
        <f>SUM('PER BULAN'!BJ207)</f>
        <v>1480000</v>
      </c>
      <c r="BE118" s="176">
        <f>SUM('PER BULAN'!BK207)</f>
        <v>0</v>
      </c>
      <c r="BF118" s="176">
        <f>SUM('PER BULAN'!BL207)</f>
        <v>0</v>
      </c>
    </row>
    <row r="119" spans="1:58"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tr">
        <f>IF(LEFT(SP2D[[#This Row],[kdakun]],2)="51","Belanja Pegawai",IF(LEFT(SP2D[[#This Row],[kdakun]],2)="52","Belanja Barang",IF(LEFT(SP2D[[#This Row],[kdakun]],2)="53","Belanja Modal")))</f>
        <v>Belanja Barang</v>
      </c>
      <c r="AM119" s="162" t="s">
        <v>3775</v>
      </c>
      <c r="AN119" s="275">
        <f t="shared" si="8"/>
        <v>0</v>
      </c>
      <c r="AO119" s="175">
        <f t="shared" si="13"/>
        <v>0</v>
      </c>
      <c r="AP119" s="275">
        <f t="shared" si="10"/>
        <v>0</v>
      </c>
      <c r="AQ119" s="175">
        <f t="shared" si="14"/>
        <v>0</v>
      </c>
      <c r="AR119" s="162" t="str">
        <f t="shared" si="15"/>
        <v>WA.2378.EBD.955.301.D.522151</v>
      </c>
      <c r="AS119" s="162" t="str">
        <f>IF(ISNUMBER(SEARCH("COVID",SP2D[[#This Row],[Akun]])),"COVID","Non COVID")</f>
        <v>Non COVID</v>
      </c>
      <c r="AT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9" s="176">
        <f>SUM('PER BULAN'!BB208)</f>
        <v>0</v>
      </c>
      <c r="AW119" s="176">
        <f>SUM('PER BULAN'!BC208)</f>
        <v>0</v>
      </c>
      <c r="AX119" s="176">
        <f>SUM('PER BULAN'!BD208)</f>
        <v>0</v>
      </c>
      <c r="AY119" s="176">
        <f>SUM('PER BULAN'!BE208)</f>
        <v>0</v>
      </c>
      <c r="AZ119" s="176">
        <f>SUM('PER BULAN'!BF208)</f>
        <v>0</v>
      </c>
      <c r="BA119" s="176">
        <f>SUM('PER BULAN'!BG208)</f>
        <v>0</v>
      </c>
      <c r="BB119" s="176">
        <f>SUM('PER BULAN'!BH208)</f>
        <v>0</v>
      </c>
      <c r="BC119" s="176">
        <f>SUM('PER BULAN'!BI208)</f>
        <v>0</v>
      </c>
      <c r="BD119" s="176">
        <f>SUM('PER BULAN'!BJ208)</f>
        <v>0</v>
      </c>
      <c r="BE119" s="176">
        <f>SUM('PER BULAN'!BK208)</f>
        <v>0</v>
      </c>
      <c r="BF119" s="176">
        <f>SUM('PER BULAN'!BL208)</f>
        <v>0</v>
      </c>
    </row>
    <row r="120" spans="1:58"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tr">
        <f>IF(LEFT(SP2D[[#This Row],[kdakun]],2)="51","Belanja Pegawai",IF(LEFT(SP2D[[#This Row],[kdakun]],2)="52","Belanja Barang",IF(LEFT(SP2D[[#This Row],[kdakun]],2)="53","Belanja Modal")))</f>
        <v>Belanja Barang</v>
      </c>
      <c r="AM120" s="162" t="s">
        <v>3775</v>
      </c>
      <c r="AN120" s="275">
        <f t="shared" si="8"/>
        <v>20634468</v>
      </c>
      <c r="AO120" s="175">
        <f t="shared" si="13"/>
        <v>99.997421856069778</v>
      </c>
      <c r="AP120" s="275">
        <f t="shared" si="10"/>
        <v>532</v>
      </c>
      <c r="AQ120" s="175">
        <f t="shared" si="14"/>
        <v>2.578143930215653E-3</v>
      </c>
      <c r="AR120" s="162" t="str">
        <f t="shared" si="15"/>
        <v>WA.2378.EBD.955.301.D.524111</v>
      </c>
      <c r="AS120" s="162" t="str">
        <f>IF(ISNUMBER(SEARCH("COVID",SP2D[[#This Row],[Akun]])),"COVID","Non COVID")</f>
        <v>Non COVID</v>
      </c>
      <c r="AT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0" s="176">
        <f>SUM('PER BULAN'!BB209)</f>
        <v>0</v>
      </c>
      <c r="AW120" s="176">
        <f>SUM('PER BULAN'!BC209)</f>
        <v>0</v>
      </c>
      <c r="AX120" s="176">
        <f>SUM('PER BULAN'!BD209)</f>
        <v>0</v>
      </c>
      <c r="AY120" s="176">
        <f>SUM('PER BULAN'!BE209)</f>
        <v>11593200</v>
      </c>
      <c r="AZ120" s="176">
        <f>SUM('PER BULAN'!BF209)</f>
        <v>0</v>
      </c>
      <c r="BA120" s="176">
        <f>SUM('PER BULAN'!BG209)</f>
        <v>0</v>
      </c>
      <c r="BB120" s="176">
        <f>SUM('PER BULAN'!BH209)</f>
        <v>9041268</v>
      </c>
      <c r="BC120" s="176">
        <f>SUM('PER BULAN'!BI209)</f>
        <v>0</v>
      </c>
      <c r="BD120" s="176">
        <f>SUM('PER BULAN'!BJ209)</f>
        <v>0</v>
      </c>
      <c r="BE120" s="176">
        <f>SUM('PER BULAN'!BK209)</f>
        <v>0</v>
      </c>
      <c r="BF120" s="176">
        <f>SUM('PER BULAN'!BL209)</f>
        <v>0</v>
      </c>
    </row>
    <row r="121" spans="1:58"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tr">
        <f>IF(LEFT(SP2D[[#This Row],[kdakun]],2)="51","Belanja Pegawai",IF(LEFT(SP2D[[#This Row],[kdakun]],2)="52","Belanja Barang",IF(LEFT(SP2D[[#This Row],[kdakun]],2)="53","Belanja Modal")))</f>
        <v>Belanja Barang</v>
      </c>
      <c r="AM121" s="162" t="s">
        <v>3775</v>
      </c>
      <c r="AN121" s="275">
        <f t="shared" si="8"/>
        <v>4944000</v>
      </c>
      <c r="AO121" s="175">
        <f t="shared" si="13"/>
        <v>65.92</v>
      </c>
      <c r="AP121" s="275">
        <f t="shared" si="10"/>
        <v>2556000</v>
      </c>
      <c r="AQ121" s="175">
        <f t="shared" si="14"/>
        <v>34.08</v>
      </c>
      <c r="AR121" s="162" t="str">
        <f t="shared" si="15"/>
        <v>WA.2378.EBD.955.301.E.521211</v>
      </c>
      <c r="AS121" s="162" t="str">
        <f>IF(ISNUMBER(SEARCH("COVID",SP2D[[#This Row],[Akun]])),"COVID","Non COVID")</f>
        <v>Non COVID</v>
      </c>
      <c r="AT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1" s="176">
        <f>SUM('PER BULAN'!BB211)</f>
        <v>0</v>
      </c>
      <c r="AW121" s="176">
        <f>SUM('PER BULAN'!BC211)</f>
        <v>2499500</v>
      </c>
      <c r="AX121" s="176">
        <f>SUM('PER BULAN'!BD211)</f>
        <v>0</v>
      </c>
      <c r="AY121" s="176">
        <f>SUM('PER BULAN'!BE211)</f>
        <v>0</v>
      </c>
      <c r="AZ121" s="176">
        <f>SUM('PER BULAN'!BF211)</f>
        <v>0</v>
      </c>
      <c r="BA121" s="176">
        <f>SUM('PER BULAN'!BG211)</f>
        <v>2444500</v>
      </c>
      <c r="BB121" s="176">
        <f>SUM('PER BULAN'!BH211)</f>
        <v>0</v>
      </c>
      <c r="BC121" s="176">
        <f>SUM('PER BULAN'!BI211)</f>
        <v>0</v>
      </c>
      <c r="BD121" s="176">
        <f>SUM('PER BULAN'!BJ211)</f>
        <v>0</v>
      </c>
      <c r="BE121" s="176">
        <f>SUM('PER BULAN'!BK211)</f>
        <v>0</v>
      </c>
      <c r="BF121" s="176">
        <f>SUM('PER BULAN'!BL211)</f>
        <v>0</v>
      </c>
    </row>
    <row r="122" spans="1:58"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tr">
        <f>IF(LEFT(SP2D[[#This Row],[kdakun]],2)="51","Belanja Pegawai",IF(LEFT(SP2D[[#This Row],[kdakun]],2)="52","Belanja Barang",IF(LEFT(SP2D[[#This Row],[kdakun]],2)="53","Belanja Modal")))</f>
        <v>Belanja Barang</v>
      </c>
      <c r="AM122" s="162" t="s">
        <v>3775</v>
      </c>
      <c r="AN122" s="275">
        <f t="shared" si="8"/>
        <v>0</v>
      </c>
      <c r="AO122" s="175">
        <f t="shared" si="13"/>
        <v>0</v>
      </c>
      <c r="AP122" s="275">
        <f t="shared" si="10"/>
        <v>0</v>
      </c>
      <c r="AQ122" s="175">
        <f t="shared" si="14"/>
        <v>0</v>
      </c>
      <c r="AR122" s="162" t="str">
        <f t="shared" si="15"/>
        <v>WA.2378.EBD.955.301.E.524111</v>
      </c>
      <c r="AS122" s="162" t="str">
        <f>IF(ISNUMBER(SEARCH("COVID",SP2D[[#This Row],[Akun]])),"COVID","Non COVID")</f>
        <v>Non COVID</v>
      </c>
      <c r="AT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2" s="176">
        <f>SUM('PER BULAN'!BB212)</f>
        <v>0</v>
      </c>
      <c r="AW122" s="176">
        <f>SUM('PER BULAN'!BC212)</f>
        <v>0</v>
      </c>
      <c r="AX122" s="176">
        <f>SUM('PER BULAN'!BD212)</f>
        <v>0</v>
      </c>
      <c r="AY122" s="176">
        <f>SUM('PER BULAN'!BE212)</f>
        <v>0</v>
      </c>
      <c r="AZ122" s="176">
        <f>SUM('PER BULAN'!BF212)</f>
        <v>0</v>
      </c>
      <c r="BA122" s="176">
        <f>SUM('PER BULAN'!BG212)</f>
        <v>0</v>
      </c>
      <c r="BB122" s="176">
        <f>SUM('PER BULAN'!BH212)</f>
        <v>0</v>
      </c>
      <c r="BC122" s="176">
        <f>SUM('PER BULAN'!BI212)</f>
        <v>0</v>
      </c>
      <c r="BD122" s="176">
        <f>SUM('PER BULAN'!BJ212)</f>
        <v>0</v>
      </c>
      <c r="BE122" s="176">
        <f>SUM('PER BULAN'!BK212)</f>
        <v>0</v>
      </c>
      <c r="BF122" s="176">
        <f>SUM('PER BULAN'!BL212)</f>
        <v>0</v>
      </c>
    </row>
    <row r="123" spans="1:58"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tr">
        <f>IF(LEFT(SP2D[[#This Row],[kdakun]],2)="51","Belanja Pegawai",IF(LEFT(SP2D[[#This Row],[kdakun]],2)="52","Belanja Barang",IF(LEFT(SP2D[[#This Row],[kdakun]],2)="53","Belanja Modal")))</f>
        <v>Belanja Barang</v>
      </c>
      <c r="AM123" s="162" t="s">
        <v>3775</v>
      </c>
      <c r="AN123" s="275">
        <f t="shared" si="8"/>
        <v>575000</v>
      </c>
      <c r="AO123" s="175">
        <f t="shared" si="13"/>
        <v>11.979166666666668</v>
      </c>
      <c r="AP123" s="275">
        <f t="shared" si="10"/>
        <v>4225000</v>
      </c>
      <c r="AQ123" s="175">
        <f t="shared" si="14"/>
        <v>88.020833333333343</v>
      </c>
      <c r="AR123" s="162" t="str">
        <f t="shared" si="15"/>
        <v>WA.2378.EBD.955.301.F.521211</v>
      </c>
      <c r="AS123" s="162" t="str">
        <f>IF(ISNUMBER(SEARCH("COVID",SP2D[[#This Row],[Akun]])),"COVID","Non COVID")</f>
        <v>Non COVID</v>
      </c>
      <c r="AT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3" s="176">
        <f>SUM('PER BULAN'!BB214)</f>
        <v>0</v>
      </c>
      <c r="AW123" s="176">
        <f>SUM('PER BULAN'!BC214)</f>
        <v>0</v>
      </c>
      <c r="AX123" s="176">
        <f>SUM('PER BULAN'!BD214)</f>
        <v>0</v>
      </c>
      <c r="AY123" s="176">
        <f>SUM('PER BULAN'!BE214)</f>
        <v>0</v>
      </c>
      <c r="AZ123" s="176">
        <f>SUM('PER BULAN'!BF214)</f>
        <v>0</v>
      </c>
      <c r="BA123" s="176">
        <f>SUM('PER BULAN'!BG214)</f>
        <v>0</v>
      </c>
      <c r="BB123" s="176">
        <f>SUM('PER BULAN'!BH214)</f>
        <v>0</v>
      </c>
      <c r="BC123" s="176">
        <f>SUM('PER BULAN'!BI214)</f>
        <v>0</v>
      </c>
      <c r="BD123" s="176">
        <f>SUM('PER BULAN'!BJ214)</f>
        <v>0</v>
      </c>
      <c r="BE123" s="176">
        <f>SUM('PER BULAN'!BK214)</f>
        <v>0</v>
      </c>
      <c r="BF123" s="176">
        <f>SUM('PER BULAN'!BL214)</f>
        <v>575000</v>
      </c>
    </row>
    <row r="124" spans="1:58"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tr">
        <f>IF(LEFT(SP2D[[#This Row],[kdakun]],2)="51","Belanja Pegawai",IF(LEFT(SP2D[[#This Row],[kdakun]],2)="52","Belanja Barang",IF(LEFT(SP2D[[#This Row],[kdakun]],2)="53","Belanja Modal")))</f>
        <v>Belanja Barang</v>
      </c>
      <c r="AM124" s="162" t="s">
        <v>3775</v>
      </c>
      <c r="AN124" s="275">
        <f t="shared" si="8"/>
        <v>14900000</v>
      </c>
      <c r="AO124" s="175">
        <f t="shared" si="13"/>
        <v>54.181818181818187</v>
      </c>
      <c r="AP124" s="275">
        <f t="shared" si="10"/>
        <v>12600000</v>
      </c>
      <c r="AQ124" s="175">
        <f t="shared" si="14"/>
        <v>45.81818181818182</v>
      </c>
      <c r="AR124" s="162" t="str">
        <f t="shared" si="15"/>
        <v>WA.2378.EBD.955.301.F.521811</v>
      </c>
      <c r="AS124" s="162" t="str">
        <f>IF(ISNUMBER(SEARCH("COVID",SP2D[[#This Row],[Akun]])),"COVID","Non COVID")</f>
        <v>Non COVID</v>
      </c>
      <c r="AT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4" s="176">
        <f>SUM('PER BULAN'!BB215)</f>
        <v>0</v>
      </c>
      <c r="AW124" s="176">
        <f>SUM('PER BULAN'!BC215)</f>
        <v>2490000</v>
      </c>
      <c r="AX124" s="176">
        <f>SUM('PER BULAN'!BD215)</f>
        <v>2490000</v>
      </c>
      <c r="AY124" s="176">
        <f>SUM('PER BULAN'!BE215)</f>
        <v>2490000</v>
      </c>
      <c r="AZ124" s="176">
        <f>SUM('PER BULAN'!BF215)</f>
        <v>0</v>
      </c>
      <c r="BA124" s="176">
        <f>SUM('PER BULAN'!BG215)</f>
        <v>0</v>
      </c>
      <c r="BB124" s="176">
        <f>SUM('PER BULAN'!BH215)</f>
        <v>2490000</v>
      </c>
      <c r="BC124" s="176">
        <f>SUM('PER BULAN'!BI215)</f>
        <v>0</v>
      </c>
      <c r="BD124" s="176">
        <f>SUM('PER BULAN'!BJ215)</f>
        <v>4940000</v>
      </c>
      <c r="BE124" s="176">
        <f>SUM('PER BULAN'!BK215)</f>
        <v>0</v>
      </c>
      <c r="BF124" s="176">
        <f>SUM('PER BULAN'!BL215)</f>
        <v>0</v>
      </c>
    </row>
    <row r="125" spans="1:58"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tr">
        <f>IF(LEFT(SP2D[[#This Row],[kdakun]],2)="51","Belanja Pegawai",IF(LEFT(SP2D[[#This Row],[kdakun]],2)="52","Belanja Barang",IF(LEFT(SP2D[[#This Row],[kdakun]],2)="53","Belanja Modal")))</f>
        <v>Belanja Barang</v>
      </c>
      <c r="AM125" s="162" t="s">
        <v>3775</v>
      </c>
      <c r="AN125" s="275">
        <f t="shared" si="8"/>
        <v>58380000</v>
      </c>
      <c r="AO125" s="175">
        <f t="shared" si="13"/>
        <v>76.782449725776971</v>
      </c>
      <c r="AP125" s="275">
        <f t="shared" si="10"/>
        <v>17653000</v>
      </c>
      <c r="AQ125" s="175">
        <f t="shared" si="14"/>
        <v>23.217550274223033</v>
      </c>
      <c r="AR125" s="162" t="str">
        <f t="shared" si="15"/>
        <v>WA.2378.EBD.955.301.F.524111</v>
      </c>
      <c r="AS125" s="162" t="str">
        <f>IF(ISNUMBER(SEARCH("COVID",SP2D[[#This Row],[Akun]])),"COVID","Non COVID")</f>
        <v>Non COVID</v>
      </c>
      <c r="AT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5" s="176">
        <f>SUM('PER BULAN'!BB216)</f>
        <v>0</v>
      </c>
      <c r="AW125" s="176">
        <f>SUM('PER BULAN'!BC216)</f>
        <v>34560000</v>
      </c>
      <c r="AX125" s="176">
        <f>SUM('PER BULAN'!BD216)</f>
        <v>10860000</v>
      </c>
      <c r="AY125" s="176">
        <f>SUM('PER BULAN'!BE216)</f>
        <v>0</v>
      </c>
      <c r="AZ125" s="176">
        <f>SUM('PER BULAN'!BF216)</f>
        <v>5600000</v>
      </c>
      <c r="BA125" s="176">
        <f>SUM('PER BULAN'!BG216)</f>
        <v>0</v>
      </c>
      <c r="BB125" s="176">
        <f>SUM('PER BULAN'!BH216)</f>
        <v>1680000</v>
      </c>
      <c r="BC125" s="176">
        <f>SUM('PER BULAN'!BI216)</f>
        <v>2030000</v>
      </c>
      <c r="BD125" s="176">
        <f>SUM('PER BULAN'!BJ216)</f>
        <v>0</v>
      </c>
      <c r="BE125" s="176">
        <f>SUM('PER BULAN'!BK216)</f>
        <v>2010000</v>
      </c>
      <c r="BF125" s="176">
        <f>SUM('PER BULAN'!BL216)</f>
        <v>1640000</v>
      </c>
    </row>
    <row r="126" spans="1:58"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tr">
        <f>IF(LEFT(SP2D[[#This Row],[kdakun]],2)="51","Belanja Pegawai",IF(LEFT(SP2D[[#This Row],[kdakun]],2)="52","Belanja Barang",IF(LEFT(SP2D[[#This Row],[kdakun]],2)="53","Belanja Modal")))</f>
        <v>Belanja Barang</v>
      </c>
      <c r="AM126" s="162" t="s">
        <v>3775</v>
      </c>
      <c r="AN126" s="275">
        <f t="shared" si="8"/>
        <v>0</v>
      </c>
      <c r="AO126" s="175">
        <f t="shared" si="13"/>
        <v>0</v>
      </c>
      <c r="AP126" s="275">
        <f t="shared" si="10"/>
        <v>99100000</v>
      </c>
      <c r="AQ126" s="175">
        <f t="shared" si="14"/>
        <v>100</v>
      </c>
      <c r="AR126" s="162" t="str">
        <f t="shared" si="15"/>
        <v>WA.4345.EBC.996.301.A.521211</v>
      </c>
      <c r="AS126" s="162" t="str">
        <f>IF(ISNUMBER(SEARCH("COVID",SP2D[[#This Row],[Akun]])),"COVID","Non COVID")</f>
        <v>Non COVID</v>
      </c>
      <c r="AT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6" s="176">
        <f>SUM('PER BULAN'!BB224)</f>
        <v>0</v>
      </c>
      <c r="AW126" s="176">
        <f>SUM('PER BULAN'!BC224)</f>
        <v>0</v>
      </c>
      <c r="AX126" s="176">
        <f>SUM('PER BULAN'!BD224)</f>
        <v>0</v>
      </c>
      <c r="AY126" s="176">
        <f>SUM('PER BULAN'!BE224)</f>
        <v>0</v>
      </c>
      <c r="AZ126" s="176">
        <f>SUM('PER BULAN'!BF224)</f>
        <v>0</v>
      </c>
      <c r="BA126" s="176">
        <f>SUM('PER BULAN'!BG224)</f>
        <v>0</v>
      </c>
      <c r="BB126" s="176">
        <f>SUM('PER BULAN'!BH224)</f>
        <v>0</v>
      </c>
      <c r="BC126" s="176">
        <f>SUM('PER BULAN'!BI224)</f>
        <v>0</v>
      </c>
      <c r="BD126" s="176">
        <f>SUM('PER BULAN'!BJ224)</f>
        <v>0</v>
      </c>
      <c r="BE126" s="176">
        <f>SUM('PER BULAN'!BK224)</f>
        <v>0</v>
      </c>
      <c r="BF126" s="176">
        <f>SUM('PER BULAN'!BL224)</f>
        <v>0</v>
      </c>
    </row>
    <row r="127" spans="1:58"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tr">
        <f>IF(LEFT(SP2D[[#This Row],[kdakun]],2)="51","Belanja Pegawai",IF(LEFT(SP2D[[#This Row],[kdakun]],2)="52","Belanja Barang",IF(LEFT(SP2D[[#This Row],[kdakun]],2)="53","Belanja Modal")))</f>
        <v>Belanja Barang</v>
      </c>
      <c r="AM127" s="162" t="s">
        <v>3775</v>
      </c>
      <c r="AN127" s="275">
        <f t="shared" si="8"/>
        <v>0</v>
      </c>
      <c r="AO127" s="175">
        <f t="shared" si="13"/>
        <v>0</v>
      </c>
      <c r="AP127" s="275">
        <f t="shared" si="10"/>
        <v>1333864000</v>
      </c>
      <c r="AQ127" s="175">
        <f t="shared" si="14"/>
        <v>100</v>
      </c>
      <c r="AR127" s="162" t="str">
        <f t="shared" si="15"/>
        <v>WA.4345.EBC.996.301.A.521219</v>
      </c>
      <c r="AS127" s="162" t="str">
        <f>IF(ISNUMBER(SEARCH("COVID",SP2D[[#This Row],[Akun]])),"COVID","Non COVID")</f>
        <v>Non COVID</v>
      </c>
      <c r="AT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7" s="176">
        <f>SUM('PER BULAN'!BB225)</f>
        <v>0</v>
      </c>
      <c r="AW127" s="176">
        <f>SUM('PER BULAN'!BC225)</f>
        <v>0</v>
      </c>
      <c r="AX127" s="176">
        <f>SUM('PER BULAN'!BD225)</f>
        <v>0</v>
      </c>
      <c r="AY127" s="176">
        <f>SUM('PER BULAN'!BE225)</f>
        <v>0</v>
      </c>
      <c r="AZ127" s="176">
        <f>SUM('PER BULAN'!BF225)</f>
        <v>0</v>
      </c>
      <c r="BA127" s="176">
        <f>SUM('PER BULAN'!BG225)</f>
        <v>0</v>
      </c>
      <c r="BB127" s="176">
        <f>SUM('PER BULAN'!BH225)</f>
        <v>0</v>
      </c>
      <c r="BC127" s="176">
        <f>SUM('PER BULAN'!BI225)</f>
        <v>0</v>
      </c>
      <c r="BD127" s="176">
        <f>SUM('PER BULAN'!BJ225)</f>
        <v>0</v>
      </c>
      <c r="BE127" s="176">
        <f>SUM('PER BULAN'!BK225)</f>
        <v>0</v>
      </c>
      <c r="BF127" s="176">
        <f>SUM('PER BULAN'!BL225)</f>
        <v>0</v>
      </c>
    </row>
    <row r="128" spans="1:58"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tr">
        <f>IF(LEFT(SP2D[[#This Row],[kdakun]],2)="51","Belanja Pegawai",IF(LEFT(SP2D[[#This Row],[kdakun]],2)="52","Belanja Barang",IF(LEFT(SP2D[[#This Row],[kdakun]],2)="53","Belanja Modal")))</f>
        <v>Belanja Barang</v>
      </c>
      <c r="AM128" s="162" t="s">
        <v>3775</v>
      </c>
      <c r="AN128" s="275">
        <f t="shared" si="8"/>
        <v>9690000</v>
      </c>
      <c r="AO128" s="175">
        <f t="shared" si="13"/>
        <v>38.76</v>
      </c>
      <c r="AP128" s="275">
        <f t="shared" si="10"/>
        <v>15310000</v>
      </c>
      <c r="AQ128" s="175">
        <f t="shared" si="14"/>
        <v>61.240000000000009</v>
      </c>
      <c r="AR128" s="162" t="str">
        <f t="shared" si="15"/>
        <v>WA.4345.EBC.996.301.A.521811</v>
      </c>
      <c r="AS128" s="162" t="str">
        <f>IF(ISNUMBER(SEARCH("COVID",SP2D[[#This Row],[Akun]])),"COVID","Non COVID")</f>
        <v>Non COVID</v>
      </c>
      <c r="AT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8" s="176">
        <f>SUM('PER BULAN'!BB226)</f>
        <v>0</v>
      </c>
      <c r="AW128" s="176">
        <f>SUM('PER BULAN'!BC226)</f>
        <v>0</v>
      </c>
      <c r="AX128" s="176">
        <f>SUM('PER BULAN'!BD226)</f>
        <v>0</v>
      </c>
      <c r="AY128" s="176">
        <f>SUM('PER BULAN'!BE226)</f>
        <v>0</v>
      </c>
      <c r="AZ128" s="176">
        <f>SUM('PER BULAN'!BF226)</f>
        <v>0</v>
      </c>
      <c r="BA128" s="176">
        <f>SUM('PER BULAN'!BG226)</f>
        <v>0</v>
      </c>
      <c r="BB128" s="176">
        <f>SUM('PER BULAN'!BH226)</f>
        <v>4855000</v>
      </c>
      <c r="BC128" s="176">
        <f>SUM('PER BULAN'!BI226)</f>
        <v>0</v>
      </c>
      <c r="BD128" s="176">
        <f>SUM('PER BULAN'!BJ226)</f>
        <v>0</v>
      </c>
      <c r="BE128" s="176">
        <f>SUM('PER BULAN'!BK226)</f>
        <v>0</v>
      </c>
      <c r="BF128" s="176">
        <f>SUM('PER BULAN'!BL226)</f>
        <v>4835000</v>
      </c>
    </row>
    <row r="129" spans="1:58"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tr">
        <f>IF(LEFT(SP2D[[#This Row],[kdakun]],2)="51","Belanja Pegawai",IF(LEFT(SP2D[[#This Row],[kdakun]],2)="52","Belanja Barang",IF(LEFT(SP2D[[#This Row],[kdakun]],2)="53","Belanja Modal")))</f>
        <v>Belanja Barang</v>
      </c>
      <c r="AM129" s="162" t="s">
        <v>3775</v>
      </c>
      <c r="AN129" s="275">
        <f t="shared" si="8"/>
        <v>0</v>
      </c>
      <c r="AO129" s="175">
        <f t="shared" si="13"/>
        <v>0</v>
      </c>
      <c r="AP129" s="275">
        <f t="shared" si="10"/>
        <v>15000000</v>
      </c>
      <c r="AQ129" s="175">
        <f t="shared" si="14"/>
        <v>100</v>
      </c>
      <c r="AR129" s="162" t="str">
        <f t="shared" si="15"/>
        <v>WA.4345.EBC.996.301.A.522151</v>
      </c>
      <c r="AS129" s="162" t="str">
        <f>IF(ISNUMBER(SEARCH("COVID",SP2D[[#This Row],[Akun]])),"COVID","Non COVID")</f>
        <v>Non COVID</v>
      </c>
      <c r="AT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9" s="176">
        <f>SUM('PER BULAN'!BB227)</f>
        <v>0</v>
      </c>
      <c r="AW129" s="176">
        <f>SUM('PER BULAN'!BC227)</f>
        <v>0</v>
      </c>
      <c r="AX129" s="176">
        <f>SUM('PER BULAN'!BD227)</f>
        <v>0</v>
      </c>
      <c r="AY129" s="176">
        <f>SUM('PER BULAN'!BE227)</f>
        <v>0</v>
      </c>
      <c r="AZ129" s="176">
        <f>SUM('PER BULAN'!BF227)</f>
        <v>0</v>
      </c>
      <c r="BA129" s="176">
        <f>SUM('PER BULAN'!BG227)</f>
        <v>0</v>
      </c>
      <c r="BB129" s="176">
        <f>SUM('PER BULAN'!BH227)</f>
        <v>0</v>
      </c>
      <c r="BC129" s="176">
        <f>SUM('PER BULAN'!BI227)</f>
        <v>0</v>
      </c>
      <c r="BD129" s="176">
        <f>SUM('PER BULAN'!BJ227)</f>
        <v>0</v>
      </c>
      <c r="BE129" s="176">
        <f>SUM('PER BULAN'!BK227)</f>
        <v>0</v>
      </c>
      <c r="BF129" s="176">
        <f>SUM('PER BULAN'!BL227)</f>
        <v>0</v>
      </c>
    </row>
    <row r="130" spans="1:58"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tr">
        <f>IF(LEFT(SP2D[[#This Row],[kdakun]],2)="51","Belanja Pegawai",IF(LEFT(SP2D[[#This Row],[kdakun]],2)="52","Belanja Barang",IF(LEFT(SP2D[[#This Row],[kdakun]],2)="53","Belanja Modal")))</f>
        <v>Belanja Barang</v>
      </c>
      <c r="AM130" s="162" t="s">
        <v>3775</v>
      </c>
      <c r="AN130" s="275">
        <f t="shared" si="8"/>
        <v>0</v>
      </c>
      <c r="AO130" s="175">
        <f t="shared" si="13"/>
        <v>0</v>
      </c>
      <c r="AP130" s="275">
        <f t="shared" si="10"/>
        <v>102600000</v>
      </c>
      <c r="AQ130" s="175">
        <f t="shared" si="14"/>
        <v>100</v>
      </c>
      <c r="AR130" s="162" t="str">
        <f t="shared" si="15"/>
        <v>WA.4345.EBC.996.301.A.522191</v>
      </c>
      <c r="AS130" s="162" t="str">
        <f>IF(ISNUMBER(SEARCH("COVID",SP2D[[#This Row],[Akun]])),"COVID","Non COVID")</f>
        <v>Non COVID</v>
      </c>
      <c r="AT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0" s="176">
        <f>SUM('PER BULAN'!BB228)</f>
        <v>0</v>
      </c>
      <c r="AW130" s="176">
        <f>SUM('PER BULAN'!BC228)</f>
        <v>0</v>
      </c>
      <c r="AX130" s="176">
        <f>SUM('PER BULAN'!BD228)</f>
        <v>0</v>
      </c>
      <c r="AY130" s="176">
        <f>SUM('PER BULAN'!BE228)</f>
        <v>0</v>
      </c>
      <c r="AZ130" s="176">
        <f>SUM('PER BULAN'!BF228)</f>
        <v>0</v>
      </c>
      <c r="BA130" s="176">
        <f>SUM('PER BULAN'!BG228)</f>
        <v>0</v>
      </c>
      <c r="BB130" s="176">
        <f>SUM('PER BULAN'!BH228)</f>
        <v>0</v>
      </c>
      <c r="BC130" s="176">
        <f>SUM('PER BULAN'!BI228)</f>
        <v>0</v>
      </c>
      <c r="BD130" s="176">
        <f>SUM('PER BULAN'!BJ228)</f>
        <v>0</v>
      </c>
      <c r="BE130" s="176">
        <f>SUM('PER BULAN'!BK228)</f>
        <v>0</v>
      </c>
      <c r="BF130" s="176">
        <f>SUM('PER BULAN'!BL228)</f>
        <v>0</v>
      </c>
    </row>
    <row r="131" spans="1:58"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tr">
        <f>IF(LEFT(SP2D[[#This Row],[kdakun]],2)="51","Belanja Pegawai",IF(LEFT(SP2D[[#This Row],[kdakun]],2)="52","Belanja Barang",IF(LEFT(SP2D[[#This Row],[kdakun]],2)="53","Belanja Modal")))</f>
        <v>Belanja Barang</v>
      </c>
      <c r="AM131" s="162" t="s">
        <v>3775</v>
      </c>
      <c r="AN131" s="275">
        <f t="shared" si="8"/>
        <v>20535000</v>
      </c>
      <c r="AO131" s="175">
        <f t="shared" si="13"/>
        <v>14.880434782608695</v>
      </c>
      <c r="AP131" s="275">
        <f t="shared" si="10"/>
        <v>117465000</v>
      </c>
      <c r="AQ131" s="175">
        <f t="shared" si="14"/>
        <v>85.119565217391298</v>
      </c>
      <c r="AR131" s="162" t="str">
        <f t="shared" si="15"/>
        <v>WA.4345.EBC.996.301.A.524111</v>
      </c>
      <c r="AS131" s="162" t="str">
        <f>IF(ISNUMBER(SEARCH("COVID",SP2D[[#This Row],[Akun]])),"COVID","Non COVID")</f>
        <v>Non COVID</v>
      </c>
      <c r="AT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1" s="176">
        <f>SUM('PER BULAN'!BB229)</f>
        <v>0</v>
      </c>
      <c r="AW131" s="176">
        <f>SUM('PER BULAN'!BC229)</f>
        <v>0</v>
      </c>
      <c r="AX131" s="176">
        <f>SUM('PER BULAN'!BD229)</f>
        <v>0</v>
      </c>
      <c r="AY131" s="176">
        <f>SUM('PER BULAN'!BE229)</f>
        <v>0</v>
      </c>
      <c r="AZ131" s="176">
        <f>SUM('PER BULAN'!BF229)</f>
        <v>0</v>
      </c>
      <c r="BA131" s="176">
        <f>SUM('PER BULAN'!BG229)</f>
        <v>0</v>
      </c>
      <c r="BB131" s="176">
        <f>SUM('PER BULAN'!BH229)</f>
        <v>0</v>
      </c>
      <c r="BC131" s="176">
        <f>SUM('PER BULAN'!BI229)</f>
        <v>0</v>
      </c>
      <c r="BD131" s="176">
        <f>SUM('PER BULAN'!BJ229)</f>
        <v>0</v>
      </c>
      <c r="BE131" s="176">
        <f>SUM('PER BULAN'!BK229)</f>
        <v>0</v>
      </c>
      <c r="BF131" s="176">
        <f>SUM('PER BULAN'!BL229)</f>
        <v>0</v>
      </c>
    </row>
    <row r="132" spans="1:58"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tr">
        <f>IF(LEFT(SP2D[[#This Row],[kdakun]],2)="51","Belanja Pegawai",IF(LEFT(SP2D[[#This Row],[kdakun]],2)="52","Belanja Barang",IF(LEFT(SP2D[[#This Row],[kdakun]],2)="53","Belanja Modal")))</f>
        <v>Belanja Barang</v>
      </c>
      <c r="AM132" s="162" t="s">
        <v>3775</v>
      </c>
      <c r="AN132" s="275">
        <f t="shared" ref="AN132:AN151" si="16">SUM(V132:AG132)</f>
        <v>7837550</v>
      </c>
      <c r="AO132" s="175">
        <f t="shared" ref="AO132:AO151" si="17">IFERROR(AN132/Q132*100,0)</f>
        <v>31.350200000000001</v>
      </c>
      <c r="AP132" s="275">
        <f t="shared" ref="AP132:AP151" si="18">Q132-AN132</f>
        <v>17162450</v>
      </c>
      <c r="AQ132" s="175">
        <f t="shared" ref="AQ132:AQ151" si="19">IFERROR(AP132/Q132*100,0)</f>
        <v>68.649799999999999</v>
      </c>
      <c r="AR132" s="162" t="str">
        <f t="shared" ref="AR132:AR151" si="20">_xlfn.TEXTJOIN(".",TRUE,C132,E132,G132,I132,K132,M132,O132)</f>
        <v>WA.4345.EBC.996.301.B.521211</v>
      </c>
      <c r="AS132" s="162" t="str">
        <f>IF(ISNUMBER(SEARCH("COVID",SP2D[[#This Row],[Akun]])),"COVID","Non COVID")</f>
        <v>Non COVID</v>
      </c>
      <c r="AT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2" s="176">
        <f>SUM('PER BULAN'!BB231)</f>
        <v>0</v>
      </c>
      <c r="AW132" s="176">
        <f>SUM('PER BULAN'!BC231)</f>
        <v>0</v>
      </c>
      <c r="AX132" s="176">
        <f>SUM('PER BULAN'!BD231)</f>
        <v>0</v>
      </c>
      <c r="AY132" s="176">
        <f>SUM('PER BULAN'!BE231)</f>
        <v>0</v>
      </c>
      <c r="AZ132" s="176">
        <f>SUM('PER BULAN'!BF231)</f>
        <v>0</v>
      </c>
      <c r="BA132" s="176">
        <f>SUM('PER BULAN'!BG231)</f>
        <v>0</v>
      </c>
      <c r="BB132" s="176">
        <f>SUM('PER BULAN'!BH231)</f>
        <v>1475000</v>
      </c>
      <c r="BC132" s="176">
        <f>SUM('PER BULAN'!BI231)</f>
        <v>1442500</v>
      </c>
      <c r="BD132" s="176">
        <f>SUM('PER BULAN'!BJ231)</f>
        <v>0</v>
      </c>
      <c r="BE132" s="176">
        <f>SUM('PER BULAN'!BK231)</f>
        <v>0</v>
      </c>
      <c r="BF132" s="176">
        <f>SUM('PER BULAN'!BL231)</f>
        <v>2922100</v>
      </c>
    </row>
    <row r="133" spans="1:58"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17850000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tr">
        <f>IF(LEFT(SP2D[[#This Row],[kdakun]],2)="51","Belanja Pegawai",IF(LEFT(SP2D[[#This Row],[kdakun]],2)="52","Belanja Barang",IF(LEFT(SP2D[[#This Row],[kdakun]],2)="53","Belanja Modal")))</f>
        <v>Belanja Barang</v>
      </c>
      <c r="AM133" s="162" t="s">
        <v>3775</v>
      </c>
      <c r="AN133" s="275">
        <f t="shared" si="16"/>
        <v>4825410092</v>
      </c>
      <c r="AO133" s="175">
        <f t="shared" si="17"/>
        <v>76.488245064946085</v>
      </c>
      <c r="AP133" s="275">
        <f t="shared" si="18"/>
        <v>1483284908</v>
      </c>
      <c r="AQ133" s="175">
        <f t="shared" si="19"/>
        <v>23.511754935053922</v>
      </c>
      <c r="AR133" s="162" t="str">
        <f t="shared" si="20"/>
        <v>WA.4345.EBC.996.301.B.521219</v>
      </c>
      <c r="AS133" s="162" t="str">
        <f>IF(ISNUMBER(SEARCH("COVID",SP2D[[#This Row],[Akun]])),"COVID","Non COVID")</f>
        <v>Non COVID</v>
      </c>
      <c r="AT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3" s="176">
        <f>SUM('PER BULAN'!BB232)</f>
        <v>0</v>
      </c>
      <c r="AW133" s="176">
        <f>SUM('PER BULAN'!BC232)</f>
        <v>0</v>
      </c>
      <c r="AX133" s="176">
        <f>SUM('PER BULAN'!BD232)</f>
        <v>0</v>
      </c>
      <c r="AY133" s="176">
        <f>SUM('PER BULAN'!BE232)</f>
        <v>0</v>
      </c>
      <c r="AZ133" s="176">
        <f>SUM('PER BULAN'!BF232)</f>
        <v>0</v>
      </c>
      <c r="BA133" s="176">
        <f>SUM('PER BULAN'!BG232)</f>
        <v>0</v>
      </c>
      <c r="BB133" s="176">
        <f>SUM('PER BULAN'!BH232)</f>
        <v>0</v>
      </c>
      <c r="BC133" s="176">
        <f>SUM('PER BULAN'!BI232)</f>
        <v>0</v>
      </c>
      <c r="BD133" s="176">
        <f>SUM('PER BULAN'!BJ232)</f>
        <v>0</v>
      </c>
      <c r="BE133" s="176">
        <f>SUM('PER BULAN'!BK232)</f>
        <v>0</v>
      </c>
      <c r="BF133" s="176">
        <f>SUM('PER BULAN'!BL232)</f>
        <v>0</v>
      </c>
    </row>
    <row r="134" spans="1:58"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tr">
        <f>IF(LEFT(SP2D[[#This Row],[kdakun]],2)="51","Belanja Pegawai",IF(LEFT(SP2D[[#This Row],[kdakun]],2)="52","Belanja Barang",IF(LEFT(SP2D[[#This Row],[kdakun]],2)="53","Belanja Modal")))</f>
        <v>Belanja Barang</v>
      </c>
      <c r="AM134" s="162" t="s">
        <v>3775</v>
      </c>
      <c r="AN134" s="275">
        <f t="shared" si="16"/>
        <v>9678000</v>
      </c>
      <c r="AO134" s="175">
        <f t="shared" si="17"/>
        <v>32.26</v>
      </c>
      <c r="AP134" s="275">
        <f t="shared" si="18"/>
        <v>20322000</v>
      </c>
      <c r="AQ134" s="175">
        <f t="shared" si="19"/>
        <v>67.739999999999995</v>
      </c>
      <c r="AR134" s="162" t="str">
        <f t="shared" si="20"/>
        <v>WA.4345.EBC.996.301.B.521811</v>
      </c>
      <c r="AS134" s="162" t="str">
        <f>IF(ISNUMBER(SEARCH("COVID",SP2D[[#This Row],[Akun]])),"COVID","Non COVID")</f>
        <v>Non COVID</v>
      </c>
      <c r="AT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4" s="176">
        <f>SUM('PER BULAN'!BB233)</f>
        <v>0</v>
      </c>
      <c r="AW134" s="176">
        <f>SUM('PER BULAN'!BC233)</f>
        <v>0</v>
      </c>
      <c r="AX134" s="176">
        <f>SUM('PER BULAN'!BD233)</f>
        <v>0</v>
      </c>
      <c r="AY134" s="176">
        <f>SUM('PER BULAN'!BE233)</f>
        <v>0</v>
      </c>
      <c r="AZ134" s="176">
        <f>SUM('PER BULAN'!BF233)</f>
        <v>0</v>
      </c>
      <c r="BA134" s="176">
        <f>SUM('PER BULAN'!BG233)</f>
        <v>0</v>
      </c>
      <c r="BB134" s="176">
        <f>SUM('PER BULAN'!BH233)</f>
        <v>3364000</v>
      </c>
      <c r="BC134" s="176">
        <f>SUM('PER BULAN'!BI233)</f>
        <v>1447000</v>
      </c>
      <c r="BD134" s="176">
        <f>SUM('PER BULAN'!BJ233)</f>
        <v>0</v>
      </c>
      <c r="BE134" s="176">
        <f>SUM('PER BULAN'!BK233)</f>
        <v>0</v>
      </c>
      <c r="BF134" s="176">
        <f>SUM('PER BULAN'!BL233)</f>
        <v>4867000</v>
      </c>
    </row>
    <row r="135" spans="1:58"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tr">
        <f>IF(LEFT(SP2D[[#This Row],[kdakun]],2)="51","Belanja Pegawai",IF(LEFT(SP2D[[#This Row],[kdakun]],2)="52","Belanja Barang",IF(LEFT(SP2D[[#This Row],[kdakun]],2)="53","Belanja Modal")))</f>
        <v>Belanja Barang</v>
      </c>
      <c r="AM135" s="162" t="s">
        <v>3775</v>
      </c>
      <c r="AN135" s="275">
        <f t="shared" si="16"/>
        <v>0</v>
      </c>
      <c r="AO135" s="175">
        <f t="shared" si="17"/>
        <v>0</v>
      </c>
      <c r="AP135" s="275">
        <f t="shared" si="18"/>
        <v>6000000</v>
      </c>
      <c r="AQ135" s="175">
        <f t="shared" si="19"/>
        <v>100</v>
      </c>
      <c r="AR135" s="162" t="str">
        <f t="shared" si="20"/>
        <v>WA.4345.EBC.996.301.B.522151</v>
      </c>
      <c r="AS135" s="162" t="str">
        <f>IF(ISNUMBER(SEARCH("COVID",SP2D[[#This Row],[Akun]])),"COVID","Non COVID")</f>
        <v>Non COVID</v>
      </c>
      <c r="AT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5" s="176">
        <f>SUM('PER BULAN'!BB234)</f>
        <v>0</v>
      </c>
      <c r="AW135" s="176">
        <f>SUM('PER BULAN'!BC234)</f>
        <v>0</v>
      </c>
      <c r="AX135" s="176">
        <f>SUM('PER BULAN'!BD234)</f>
        <v>0</v>
      </c>
      <c r="AY135" s="176">
        <f>SUM('PER BULAN'!BE234)</f>
        <v>0</v>
      </c>
      <c r="AZ135" s="176">
        <f>SUM('PER BULAN'!BF234)</f>
        <v>0</v>
      </c>
      <c r="BA135" s="176">
        <f>SUM('PER BULAN'!BG234)</f>
        <v>0</v>
      </c>
      <c r="BB135" s="176">
        <f>SUM('PER BULAN'!BH234)</f>
        <v>0</v>
      </c>
      <c r="BC135" s="176">
        <f>SUM('PER BULAN'!BI234)</f>
        <v>0</v>
      </c>
      <c r="BD135" s="176">
        <f>SUM('PER BULAN'!BJ234)</f>
        <v>0</v>
      </c>
      <c r="BE135" s="176">
        <f>SUM('PER BULAN'!BK234)</f>
        <v>0</v>
      </c>
      <c r="BF135" s="176">
        <f>SUM('PER BULAN'!BL234)</f>
        <v>0</v>
      </c>
    </row>
    <row r="136" spans="1:58"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tr">
        <f>IF(LEFT(SP2D[[#This Row],[kdakun]],2)="51","Belanja Pegawai",IF(LEFT(SP2D[[#This Row],[kdakun]],2)="52","Belanja Barang",IF(LEFT(SP2D[[#This Row],[kdakun]],2)="53","Belanja Modal")))</f>
        <v>Belanja Barang</v>
      </c>
      <c r="AM136" s="162" t="s">
        <v>3775</v>
      </c>
      <c r="AN136" s="275">
        <f t="shared" si="16"/>
        <v>61907706</v>
      </c>
      <c r="AO136" s="175">
        <f t="shared" si="17"/>
        <v>28.660975000000001</v>
      </c>
      <c r="AP136" s="275">
        <f t="shared" si="18"/>
        <v>154092294</v>
      </c>
      <c r="AQ136" s="175">
        <f t="shared" si="19"/>
        <v>71.339025000000007</v>
      </c>
      <c r="AR136" s="162" t="str">
        <f t="shared" si="20"/>
        <v>WA.4345.EBC.996.301.B.524111</v>
      </c>
      <c r="AS136" s="162" t="str">
        <f>IF(ISNUMBER(SEARCH("COVID",SP2D[[#This Row],[Akun]])),"COVID","Non COVID")</f>
        <v>Non COVID</v>
      </c>
      <c r="AT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6" s="176">
        <f>SUM('PER BULAN'!BB235)</f>
        <v>0</v>
      </c>
      <c r="AW136" s="176">
        <f>SUM('PER BULAN'!BC235)</f>
        <v>0</v>
      </c>
      <c r="AX136" s="176">
        <f>SUM('PER BULAN'!BD235)</f>
        <v>0</v>
      </c>
      <c r="AY136" s="176">
        <f>SUM('PER BULAN'!BE235)</f>
        <v>0</v>
      </c>
      <c r="AZ136" s="176">
        <f>SUM('PER BULAN'!BF235)</f>
        <v>0</v>
      </c>
      <c r="BA136" s="176">
        <f>SUM('PER BULAN'!BG235)</f>
        <v>0</v>
      </c>
      <c r="BB136" s="176">
        <f>SUM('PER BULAN'!BH235)</f>
        <v>20392633</v>
      </c>
      <c r="BC136" s="176">
        <f>SUM('PER BULAN'!BI235)</f>
        <v>0</v>
      </c>
      <c r="BD136" s="176">
        <f>SUM('PER BULAN'!BJ235)</f>
        <v>0</v>
      </c>
      <c r="BE136" s="176">
        <f>SUM('PER BULAN'!BK235)</f>
        <v>0</v>
      </c>
      <c r="BF136" s="176">
        <f>SUM('PER BULAN'!BL235)</f>
        <v>0</v>
      </c>
    </row>
    <row r="137" spans="1:58"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tr">
        <f>IF(LEFT(SP2D[[#This Row],[kdakun]],2)="51","Belanja Pegawai",IF(LEFT(SP2D[[#This Row],[kdakun]],2)="52","Belanja Barang",IF(LEFT(SP2D[[#This Row],[kdakun]],2)="53","Belanja Modal")))</f>
        <v>Belanja Barang</v>
      </c>
      <c r="AM137" s="162" t="s">
        <v>3775</v>
      </c>
      <c r="AN137" s="275">
        <f t="shared" si="16"/>
        <v>0</v>
      </c>
      <c r="AO137" s="175">
        <f t="shared" si="17"/>
        <v>0</v>
      </c>
      <c r="AP137" s="275">
        <f t="shared" si="18"/>
        <v>12000000</v>
      </c>
      <c r="AQ137" s="175">
        <f t="shared" si="19"/>
        <v>100</v>
      </c>
      <c r="AR137" s="162" t="str">
        <f t="shared" si="20"/>
        <v>WA.4345.EBC.996.301.C.521211</v>
      </c>
      <c r="AS137" s="162" t="str">
        <f>IF(ISNUMBER(SEARCH("COVID",SP2D[[#This Row],[Akun]])),"COVID","Non COVID")</f>
        <v>Non COVID</v>
      </c>
      <c r="AT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7" s="176">
        <f>SUM('PER BULAN'!BB237)</f>
        <v>0</v>
      </c>
      <c r="AW137" s="176">
        <f>SUM('PER BULAN'!BC237)</f>
        <v>0</v>
      </c>
      <c r="AX137" s="176">
        <f>SUM('PER BULAN'!BD237)</f>
        <v>0</v>
      </c>
      <c r="AY137" s="176">
        <f>SUM('PER BULAN'!BE237)</f>
        <v>0</v>
      </c>
      <c r="AZ137" s="176">
        <f>SUM('PER BULAN'!BF237)</f>
        <v>0</v>
      </c>
      <c r="BA137" s="176">
        <f>SUM('PER BULAN'!BG237)</f>
        <v>0</v>
      </c>
      <c r="BB137" s="176">
        <f>SUM('PER BULAN'!BH237)</f>
        <v>0</v>
      </c>
      <c r="BC137" s="176">
        <f>SUM('PER BULAN'!BI237)</f>
        <v>0</v>
      </c>
      <c r="BD137" s="176">
        <f>SUM('PER BULAN'!BJ237)</f>
        <v>0</v>
      </c>
      <c r="BE137" s="176">
        <f>SUM('PER BULAN'!BK237)</f>
        <v>0</v>
      </c>
      <c r="BF137" s="176">
        <f>SUM('PER BULAN'!BL237)</f>
        <v>0</v>
      </c>
    </row>
    <row r="138" spans="1:58"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tr">
        <f>IF(LEFT(SP2D[[#This Row],[kdakun]],2)="51","Belanja Pegawai",IF(LEFT(SP2D[[#This Row],[kdakun]],2)="52","Belanja Barang",IF(LEFT(SP2D[[#This Row],[kdakun]],2)="53","Belanja Modal")))</f>
        <v>Belanja Barang</v>
      </c>
      <c r="AM138" s="162" t="s">
        <v>3775</v>
      </c>
      <c r="AN138" s="275">
        <f t="shared" si="16"/>
        <v>0</v>
      </c>
      <c r="AO138" s="175">
        <f t="shared" si="17"/>
        <v>0</v>
      </c>
      <c r="AP138" s="275">
        <f t="shared" si="18"/>
        <v>20000000</v>
      </c>
      <c r="AQ138" s="175">
        <f t="shared" si="19"/>
        <v>100</v>
      </c>
      <c r="AR138" s="162" t="str">
        <f t="shared" si="20"/>
        <v>WA.4345.EBC.996.301.C.521219</v>
      </c>
      <c r="AS138" s="162" t="str">
        <f>IF(ISNUMBER(SEARCH("COVID",SP2D[[#This Row],[Akun]])),"COVID","Non COVID")</f>
        <v>Non COVID</v>
      </c>
      <c r="AT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8" s="176">
        <f>SUM('PER BULAN'!BB238)</f>
        <v>0</v>
      </c>
      <c r="AW138" s="176">
        <f>SUM('PER BULAN'!BC238)</f>
        <v>0</v>
      </c>
      <c r="AX138" s="176">
        <f>SUM('PER BULAN'!BD238)</f>
        <v>0</v>
      </c>
      <c r="AY138" s="176">
        <f>SUM('PER BULAN'!BE238)</f>
        <v>0</v>
      </c>
      <c r="AZ138" s="176">
        <f>SUM('PER BULAN'!BF238)</f>
        <v>0</v>
      </c>
      <c r="BA138" s="176">
        <f>SUM('PER BULAN'!BG238)</f>
        <v>0</v>
      </c>
      <c r="BB138" s="176">
        <f>SUM('PER BULAN'!BH238)</f>
        <v>0</v>
      </c>
      <c r="BC138" s="176">
        <f>SUM('PER BULAN'!BI238)</f>
        <v>0</v>
      </c>
      <c r="BD138" s="176">
        <f>SUM('PER BULAN'!BJ238)</f>
        <v>0</v>
      </c>
      <c r="BE138" s="176">
        <f>SUM('PER BULAN'!BK238)</f>
        <v>0</v>
      </c>
      <c r="BF138" s="176">
        <f>SUM('PER BULAN'!BL238)</f>
        <v>0</v>
      </c>
    </row>
    <row r="139" spans="1:58"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tr">
        <f>IF(LEFT(SP2D[[#This Row],[kdakun]],2)="51","Belanja Pegawai",IF(LEFT(SP2D[[#This Row],[kdakun]],2)="52","Belanja Barang",IF(LEFT(SP2D[[#This Row],[kdakun]],2)="53","Belanja Modal")))</f>
        <v>Belanja Barang</v>
      </c>
      <c r="AM139" s="162" t="s">
        <v>3775</v>
      </c>
      <c r="AN139" s="275">
        <f t="shared" si="16"/>
        <v>0</v>
      </c>
      <c r="AO139" s="175">
        <f t="shared" si="17"/>
        <v>0</v>
      </c>
      <c r="AP139" s="275">
        <f t="shared" si="18"/>
        <v>142041000</v>
      </c>
      <c r="AQ139" s="175">
        <f t="shared" si="19"/>
        <v>100</v>
      </c>
      <c r="AR139" s="162" t="str">
        <f t="shared" si="20"/>
        <v>WA.4345.EBC.996.301.C.524211</v>
      </c>
      <c r="AS139" s="162" t="str">
        <f>IF(ISNUMBER(SEARCH("COVID",SP2D[[#This Row],[Akun]])),"COVID","Non COVID")</f>
        <v>Non COVID</v>
      </c>
      <c r="AT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9" s="176">
        <f>SUM('PER BULAN'!BB239)</f>
        <v>0</v>
      </c>
      <c r="AW139" s="176">
        <f>SUM('PER BULAN'!BC239)</f>
        <v>0</v>
      </c>
      <c r="AX139" s="176">
        <f>SUM('PER BULAN'!BD239)</f>
        <v>0</v>
      </c>
      <c r="AY139" s="176">
        <f>SUM('PER BULAN'!BE239)</f>
        <v>0</v>
      </c>
      <c r="AZ139" s="176">
        <f>SUM('PER BULAN'!BF239)</f>
        <v>0</v>
      </c>
      <c r="BA139" s="176">
        <f>SUM('PER BULAN'!BG239)</f>
        <v>0</v>
      </c>
      <c r="BB139" s="176">
        <f>SUM('PER BULAN'!BH239)</f>
        <v>0</v>
      </c>
      <c r="BC139" s="176">
        <f>SUM('PER BULAN'!BI239)</f>
        <v>0</v>
      </c>
      <c r="BD139" s="176">
        <f>SUM('PER BULAN'!BJ239)</f>
        <v>0</v>
      </c>
      <c r="BE139" s="176">
        <f>SUM('PER BULAN'!BK239)</f>
        <v>0</v>
      </c>
      <c r="BF139" s="176">
        <f>SUM('PER BULAN'!BL239)</f>
        <v>0</v>
      </c>
    </row>
    <row r="140" spans="1:58"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tr">
        <f>IF(LEFT(SP2D[[#This Row],[kdakun]],2)="51","Belanja Pegawai",IF(LEFT(SP2D[[#This Row],[kdakun]],2)="52","Belanja Barang",IF(LEFT(SP2D[[#This Row],[kdakun]],2)="53","Belanja Modal")))</f>
        <v>Belanja Barang</v>
      </c>
      <c r="AM140" s="162" t="s">
        <v>3775</v>
      </c>
      <c r="AN140" s="275">
        <f t="shared" si="16"/>
        <v>0</v>
      </c>
      <c r="AO140" s="175">
        <f t="shared" si="17"/>
        <v>0</v>
      </c>
      <c r="AP140" s="275">
        <f t="shared" si="18"/>
        <v>0</v>
      </c>
      <c r="AQ140" s="175">
        <f t="shared" si="19"/>
        <v>0</v>
      </c>
      <c r="AR140" s="162" t="str">
        <f t="shared" si="20"/>
        <v>WA.4345.EBC.996.301.D.522192</v>
      </c>
      <c r="AS140" s="162" t="str">
        <f>IF(ISNUMBER(SEARCH("COVID",SP2D[[#This Row],[Akun]])),"COVID","Non COVID")</f>
        <v>COVID</v>
      </c>
      <c r="AT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0" s="176">
        <f>SUM('PER BULAN'!BB241)</f>
        <v>0</v>
      </c>
      <c r="AW140" s="176">
        <f>SUM('PER BULAN'!BC241)</f>
        <v>0</v>
      </c>
      <c r="AX140" s="176">
        <f>SUM('PER BULAN'!BD241)</f>
        <v>0</v>
      </c>
      <c r="AY140" s="176">
        <f>SUM('PER BULAN'!BE241)</f>
        <v>0</v>
      </c>
      <c r="AZ140" s="176">
        <f>SUM('PER BULAN'!BF241)</f>
        <v>0</v>
      </c>
      <c r="BA140" s="176">
        <f>SUM('PER BULAN'!BG241)</f>
        <v>0</v>
      </c>
      <c r="BB140" s="176">
        <f>SUM('PER BULAN'!BH241)</f>
        <v>0</v>
      </c>
      <c r="BC140" s="176">
        <f>SUM('PER BULAN'!BI241)</f>
        <v>0</v>
      </c>
      <c r="BD140" s="176">
        <f>SUM('PER BULAN'!BJ241)</f>
        <v>0</v>
      </c>
      <c r="BE140" s="176">
        <f>SUM('PER BULAN'!BK241)</f>
        <v>0</v>
      </c>
      <c r="BF140" s="176">
        <f>SUM('PER BULAN'!BL241)</f>
        <v>0</v>
      </c>
    </row>
    <row r="141" spans="1:58"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tr">
        <f>IF(LEFT(SP2D[[#This Row],[kdakun]],2)="51","Belanja Pegawai",IF(LEFT(SP2D[[#This Row],[kdakun]],2)="52","Belanja Barang",IF(LEFT(SP2D[[#This Row],[kdakun]],2)="53","Belanja Modal")))</f>
        <v>Belanja Barang</v>
      </c>
      <c r="AM141" s="162" t="s">
        <v>3775</v>
      </c>
      <c r="AN141" s="275">
        <f t="shared" si="16"/>
        <v>5920400</v>
      </c>
      <c r="AO141" s="175">
        <f t="shared" si="17"/>
        <v>23.6816</v>
      </c>
      <c r="AP141" s="275">
        <f t="shared" si="18"/>
        <v>19079600</v>
      </c>
      <c r="AQ141" s="175">
        <f t="shared" si="19"/>
        <v>76.318399999999997</v>
      </c>
      <c r="AR141" s="162" t="str">
        <f t="shared" si="20"/>
        <v>WA.4345.EBC.996.302.A.521211</v>
      </c>
      <c r="AS141" s="162" t="str">
        <f>IF(ISNUMBER(SEARCH("COVID",SP2D[[#This Row],[Akun]])),"COVID","Non COVID")</f>
        <v>Non COVID</v>
      </c>
      <c r="AT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1" s="176">
        <f>SUM('PER BULAN'!BB244)</f>
        <v>0</v>
      </c>
      <c r="AW141" s="176">
        <f>SUM('PER BULAN'!BC244)</f>
        <v>0</v>
      </c>
      <c r="AX141" s="176">
        <f>SUM('PER BULAN'!BD244)</f>
        <v>0</v>
      </c>
      <c r="AY141" s="176">
        <f>SUM('PER BULAN'!BE244)</f>
        <v>0</v>
      </c>
      <c r="AZ141" s="176">
        <f>SUM('PER BULAN'!BF244)</f>
        <v>0</v>
      </c>
      <c r="BA141" s="176">
        <f>SUM('PER BULAN'!BG244)</f>
        <v>0</v>
      </c>
      <c r="BB141" s="176">
        <f>SUM('PER BULAN'!BH244)</f>
        <v>2961000</v>
      </c>
      <c r="BC141" s="176">
        <f>SUM('PER BULAN'!BI244)</f>
        <v>0</v>
      </c>
      <c r="BD141" s="176">
        <f>SUM('PER BULAN'!BJ244)</f>
        <v>0</v>
      </c>
      <c r="BE141" s="176">
        <f>SUM('PER BULAN'!BK244)</f>
        <v>0</v>
      </c>
      <c r="BF141" s="176">
        <f>SUM('PER BULAN'!BL244)</f>
        <v>2959400</v>
      </c>
    </row>
    <row r="142" spans="1:58"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tr">
        <f>IF(LEFT(SP2D[[#This Row],[kdakun]],2)="51","Belanja Pegawai",IF(LEFT(SP2D[[#This Row],[kdakun]],2)="52","Belanja Barang",IF(LEFT(SP2D[[#This Row],[kdakun]],2)="53","Belanja Modal")))</f>
        <v>Belanja Barang</v>
      </c>
      <c r="AM142" s="162" t="s">
        <v>3775</v>
      </c>
      <c r="AN142" s="275">
        <f t="shared" si="16"/>
        <v>8220000</v>
      </c>
      <c r="AO142" s="175">
        <f t="shared" si="17"/>
        <v>27.400000000000002</v>
      </c>
      <c r="AP142" s="275">
        <f t="shared" si="18"/>
        <v>21780000</v>
      </c>
      <c r="AQ142" s="175">
        <f t="shared" si="19"/>
        <v>72.599999999999994</v>
      </c>
      <c r="AR142" s="162" t="str">
        <f t="shared" si="20"/>
        <v>WA.4345.EBC.996.302.A.521811</v>
      </c>
      <c r="AS142" s="162" t="str">
        <f>IF(ISNUMBER(SEARCH("COVID",SP2D[[#This Row],[Akun]])),"COVID","Non COVID")</f>
        <v>Non COVID</v>
      </c>
      <c r="AT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2" s="176">
        <f>SUM('PER BULAN'!BB245)</f>
        <v>0</v>
      </c>
      <c r="AW142" s="176">
        <f>SUM('PER BULAN'!BC245)</f>
        <v>0</v>
      </c>
      <c r="AX142" s="176">
        <f>SUM('PER BULAN'!BD245)</f>
        <v>0</v>
      </c>
      <c r="AY142" s="176">
        <f>SUM('PER BULAN'!BE245)</f>
        <v>0</v>
      </c>
      <c r="AZ142" s="176">
        <f>SUM('PER BULAN'!BF245)</f>
        <v>0</v>
      </c>
      <c r="BA142" s="176">
        <f>SUM('PER BULAN'!BG245)</f>
        <v>0</v>
      </c>
      <c r="BB142" s="176">
        <f>SUM('PER BULAN'!BH245)</f>
        <v>4845000</v>
      </c>
      <c r="BC142" s="176">
        <f>SUM('PER BULAN'!BI245)</f>
        <v>0</v>
      </c>
      <c r="BD142" s="176">
        <f>SUM('PER BULAN'!BJ245)</f>
        <v>0</v>
      </c>
      <c r="BE142" s="176">
        <f>SUM('PER BULAN'!BK245)</f>
        <v>0</v>
      </c>
      <c r="BF142" s="176">
        <f>SUM('PER BULAN'!BL245)</f>
        <v>3375000</v>
      </c>
    </row>
    <row r="143" spans="1:58"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tr">
        <f>IF(LEFT(SP2D[[#This Row],[kdakun]],2)="51","Belanja Pegawai",IF(LEFT(SP2D[[#This Row],[kdakun]],2)="52","Belanja Barang",IF(LEFT(SP2D[[#This Row],[kdakun]],2)="53","Belanja Modal")))</f>
        <v>Belanja Barang</v>
      </c>
      <c r="AM143" s="162" t="s">
        <v>3775</v>
      </c>
      <c r="AN143" s="275">
        <f t="shared" si="16"/>
        <v>0</v>
      </c>
      <c r="AO143" s="175">
        <f t="shared" si="17"/>
        <v>0</v>
      </c>
      <c r="AP143" s="275">
        <f t="shared" si="18"/>
        <v>54200000</v>
      </c>
      <c r="AQ143" s="175">
        <f t="shared" si="19"/>
        <v>100</v>
      </c>
      <c r="AR143" s="162" t="str">
        <f t="shared" si="20"/>
        <v>WA.4345.EBC.996.302.A.524111</v>
      </c>
      <c r="AS143" s="162" t="str">
        <f>IF(ISNUMBER(SEARCH("COVID",SP2D[[#This Row],[Akun]])),"COVID","Non COVID")</f>
        <v>Non COVID</v>
      </c>
      <c r="AT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3" s="176">
        <f>SUM('PER BULAN'!BB246)</f>
        <v>0</v>
      </c>
      <c r="AW143" s="176">
        <f>SUM('PER BULAN'!BC246)</f>
        <v>0</v>
      </c>
      <c r="AX143" s="176">
        <f>SUM('PER BULAN'!BD246)</f>
        <v>0</v>
      </c>
      <c r="AY143" s="176">
        <f>SUM('PER BULAN'!BE246)</f>
        <v>0</v>
      </c>
      <c r="AZ143" s="176">
        <f>SUM('PER BULAN'!BF246)</f>
        <v>0</v>
      </c>
      <c r="BA143" s="176">
        <f>SUM('PER BULAN'!BG246)</f>
        <v>0</v>
      </c>
      <c r="BB143" s="176">
        <f>SUM('PER BULAN'!BH246)</f>
        <v>0</v>
      </c>
      <c r="BC143" s="176">
        <f>SUM('PER BULAN'!BI246)</f>
        <v>0</v>
      </c>
      <c r="BD143" s="176">
        <f>SUM('PER BULAN'!BJ246)</f>
        <v>0</v>
      </c>
      <c r="BE143" s="176">
        <f>SUM('PER BULAN'!BK246)</f>
        <v>0</v>
      </c>
      <c r="BF143" s="176">
        <f>SUM('PER BULAN'!BL246)</f>
        <v>0</v>
      </c>
    </row>
    <row r="144" spans="1:58"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tr">
        <f>IF(LEFT(SP2D[[#This Row],[kdakun]],2)="51","Belanja Pegawai",IF(LEFT(SP2D[[#This Row],[kdakun]],2)="52","Belanja Barang",IF(LEFT(SP2D[[#This Row],[kdakun]],2)="53","Belanja Modal")))</f>
        <v>Belanja Modal</v>
      </c>
      <c r="AM144" s="302" t="s">
        <v>3775</v>
      </c>
      <c r="AN144" s="275">
        <f t="shared" si="16"/>
        <v>0</v>
      </c>
      <c r="AO144" s="308">
        <f t="shared" si="17"/>
        <v>0</v>
      </c>
      <c r="AP144" s="275">
        <f t="shared" si="18"/>
        <v>800000</v>
      </c>
      <c r="AQ144" s="308">
        <f t="shared" si="19"/>
        <v>100</v>
      </c>
      <c r="AR144" s="302" t="str">
        <f t="shared" si="20"/>
        <v>WA.2378.CAN.001.301.B.532111</v>
      </c>
      <c r="AS144" s="302" t="str">
        <f>IF(ISNUMBER(SEARCH("COVID",SP2D[[#This Row],[Akun]])),"COVID","Non COVID")</f>
        <v>Non COVID</v>
      </c>
      <c r="AT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V144" s="305"/>
      <c r="AW144" s="305"/>
      <c r="AX144" s="305"/>
      <c r="AY144" s="305"/>
      <c r="AZ144" s="305"/>
      <c r="BA144" s="305"/>
      <c r="BB144" s="305"/>
      <c r="BC144" s="305"/>
      <c r="BD144" s="176"/>
      <c r="BE144" s="176"/>
      <c r="BF144" s="176"/>
    </row>
    <row r="145" spans="1:58"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tr">
        <f>IF(LEFT(SP2D[[#This Row],[kdakun]],2)="51","Belanja Pegawai",IF(LEFT(SP2D[[#This Row],[kdakun]],2)="52","Belanja Barang",IF(LEFT(SP2D[[#This Row],[kdakun]],2)="53","Belanja Modal")))</f>
        <v>Belanja Barang</v>
      </c>
      <c r="AM145" s="302" t="s">
        <v>3775</v>
      </c>
      <c r="AN145" s="275">
        <f t="shared" si="16"/>
        <v>0</v>
      </c>
      <c r="AO145" s="308">
        <f t="shared" si="17"/>
        <v>0</v>
      </c>
      <c r="AP145" s="275">
        <f t="shared" si="18"/>
        <v>40434000</v>
      </c>
      <c r="AQ145" s="308">
        <f t="shared" si="19"/>
        <v>100</v>
      </c>
      <c r="AR145" s="302" t="str">
        <f t="shared" si="20"/>
        <v>WA.2378.EBA.958.311.B.521219</v>
      </c>
      <c r="AS145" s="302" t="str">
        <f>IF(ISNUMBER(SEARCH("COVID",SP2D[[#This Row],[Akun]])),"COVID","Non COVID")</f>
        <v>Non COVID</v>
      </c>
      <c r="AT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5" s="438"/>
      <c r="AW145" s="438"/>
      <c r="AX145" s="438"/>
      <c r="AY145" s="438"/>
      <c r="AZ145" s="438"/>
      <c r="BA145" s="438"/>
      <c r="BB145" s="438"/>
      <c r="BC145" s="438"/>
      <c r="BD145" s="439"/>
      <c r="BE145" s="439"/>
      <c r="BF145" s="439"/>
    </row>
    <row r="146" spans="1:58"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tr">
        <f>IF(LEFT(SP2D[[#This Row],[kdakun]],2)="51","Belanja Pegawai",IF(LEFT(SP2D[[#This Row],[kdakun]],2)="52","Belanja Barang",IF(LEFT(SP2D[[#This Row],[kdakun]],2)="53","Belanja Modal")))</f>
        <v>Belanja Barang</v>
      </c>
      <c r="AM146" s="302" t="s">
        <v>3775</v>
      </c>
      <c r="AN146" s="275">
        <f t="shared" si="16"/>
        <v>0</v>
      </c>
      <c r="AO146" s="308">
        <f t="shared" si="17"/>
        <v>0</v>
      </c>
      <c r="AP146" s="275">
        <f t="shared" si="18"/>
        <v>266494000</v>
      </c>
      <c r="AQ146" s="308">
        <f t="shared" si="19"/>
        <v>100</v>
      </c>
      <c r="AR146" s="302" t="str">
        <f t="shared" si="20"/>
        <v>WA.2378.EBA.962.301.G.521811</v>
      </c>
      <c r="AS146" s="302" t="str">
        <f>IF(ISNUMBER(SEARCH("COVID",SP2D[[#This Row],[Akun]])),"COVID","Non COVID")</f>
        <v>Non COVID</v>
      </c>
      <c r="AT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6" s="438"/>
      <c r="AW146" s="438"/>
      <c r="AX146" s="438"/>
      <c r="AY146" s="438"/>
      <c r="AZ146" s="438"/>
      <c r="BA146" s="438"/>
      <c r="BB146" s="438"/>
      <c r="BC146" s="438"/>
      <c r="BD146" s="439"/>
      <c r="BE146" s="439"/>
      <c r="BF146" s="439"/>
    </row>
    <row r="147" spans="1:58"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tr">
        <f>IF(LEFT(SP2D[[#This Row],[kdakun]],2)="51","Belanja Pegawai",IF(LEFT(SP2D[[#This Row],[kdakun]],2)="52","Belanja Barang",IF(LEFT(SP2D[[#This Row],[kdakun]],2)="53","Belanja Modal")))</f>
        <v>Belanja Modal</v>
      </c>
      <c r="AM147" s="302" t="s">
        <v>3775</v>
      </c>
      <c r="AN147" s="275">
        <f t="shared" si="16"/>
        <v>0</v>
      </c>
      <c r="AO147" s="308">
        <f t="shared" si="17"/>
        <v>0</v>
      </c>
      <c r="AP147" s="275">
        <f t="shared" si="18"/>
        <v>934000</v>
      </c>
      <c r="AQ147" s="308">
        <f t="shared" si="19"/>
        <v>100</v>
      </c>
      <c r="AR147" s="302" t="str">
        <f t="shared" si="20"/>
        <v>WA.2378.EBB.951.301.B.532111</v>
      </c>
      <c r="AS147" s="302" t="str">
        <f>IF(ISNUMBER(SEARCH("COVID",SP2D[[#This Row],[Akun]])),"COVID","Non COVID")</f>
        <v>Non COVID</v>
      </c>
      <c r="AT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V147" s="438"/>
      <c r="AW147" s="438"/>
      <c r="AX147" s="438"/>
      <c r="AY147" s="438"/>
      <c r="AZ147" s="438"/>
      <c r="BA147" s="438"/>
      <c r="BB147" s="438"/>
      <c r="BC147" s="438"/>
      <c r="BD147" s="439"/>
      <c r="BE147" s="439"/>
      <c r="BF147" s="439"/>
    </row>
    <row r="148" spans="1:58"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tr">
        <f>IF(LEFT(SP2D[[#This Row],[kdakun]],2)="51","Belanja Pegawai",IF(LEFT(SP2D[[#This Row],[kdakun]],2)="52","Belanja Barang",IF(LEFT(SP2D[[#This Row],[kdakun]],2)="53","Belanja Modal")))</f>
        <v>Belanja Barang</v>
      </c>
      <c r="AM148" s="302" t="s">
        <v>3775</v>
      </c>
      <c r="AN148" s="275">
        <f t="shared" si="16"/>
        <v>0</v>
      </c>
      <c r="AO148" s="308">
        <f t="shared" si="17"/>
        <v>0</v>
      </c>
      <c r="AP148" s="275">
        <f t="shared" si="18"/>
        <v>434566000</v>
      </c>
      <c r="AQ148" s="308">
        <f t="shared" si="19"/>
        <v>100</v>
      </c>
      <c r="AR148" s="302" t="str">
        <f t="shared" si="20"/>
        <v>WA.2378.EBD.952.301.D.524111</v>
      </c>
      <c r="AS148" s="302" t="str">
        <f>IF(ISNUMBER(SEARCH("COVID",SP2D[[#This Row],[Akun]])),"COVID","Non COVID")</f>
        <v>Non COVID</v>
      </c>
      <c r="AT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8" s="438"/>
      <c r="AW148" s="438"/>
      <c r="AX148" s="438"/>
      <c r="AY148" s="438"/>
      <c r="AZ148" s="438"/>
      <c r="BA148" s="438"/>
      <c r="BB148" s="438"/>
      <c r="BC148" s="438"/>
      <c r="BD148" s="439"/>
      <c r="BE148" s="439"/>
      <c r="BF148" s="439"/>
    </row>
    <row r="149" spans="1:58"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tr">
        <f>IF(LEFT(SP2D[[#This Row],[kdakun]],2)="51","Belanja Pegawai",IF(LEFT(SP2D[[#This Row],[kdakun]],2)="52","Belanja Barang",IF(LEFT(SP2D[[#This Row],[kdakun]],2)="53","Belanja Modal")))</f>
        <v>Belanja Barang</v>
      </c>
      <c r="AM149" s="302" t="s">
        <v>3775</v>
      </c>
      <c r="AN149" s="275">
        <f t="shared" si="16"/>
        <v>0</v>
      </c>
      <c r="AO149" s="308">
        <f t="shared" si="17"/>
        <v>0</v>
      </c>
      <c r="AP149" s="275">
        <f t="shared" si="18"/>
        <v>387471000</v>
      </c>
      <c r="AQ149" s="308">
        <f t="shared" si="19"/>
        <v>100</v>
      </c>
      <c r="AR149" s="302" t="str">
        <f t="shared" si="20"/>
        <v>WA.2378.EBD.953.301.C.524111</v>
      </c>
      <c r="AS149" s="302" t="str">
        <f>IF(ISNUMBER(SEARCH("COVID",SP2D[[#This Row],[Akun]])),"COVID","Non COVID")</f>
        <v>Non COVID</v>
      </c>
      <c r="AT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9" s="438"/>
      <c r="AW149" s="438"/>
      <c r="AX149" s="438"/>
      <c r="AY149" s="438"/>
      <c r="AZ149" s="438"/>
      <c r="BA149" s="438"/>
      <c r="BB149" s="438"/>
      <c r="BC149" s="438"/>
      <c r="BD149" s="439"/>
      <c r="BE149" s="439"/>
      <c r="BF149" s="439"/>
    </row>
    <row r="150" spans="1:58"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tr">
        <f>IF(LEFT(SP2D[[#This Row],[kdakun]],2)="51","Belanja Pegawai",IF(LEFT(SP2D[[#This Row],[kdakun]],2)="52","Belanja Barang",IF(LEFT(SP2D[[#This Row],[kdakun]],2)="53","Belanja Modal")))</f>
        <v>Belanja Barang</v>
      </c>
      <c r="AM150" s="302" t="s">
        <v>3775</v>
      </c>
      <c r="AN150" s="275">
        <f t="shared" si="16"/>
        <v>0</v>
      </c>
      <c r="AO150" s="308">
        <f t="shared" si="17"/>
        <v>0</v>
      </c>
      <c r="AP150" s="275">
        <f t="shared" si="18"/>
        <v>76463000</v>
      </c>
      <c r="AQ150" s="308">
        <f t="shared" si="19"/>
        <v>100</v>
      </c>
      <c r="AR150" s="302" t="str">
        <f t="shared" si="20"/>
        <v>WA.2378.EBD.953.302.B.521219</v>
      </c>
      <c r="AS150" s="302" t="str">
        <f>IF(ISNUMBER(SEARCH("COVID",SP2D[[#This Row],[Akun]])),"COVID","Non COVID")</f>
        <v>Non COVID</v>
      </c>
      <c r="AT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0" s="438"/>
      <c r="AW150" s="438"/>
      <c r="AX150" s="438"/>
      <c r="AY150" s="438"/>
      <c r="AZ150" s="438"/>
      <c r="BA150" s="438"/>
      <c r="BB150" s="438"/>
      <c r="BC150" s="438"/>
      <c r="BD150" s="439"/>
      <c r="BE150" s="439"/>
      <c r="BF150" s="439"/>
    </row>
    <row r="151" spans="1:58"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tr">
        <f>IF(LEFT(SP2D[[#This Row],[kdakun]],2)="51","Belanja Pegawai",IF(LEFT(SP2D[[#This Row],[kdakun]],2)="52","Belanja Barang",IF(LEFT(SP2D[[#This Row],[kdakun]],2)="53","Belanja Modal")))</f>
        <v>Belanja Barang</v>
      </c>
      <c r="AM151" s="302" t="s">
        <v>3775</v>
      </c>
      <c r="AN151" s="275">
        <f t="shared" si="16"/>
        <v>0</v>
      </c>
      <c r="AO151" s="308">
        <f t="shared" si="17"/>
        <v>0</v>
      </c>
      <c r="AP151" s="275">
        <f t="shared" si="18"/>
        <v>92000000</v>
      </c>
      <c r="AQ151" s="308">
        <f t="shared" si="19"/>
        <v>100</v>
      </c>
      <c r="AR151" s="302" t="str">
        <f t="shared" si="20"/>
        <v>WA.2378.EBD.955.301.G.521219</v>
      </c>
      <c r="AS151" s="302" t="str">
        <f>IF(ISNUMBER(SEARCH("COVID",SP2D[[#This Row],[Akun]])),"COVID","Non COVID")</f>
        <v>Non COVID</v>
      </c>
      <c r="AT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1" s="438"/>
      <c r="AW151" s="438"/>
      <c r="AX151" s="438"/>
      <c r="AY151" s="438"/>
      <c r="AZ151" s="438"/>
      <c r="BA151" s="438"/>
      <c r="BB151" s="438"/>
      <c r="BC151" s="438"/>
      <c r="BD151" s="439"/>
      <c r="BE151" s="439"/>
      <c r="BF151" s="439"/>
    </row>
    <row r="152" spans="1:58">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346406589</v>
      </c>
      <c r="AD152" s="434">
        <f t="shared" si="22"/>
        <v>63640000</v>
      </c>
      <c r="AE152" s="434">
        <f t="shared" si="22"/>
        <v>0</v>
      </c>
      <c r="AF152" s="434">
        <f t="shared" si="22"/>
        <v>0</v>
      </c>
      <c r="AG152" s="434">
        <f t="shared" si="22"/>
        <v>0</v>
      </c>
      <c r="AN152" s="434">
        <f>SUM(AN4:AN151)</f>
        <v>8384292675</v>
      </c>
      <c r="AO152" s="178">
        <f>AN152/Q152*100</f>
        <v>49.71957027162874</v>
      </c>
      <c r="AP152" s="434">
        <f>SUM(AP4:AP151)</f>
        <v>8478871325</v>
      </c>
      <c r="AQ152" s="178">
        <f>AP152/Q152*100</f>
        <v>50.28042972837126</v>
      </c>
      <c r="AV152" s="434">
        <f>SUM(AV4:AV151)</f>
        <v>99961115</v>
      </c>
      <c r="AW152" s="434">
        <f>SUM(AW4:AW151)</f>
        <v>410500187</v>
      </c>
      <c r="AX152" s="177">
        <f t="shared" ref="AX152:BC152" si="23">SUM(AX4:AX143)</f>
        <v>98176375</v>
      </c>
      <c r="AY152" s="177">
        <f t="shared" si="23"/>
        <v>95254996</v>
      </c>
      <c r="AZ152" s="177">
        <f t="shared" si="23"/>
        <v>95439616</v>
      </c>
      <c r="BA152" s="177">
        <f t="shared" si="23"/>
        <v>93838577</v>
      </c>
      <c r="BB152" s="177">
        <f t="shared" si="23"/>
        <v>312088731</v>
      </c>
      <c r="BC152" s="177">
        <f t="shared" si="23"/>
        <v>7559500</v>
      </c>
      <c r="BD152" s="177">
        <f>SUM(BD4:BD143)</f>
        <v>93423902</v>
      </c>
      <c r="BE152" s="177">
        <f>SUM(BE4:BE143)</f>
        <v>99715771</v>
      </c>
      <c r="BF152" s="177">
        <f t="shared" ref="BF152" si="24">SUM(BF4:BF143)</f>
        <v>149397390</v>
      </c>
    </row>
    <row r="153" spans="1:58">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165988020</v>
      </c>
      <c r="AC4" s="176">
        <f>SUM('PER BULAN'!AH253:AJ253)</f>
        <v>163214400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1859131020</v>
      </c>
      <c r="AM4" s="175">
        <f t="shared" ref="AM4:AM14" si="1">IFERROR(AL4/Q4*100,0)</f>
        <v>74.860005548672277</v>
      </c>
      <c r="AN4" s="275">
        <f t="shared" ref="AN4:AN14" si="2">Q4-AL4</f>
        <v>624345980</v>
      </c>
      <c r="AO4" s="175">
        <f t="shared" ref="AO4:AO14" si="3">IFERROR(AN4/Q4*100,0)</f>
        <v>25.139994451327713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2503</v>
      </c>
      <c r="AC5" s="176">
        <f>SUM('PER BULAN'!AH254:AJ254)</f>
        <v>2509</v>
      </c>
      <c r="AD5" s="176">
        <f>SUM('PER BULAN'!AK254:AM254)</f>
        <v>0</v>
      </c>
      <c r="AE5" s="176">
        <f>SUM('PER BULAN'!AN254:AP254)</f>
        <v>0</v>
      </c>
      <c r="AF5" s="161">
        <f>SUM('PER BULAN'!AQ254:AS254)</f>
        <v>0</v>
      </c>
      <c r="AG5" s="162" t="s">
        <v>523</v>
      </c>
      <c r="AH5" s="162" t="s">
        <v>565</v>
      </c>
      <c r="AI5" s="162" t="s">
        <v>535</v>
      </c>
      <c r="AJ5" s="162">
        <v>51</v>
      </c>
      <c r="AK5" s="162" t="s">
        <v>3775</v>
      </c>
      <c r="AL5" s="255">
        <f t="shared" si="0"/>
        <v>28599</v>
      </c>
      <c r="AM5" s="175">
        <f t="shared" si="1"/>
        <v>75.260526315789477</v>
      </c>
      <c r="AN5" s="255">
        <f t="shared" si="2"/>
        <v>9401</v>
      </c>
      <c r="AO5" s="175">
        <f t="shared" si="3"/>
        <v>24.739473684210527</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11143820</v>
      </c>
      <c r="AD6" s="176">
        <f>SUM('PER BULAN'!AK255:AM255)</f>
        <v>0</v>
      </c>
      <c r="AE6" s="176">
        <f>SUM('PER BULAN'!AN255:AP255)</f>
        <v>0</v>
      </c>
      <c r="AF6" s="161">
        <f>SUM('PER BULAN'!AQ255:AS255)</f>
        <v>0</v>
      </c>
      <c r="AG6" s="162" t="s">
        <v>523</v>
      </c>
      <c r="AH6" s="162" t="s">
        <v>565</v>
      </c>
      <c r="AI6" s="162" t="s">
        <v>535</v>
      </c>
      <c r="AJ6" s="162">
        <v>51</v>
      </c>
      <c r="AK6" s="162" t="s">
        <v>3775</v>
      </c>
      <c r="AL6" s="255">
        <f t="shared" si="0"/>
        <v>121975030</v>
      </c>
      <c r="AM6" s="175">
        <f t="shared" si="1"/>
        <v>70.932623474200241</v>
      </c>
      <c r="AN6" s="255">
        <f t="shared" si="2"/>
        <v>49983970</v>
      </c>
      <c r="AO6" s="175">
        <f t="shared" si="3"/>
        <v>29.067376525799755</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3438342</v>
      </c>
      <c r="AD7" s="176">
        <f>SUM('PER BULAN'!AK256:AM256)</f>
        <v>0</v>
      </c>
      <c r="AE7" s="176">
        <f>SUM('PER BULAN'!AN256:AP256)</f>
        <v>0</v>
      </c>
      <c r="AF7" s="161">
        <f>SUM('PER BULAN'!AQ256:AS256)</f>
        <v>0</v>
      </c>
      <c r="AG7" s="162" t="s">
        <v>523</v>
      </c>
      <c r="AH7" s="162" t="s">
        <v>565</v>
      </c>
      <c r="AI7" s="162" t="s">
        <v>535</v>
      </c>
      <c r="AJ7" s="162">
        <v>51</v>
      </c>
      <c r="AK7" s="162" t="s">
        <v>3775</v>
      </c>
      <c r="AL7" s="255">
        <f t="shared" si="0"/>
        <v>36702958</v>
      </c>
      <c r="AM7" s="175">
        <f t="shared" si="1"/>
        <v>78.593057815845825</v>
      </c>
      <c r="AN7" s="255">
        <f t="shared" si="2"/>
        <v>9997042</v>
      </c>
      <c r="AO7" s="175">
        <f t="shared" si="3"/>
        <v>21.406942184154175</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9730000</v>
      </c>
      <c r="AD8" s="176">
        <f>SUM('PER BULAN'!AK257:AM257)</f>
        <v>0</v>
      </c>
      <c r="AE8" s="176">
        <f>SUM('PER BULAN'!AN257:AP257)</f>
        <v>0</v>
      </c>
      <c r="AF8" s="161">
        <f>SUM('PER BULAN'!AQ257:AS257)</f>
        <v>0</v>
      </c>
      <c r="AG8" s="162" t="s">
        <v>523</v>
      </c>
      <c r="AH8" s="162" t="s">
        <v>565</v>
      </c>
      <c r="AI8" s="162" t="s">
        <v>535</v>
      </c>
      <c r="AJ8" s="162">
        <v>51</v>
      </c>
      <c r="AK8" s="162" t="s">
        <v>3775</v>
      </c>
      <c r="AL8" s="255">
        <f t="shared" si="0"/>
        <v>107030000</v>
      </c>
      <c r="AM8" s="175">
        <f t="shared" si="1"/>
        <v>67.740506329113927</v>
      </c>
      <c r="AN8" s="255">
        <f t="shared" si="2"/>
        <v>50970000</v>
      </c>
      <c r="AO8" s="175">
        <f t="shared" si="3"/>
        <v>32.259493670886073</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4960000</v>
      </c>
      <c r="AD9" s="176">
        <f>SUM('PER BULAN'!AK258:AM258)</f>
        <v>0</v>
      </c>
      <c r="AE9" s="176">
        <f>SUM('PER BULAN'!AN258:AP258)</f>
        <v>0</v>
      </c>
      <c r="AF9" s="161">
        <f>SUM('PER BULAN'!AQ258:AS258)</f>
        <v>0</v>
      </c>
      <c r="AG9" s="162" t="s">
        <v>523</v>
      </c>
      <c r="AH9" s="162" t="s">
        <v>565</v>
      </c>
      <c r="AI9" s="162" t="s">
        <v>535</v>
      </c>
      <c r="AJ9" s="162">
        <v>51</v>
      </c>
      <c r="AK9" s="162" t="s">
        <v>3775</v>
      </c>
      <c r="AL9" s="255">
        <f t="shared" si="0"/>
        <v>54296000</v>
      </c>
      <c r="AM9" s="175">
        <f t="shared" si="1"/>
        <v>112.69406392694063</v>
      </c>
      <c r="AN9" s="255">
        <f t="shared" si="2"/>
        <v>-6116000</v>
      </c>
      <c r="AO9" s="175">
        <f t="shared" si="3"/>
        <v>-12.694063926940638</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277571</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7805487</v>
      </c>
      <c r="AM10" s="175">
        <f t="shared" si="1"/>
        <v>59.434150612959726</v>
      </c>
      <c r="AN10" s="255">
        <f t="shared" si="2"/>
        <v>5327513</v>
      </c>
      <c r="AO10" s="175">
        <f t="shared" si="3"/>
        <v>40.565849387040281</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8980080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98201520</v>
      </c>
      <c r="AM11" s="275">
        <f t="shared" si="1"/>
        <v>75.346627484980772</v>
      </c>
      <c r="AN11" s="255">
        <f t="shared" si="2"/>
        <v>32131480</v>
      </c>
      <c r="AO11" s="175">
        <f t="shared" si="3"/>
        <v>24.653372515019221</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5355000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186757000</v>
      </c>
      <c r="AM12" s="175">
        <f t="shared" si="1"/>
        <v>49.227026271881151</v>
      </c>
      <c r="AN12" s="255">
        <f t="shared" si="2"/>
        <v>192622000</v>
      </c>
      <c r="AO12" s="175">
        <f t="shared" si="3"/>
        <v>50.772973728118842</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zoomScale="70" zoomScaleNormal="70" workbookViewId="0">
      <pane xSplit="3" ySplit="14" topLeftCell="G237" activePane="bottomRight" state="frozen"/>
      <selection pane="topRight" activeCell="D1" sqref="D1"/>
      <selection pane="bottomLeft" activeCell="A15" sqref="A15"/>
      <selection pane="bottomRight" activeCell="AW269" sqref="AW269"/>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hidden="1" customWidth="1"/>
    <col min="32" max="32" width="11.85546875" hidden="1" customWidth="1"/>
    <col min="33" max="33" width="13.140625" hidden="1" customWidth="1"/>
    <col min="34" max="34" width="12.85546875" customWidth="1"/>
    <col min="35" max="36" width="11.85546875"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7848</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46" t="s">
        <v>3711</v>
      </c>
      <c r="K12" s="546"/>
      <c r="L12" s="546"/>
      <c r="M12" s="546" t="s">
        <v>3712</v>
      </c>
      <c r="N12" s="546"/>
      <c r="O12" s="546"/>
      <c r="P12" s="546" t="s">
        <v>3713</v>
      </c>
      <c r="Q12" s="546"/>
      <c r="R12" s="546"/>
      <c r="S12" s="546" t="s">
        <v>3714</v>
      </c>
      <c r="T12" s="546"/>
      <c r="U12" s="546"/>
      <c r="V12" s="546" t="s">
        <v>3715</v>
      </c>
      <c r="W12" s="546"/>
      <c r="X12" s="546"/>
      <c r="Y12" s="546" t="s">
        <v>3716</v>
      </c>
      <c r="Z12" s="546"/>
      <c r="AA12" s="546"/>
      <c r="AB12" s="546" t="s">
        <v>3717</v>
      </c>
      <c r="AC12" s="546"/>
      <c r="AD12" s="546"/>
      <c r="AE12" s="546" t="s">
        <v>3718</v>
      </c>
      <c r="AF12" s="546"/>
      <c r="AG12" s="546"/>
      <c r="AH12" s="546" t="s">
        <v>3719</v>
      </c>
      <c r="AI12" s="546"/>
      <c r="AJ12" s="546"/>
      <c r="AK12" s="546" t="s">
        <v>3720</v>
      </c>
      <c r="AL12" s="546"/>
      <c r="AM12" s="546"/>
      <c r="AN12" s="546" t="s">
        <v>3721</v>
      </c>
      <c r="AO12" s="546"/>
      <c r="AP12" s="546"/>
      <c r="AQ12" s="546" t="s">
        <v>3722</v>
      </c>
      <c r="AR12" s="546"/>
      <c r="AS12" s="546"/>
      <c r="AT12" s="357"/>
      <c r="AU12" s="548" t="s">
        <v>3728</v>
      </c>
      <c r="AV12" s="549" t="s">
        <v>3729</v>
      </c>
      <c r="AW12" s="547" t="s">
        <v>3730</v>
      </c>
      <c r="AX12" s="547"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48"/>
      <c r="AV13" s="549"/>
      <c r="AW13" s="547"/>
      <c r="AX13" s="547"/>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97843200</v>
      </c>
      <c r="AF14" s="188">
        <f t="shared" si="1"/>
        <v>99165999</v>
      </c>
      <c r="AG14" s="188">
        <f t="shared" si="1"/>
        <v>149397390</v>
      </c>
      <c r="AH14" s="188">
        <f t="shared" si="1"/>
        <v>63640000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8384292675</v>
      </c>
      <c r="AV14" s="189">
        <f>IFERROR(AU14/F14*100,0)</f>
        <v>49.71957027162874</v>
      </c>
      <c r="AW14" s="190">
        <f>F14-AU14</f>
        <v>8478871325</v>
      </c>
      <c r="AX14" s="189">
        <f>AW14/F14*100</f>
        <v>50.28042972837126</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2" si="8">IFERROR(AU15/F15*100,0)</f>
        <v>58.480843499999999</v>
      </c>
      <c r="AW15" s="138">
        <f t="shared" ref="AW15:AW82"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2"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7520000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391052990</v>
      </c>
      <c r="AV32" s="143">
        <f t="shared" si="8"/>
        <v>56.979890718344748</v>
      </c>
      <c r="AW32" s="144">
        <f t="shared" si="9"/>
        <v>295247010</v>
      </c>
      <c r="AX32" s="143">
        <f t="shared" si="12"/>
        <v>43.020109281655259</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2700000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222698850</v>
      </c>
      <c r="AV33" s="121">
        <f t="shared" si="8"/>
        <v>57.556225511986845</v>
      </c>
      <c r="AW33" s="122">
        <f t="shared" si="9"/>
        <v>164225150</v>
      </c>
      <c r="AX33" s="121">
        <f t="shared" si="12"/>
        <v>42.443774488013148</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v>2700000</v>
      </c>
      <c r="AF37" s="111"/>
      <c r="AG37" s="111"/>
      <c r="AH37" s="111"/>
      <c r="AI37" s="111"/>
      <c r="AJ37" s="111"/>
      <c r="AK37" s="111"/>
      <c r="AL37" s="111"/>
      <c r="AM37" s="111"/>
      <c r="AN37" s="111"/>
      <c r="AO37" s="111"/>
      <c r="AP37" s="111"/>
      <c r="AQ37" s="111"/>
      <c r="AR37" s="111"/>
      <c r="AS37" s="111"/>
      <c r="AT37" s="111"/>
      <c r="AU37" s="111">
        <f t="shared" si="43"/>
        <v>11700000</v>
      </c>
      <c r="AV37" s="114">
        <f t="shared" si="8"/>
        <v>46.428571428571431</v>
      </c>
      <c r="AW37" s="115">
        <f t="shared" si="9"/>
        <v>13500000</v>
      </c>
      <c r="AX37" s="114">
        <f t="shared" si="12"/>
        <v>53.571428571428569</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4820000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7304000</v>
      </c>
      <c r="AV48" s="121">
        <f t="shared" si="8"/>
        <v>14.166020170674942</v>
      </c>
      <c r="AW48" s="122">
        <f t="shared" ref="AW48" si="84">F48-AU48</f>
        <v>44256000</v>
      </c>
      <c r="AX48" s="121">
        <f t="shared" ref="AX48" si="85">AW48/F48*100</f>
        <v>85.83397982932506</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f>3180000+1230000+410000</f>
        <v>4820000</v>
      </c>
      <c r="AF52" s="111"/>
      <c r="AG52" s="111"/>
      <c r="AH52" s="111"/>
      <c r="AI52" s="111"/>
      <c r="AJ52" s="111"/>
      <c r="AK52" s="111"/>
      <c r="AL52" s="111"/>
      <c r="AM52" s="111"/>
      <c r="AN52" s="111"/>
      <c r="AO52" s="111"/>
      <c r="AP52" s="111"/>
      <c r="AQ52" s="111"/>
      <c r="AR52" s="111"/>
      <c r="AS52" s="111"/>
      <c r="AT52" s="111"/>
      <c r="AU52" s="111">
        <f t="shared" si="43"/>
        <v>4820000</v>
      </c>
      <c r="AV52" s="114">
        <f t="shared" si="8"/>
        <v>20.929222752930958</v>
      </c>
      <c r="AW52" s="115">
        <f t="shared" si="9"/>
        <v>18210000</v>
      </c>
      <c r="AX52" s="114">
        <f t="shared" si="12"/>
        <v>79.070777247069032</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87173200</v>
      </c>
      <c r="AF60" s="136">
        <f t="shared" si="104"/>
        <v>79451449</v>
      </c>
      <c r="AG60" s="136">
        <f t="shared" si="104"/>
        <v>60319640</v>
      </c>
      <c r="AH60" s="136">
        <f t="shared" si="104"/>
        <v>63640000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7799484240</v>
      </c>
      <c r="AV60" s="137">
        <f t="shared" si="8"/>
        <v>49.167267261436621</v>
      </c>
      <c r="AW60" s="138">
        <f t="shared" ref="AW60:AW64" si="107">F60-AU60</f>
        <v>8063679760</v>
      </c>
      <c r="AX60" s="137">
        <f t="shared" ref="AX60:AX65" si="108">AW60/F60*100</f>
        <v>50.832732738563379</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63640000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2850285492</v>
      </c>
      <c r="AV61" s="131">
        <f t="shared" si="8"/>
        <v>39.148702535922546</v>
      </c>
      <c r="AW61" s="132">
        <f t="shared" si="107"/>
        <v>4430378508</v>
      </c>
      <c r="AX61" s="131">
        <f t="shared" si="108"/>
        <v>60.851297464077447</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63640000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1788944543</v>
      </c>
      <c r="AV69" s="126">
        <f t="shared" si="8"/>
        <v>35.174314738278468</v>
      </c>
      <c r="AW69" s="127">
        <f>F69-AU69</f>
        <v>3296995457</v>
      </c>
      <c r="AX69" s="126">
        <f>AW69/F69*100</f>
        <v>64.825685261721532</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63640000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1056379516</v>
      </c>
      <c r="AV128" s="119">
        <f t="shared" si="199"/>
        <v>48.112206728005908</v>
      </c>
      <c r="AW128" s="120">
        <f>F128-AU128</f>
        <v>1139278484</v>
      </c>
      <c r="AX128" s="119">
        <f>AW128/F128*100</f>
        <v>51.887793271994084</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63640000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1056379516</v>
      </c>
      <c r="AV129" s="119">
        <f t="shared" si="199"/>
        <v>48.112206728005908</v>
      </c>
      <c r="AW129" s="120">
        <f>F129-AU129</f>
        <v>1139278484</v>
      </c>
      <c r="AX129" s="119">
        <f t="shared" si="201"/>
        <v>51.887793271994084</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63640000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712226906</v>
      </c>
      <c r="AV130" s="121">
        <f t="shared" si="199"/>
        <v>56.779198169613679</v>
      </c>
      <c r="AW130" s="122">
        <f>F130-AU130</f>
        <v>542153094</v>
      </c>
      <c r="AX130" s="121">
        <f>AW130/F130*100</f>
        <v>43.220801830386321</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v>63640000</v>
      </c>
      <c r="AI131" s="111"/>
      <c r="AJ131" s="111"/>
      <c r="AK131" s="111"/>
      <c r="AL131" s="111"/>
      <c r="AM131" s="111"/>
      <c r="AN131" s="111"/>
      <c r="AO131" s="111"/>
      <c r="AP131" s="111"/>
      <c r="AQ131" s="111"/>
      <c r="AR131" s="111"/>
      <c r="AS131" s="111"/>
      <c r="AT131" s="111"/>
      <c r="AU131" s="111">
        <f>SUM(J131:AS131)</f>
        <v>643043906</v>
      </c>
      <c r="AV131" s="114">
        <f t="shared" si="199"/>
        <v>59.750228206128867</v>
      </c>
      <c r="AW131" s="115">
        <f>F131-AU131</f>
        <v>433176094</v>
      </c>
      <c r="AX131" s="114">
        <f>AW131/F131*100</f>
        <v>40.24977179387114</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17850000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4949198748</v>
      </c>
      <c r="AV219" s="119">
        <f t="shared" si="345"/>
        <v>57.666166594815024</v>
      </c>
      <c r="AW219" s="120">
        <f t="shared" si="503"/>
        <v>3633301252</v>
      </c>
      <c r="AX219" s="119">
        <f t="shared" si="504"/>
        <v>42.333833405184969</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17850000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4949198748</v>
      </c>
      <c r="AV220" s="119">
        <f t="shared" si="345"/>
        <v>57.666166594815024</v>
      </c>
      <c r="AW220" s="120">
        <f t="shared" si="503"/>
        <v>3633301252</v>
      </c>
      <c r="AX220" s="119">
        <f t="shared" si="504"/>
        <v>42.333833405184969</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17850000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4949198748</v>
      </c>
      <c r="AV221" s="119">
        <f t="shared" si="345"/>
        <v>57.666166594815024</v>
      </c>
      <c r="AW221" s="120">
        <f t="shared" si="503"/>
        <v>3633301252</v>
      </c>
      <c r="AX221" s="119">
        <f t="shared" si="504"/>
        <v>42.333833405184969</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17850000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4935058348</v>
      </c>
      <c r="AV222" s="119">
        <f t="shared" ref="AV222:AV246" si="558">IFERROR(AU222/F222*100,0)</f>
        <v>58.242459820849021</v>
      </c>
      <c r="AW222" s="120">
        <f t="shared" si="503"/>
        <v>3538241652</v>
      </c>
      <c r="AX222" s="119">
        <f t="shared" si="504"/>
        <v>41.757540179150979</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17850000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4904833348</v>
      </c>
      <c r="AV230" s="121">
        <f t="shared" si="558"/>
        <v>74.477080217046193</v>
      </c>
      <c r="AW230" s="122">
        <f t="shared" si="503"/>
        <v>1680861652</v>
      </c>
      <c r="AX230" s="121">
        <f t="shared" si="504"/>
        <v>25.522919782953814</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f>16200000+1650000</f>
        <v>17850000</v>
      </c>
      <c r="AF232" s="111"/>
      <c r="AG232" s="111"/>
      <c r="AH232" s="111"/>
      <c r="AI232" s="111"/>
      <c r="AJ232" s="111"/>
      <c r="AK232" s="111"/>
      <c r="AL232" s="111"/>
      <c r="AM232" s="111"/>
      <c r="AN232" s="111"/>
      <c r="AO232" s="111"/>
      <c r="AP232" s="111"/>
      <c r="AQ232" s="111"/>
      <c r="AR232" s="111"/>
      <c r="AS232" s="111"/>
      <c r="AT232" s="111"/>
      <c r="AU232" s="111">
        <f t="shared" si="502"/>
        <v>4825410092</v>
      </c>
      <c r="AV232" s="114">
        <f t="shared" si="558"/>
        <v>76.488245064946085</v>
      </c>
      <c r="AW232" s="115">
        <f t="shared" si="503"/>
        <v>1483284908</v>
      </c>
      <c r="AX232" s="114">
        <f t="shared" si="504"/>
        <v>23.511754935053922</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473665334</v>
      </c>
      <c r="AF251" s="130">
        <f t="shared" si="610"/>
        <v>0</v>
      </c>
      <c r="AG251" s="130">
        <f t="shared" si="610"/>
        <v>0</v>
      </c>
      <c r="AH251" s="130">
        <f t="shared" si="610"/>
        <v>207101722</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4452198655</v>
      </c>
      <c r="AV251" s="277">
        <f t="shared" ref="AV251:AV263" si="613">IFERROR(AU251/F251*100,0)</f>
        <v>68.71741632499851</v>
      </c>
      <c r="AW251" s="131">
        <f t="shared" ref="AW251:AW263" si="614">F251-AU251</f>
        <v>2026797345</v>
      </c>
      <c r="AX251" s="131">
        <f t="shared" ref="AX251:AX263" si="615">AW251/F251*100</f>
        <v>31.282583675001497</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473665334</v>
      </c>
      <c r="AF252" s="264">
        <f t="shared" si="619"/>
        <v>0</v>
      </c>
      <c r="AG252" s="264">
        <f t="shared" si="619"/>
        <v>0</v>
      </c>
      <c r="AH252" s="264">
        <f t="shared" si="619"/>
        <v>207101722</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4452198655</v>
      </c>
      <c r="AV252" s="170">
        <f t="shared" si="613"/>
        <v>72.334113045765534</v>
      </c>
      <c r="AW252" s="121">
        <f t="shared" si="614"/>
        <v>1702848345</v>
      </c>
      <c r="AX252" s="276">
        <f t="shared" si="615"/>
        <v>27.66588695423447</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f>163059300+2928720</f>
        <v>165988020</v>
      </c>
      <c r="AF253" s="269"/>
      <c r="AG253" s="269"/>
      <c r="AH253" s="269">
        <v>163214400</v>
      </c>
      <c r="AI253" s="269"/>
      <c r="AJ253" s="269"/>
      <c r="AK253" s="269"/>
      <c r="AL253" s="269"/>
      <c r="AM253" s="269"/>
      <c r="AN253" s="269"/>
      <c r="AO253" s="269"/>
      <c r="AP253" s="269"/>
      <c r="AQ253" s="269"/>
      <c r="AR253" s="269"/>
      <c r="AS253" s="269"/>
      <c r="AT253" s="269"/>
      <c r="AU253" s="269">
        <f t="shared" si="612"/>
        <v>1859131020</v>
      </c>
      <c r="AV253" s="278">
        <f t="shared" si="613"/>
        <v>74.860005548672277</v>
      </c>
      <c r="AW253" s="273">
        <f t="shared" si="614"/>
        <v>624345980</v>
      </c>
      <c r="AX253" s="272">
        <f t="shared" si="615"/>
        <v>25.139994451327713</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f>2487+16</f>
        <v>2503</v>
      </c>
      <c r="AF254" s="269"/>
      <c r="AG254" s="269"/>
      <c r="AH254" s="269">
        <v>2509</v>
      </c>
      <c r="AI254" s="269"/>
      <c r="AJ254" s="269"/>
      <c r="AK254" s="269"/>
      <c r="AL254" s="269"/>
      <c r="AM254" s="269"/>
      <c r="AN254" s="269"/>
      <c r="AO254" s="269"/>
      <c r="AP254" s="269"/>
      <c r="AQ254" s="269"/>
      <c r="AR254" s="269"/>
      <c r="AS254" s="269"/>
      <c r="AT254" s="269"/>
      <c r="AU254" s="269">
        <f t="shared" si="612"/>
        <v>28599</v>
      </c>
      <c r="AV254" s="278">
        <f t="shared" si="613"/>
        <v>75.260526315789477</v>
      </c>
      <c r="AW254" s="273">
        <f t="shared" si="614"/>
        <v>9401</v>
      </c>
      <c r="AX254" s="272">
        <f t="shared" si="615"/>
        <v>24.739473684210527</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v>11143820</v>
      </c>
      <c r="AI255" s="269"/>
      <c r="AJ255" s="269"/>
      <c r="AK255" s="269"/>
      <c r="AL255" s="269"/>
      <c r="AM255" s="269"/>
      <c r="AN255" s="269"/>
      <c r="AO255" s="269"/>
      <c r="AP255" s="269"/>
      <c r="AQ255" s="269"/>
      <c r="AR255" s="269"/>
      <c r="AS255" s="269"/>
      <c r="AT255" s="269"/>
      <c r="AU255" s="269">
        <f t="shared" si="612"/>
        <v>121975030</v>
      </c>
      <c r="AV255" s="278">
        <f t="shared" si="613"/>
        <v>70.932623474200241</v>
      </c>
      <c r="AW255" s="273">
        <f t="shared" si="614"/>
        <v>49983970</v>
      </c>
      <c r="AX255" s="272">
        <f t="shared" si="615"/>
        <v>29.067376525799755</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v>3438342</v>
      </c>
      <c r="AI256" s="269"/>
      <c r="AJ256" s="269"/>
      <c r="AK256" s="269"/>
      <c r="AL256" s="269"/>
      <c r="AM256" s="269"/>
      <c r="AN256" s="269"/>
      <c r="AO256" s="269"/>
      <c r="AP256" s="269"/>
      <c r="AQ256" s="269"/>
      <c r="AR256" s="269"/>
      <c r="AS256" s="269"/>
      <c r="AT256" s="269"/>
      <c r="AU256" s="269">
        <f t="shared" si="612"/>
        <v>36702958</v>
      </c>
      <c r="AV256" s="278">
        <f t="shared" si="613"/>
        <v>78.593057815845825</v>
      </c>
      <c r="AW256" s="273">
        <f t="shared" si="614"/>
        <v>9997042</v>
      </c>
      <c r="AX256" s="272">
        <f t="shared" si="615"/>
        <v>21.406942184154175</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v>9730000</v>
      </c>
      <c r="AI257" s="269"/>
      <c r="AJ257" s="269"/>
      <c r="AK257" s="269"/>
      <c r="AL257" s="269"/>
      <c r="AM257" s="269"/>
      <c r="AN257" s="269"/>
      <c r="AO257" s="269"/>
      <c r="AP257" s="269"/>
      <c r="AQ257" s="269"/>
      <c r="AR257" s="269"/>
      <c r="AS257" s="269"/>
      <c r="AT257" s="269"/>
      <c r="AU257" s="269">
        <f t="shared" si="612"/>
        <v>107030000</v>
      </c>
      <c r="AV257" s="278">
        <f t="shared" si="613"/>
        <v>67.740506329113927</v>
      </c>
      <c r="AW257" s="273">
        <f t="shared" si="614"/>
        <v>50970000</v>
      </c>
      <c r="AX257" s="272">
        <f t="shared" si="615"/>
        <v>32.259493670886073</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v>4960000</v>
      </c>
      <c r="AI258" s="269"/>
      <c r="AJ258" s="269"/>
      <c r="AK258" s="269"/>
      <c r="AL258" s="269"/>
      <c r="AM258" s="269"/>
      <c r="AN258" s="269"/>
      <c r="AO258" s="269"/>
      <c r="AP258" s="269"/>
      <c r="AQ258" s="269"/>
      <c r="AR258" s="269"/>
      <c r="AS258" s="269"/>
      <c r="AT258" s="269"/>
      <c r="AU258" s="269">
        <f t="shared" si="612"/>
        <v>54296000</v>
      </c>
      <c r="AV258" s="278">
        <f t="shared" si="613"/>
        <v>112.69406392694063</v>
      </c>
      <c r="AW258" s="273">
        <f t="shared" si="614"/>
        <v>-6116000</v>
      </c>
      <c r="AX258" s="272">
        <f t="shared" si="615"/>
        <v>-12.694063926940638</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v>277571</v>
      </c>
      <c r="AI259" s="269"/>
      <c r="AJ259" s="269"/>
      <c r="AK259" s="269"/>
      <c r="AL259" s="269"/>
      <c r="AM259" s="269"/>
      <c r="AN259" s="269"/>
      <c r="AO259" s="269"/>
      <c r="AP259" s="269"/>
      <c r="AQ259" s="269"/>
      <c r="AR259" s="269"/>
      <c r="AS259" s="269"/>
      <c r="AT259" s="269"/>
      <c r="AU259" s="269">
        <f t="shared" si="612"/>
        <v>7805487</v>
      </c>
      <c r="AV259" s="278">
        <f t="shared" si="613"/>
        <v>59.434150612959726</v>
      </c>
      <c r="AW259" s="273">
        <f t="shared" si="614"/>
        <v>5327513</v>
      </c>
      <c r="AX259" s="272">
        <f t="shared" si="615"/>
        <v>40.565849387040281</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v>8980080</v>
      </c>
      <c r="AI260" s="269"/>
      <c r="AJ260" s="269"/>
      <c r="AK260" s="269"/>
      <c r="AL260" s="269"/>
      <c r="AM260" s="269"/>
      <c r="AN260" s="269"/>
      <c r="AO260" s="269"/>
      <c r="AP260" s="269"/>
      <c r="AQ260" s="269"/>
      <c r="AR260" s="269"/>
      <c r="AS260" s="269"/>
      <c r="AT260" s="269"/>
      <c r="AU260" s="269">
        <f t="shared" si="612"/>
        <v>98201520</v>
      </c>
      <c r="AV260" s="278">
        <f t="shared" si="613"/>
        <v>75.346627484980772</v>
      </c>
      <c r="AW260" s="273">
        <f t="shared" si="614"/>
        <v>32131480</v>
      </c>
      <c r="AX260" s="272">
        <f t="shared" si="615"/>
        <v>24.653372515019221</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v>5355000</v>
      </c>
      <c r="AI261" s="269"/>
      <c r="AJ261" s="269"/>
      <c r="AK261" s="269"/>
      <c r="AL261" s="269"/>
      <c r="AM261" s="269"/>
      <c r="AN261" s="269"/>
      <c r="AO261" s="269"/>
      <c r="AP261" s="269"/>
      <c r="AQ261" s="269"/>
      <c r="AR261" s="269"/>
      <c r="AS261" s="269"/>
      <c r="AT261" s="269"/>
      <c r="AU261" s="269">
        <f t="shared" si="612"/>
        <v>186757000</v>
      </c>
      <c r="AV261" s="278">
        <f t="shared" si="613"/>
        <v>49.227026271881151</v>
      </c>
      <c r="AW261" s="273">
        <f t="shared" si="614"/>
        <v>192622000</v>
      </c>
      <c r="AX261" s="272">
        <f t="shared" si="615"/>
        <v>50.772973728118842</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2340385614</v>
      </c>
    </row>
    <row r="269" spans="2:61">
      <c r="AH269" s="517">
        <v>163214400</v>
      </c>
      <c r="AT269" t="s">
        <v>7751</v>
      </c>
      <c r="AU269" s="161">
        <f>AU261</f>
        <v>186757000</v>
      </c>
    </row>
    <row r="270" spans="2:61">
      <c r="AB270" s="161"/>
      <c r="AH270" s="517">
        <v>2509</v>
      </c>
      <c r="AT270" t="s">
        <v>7752</v>
      </c>
      <c r="AU270" s="161">
        <f>AU263</f>
        <v>1925056041</v>
      </c>
    </row>
    <row r="271" spans="2:61">
      <c r="AH271" s="517">
        <v>11143820</v>
      </c>
      <c r="AU271" s="161">
        <f>SUM(AU268:AU270)</f>
        <v>4452198655</v>
      </c>
    </row>
    <row r="272" spans="2:61">
      <c r="D272" s="159"/>
      <c r="E272" s="370"/>
      <c r="F272" s="159"/>
      <c r="AH272" s="517">
        <v>3438342</v>
      </c>
    </row>
    <row r="273" spans="4:34">
      <c r="D273" s="159"/>
      <c r="E273" s="370"/>
      <c r="F273" s="159"/>
      <c r="AH273" s="517">
        <v>9730000</v>
      </c>
    </row>
    <row r="274" spans="4:34">
      <c r="D274" s="159"/>
      <c r="E274" s="370"/>
      <c r="F274" s="159"/>
      <c r="AH274" s="517">
        <v>4960000</v>
      </c>
    </row>
    <row r="275" spans="4:34">
      <c r="D275" s="159"/>
      <c r="E275" s="370"/>
      <c r="F275" s="159"/>
      <c r="AH275" s="517">
        <v>277571</v>
      </c>
    </row>
    <row r="276" spans="4:34">
      <c r="D276" s="159"/>
      <c r="E276" s="370"/>
      <c r="F276" s="159"/>
      <c r="AH276" s="517">
        <v>8980080</v>
      </c>
    </row>
    <row r="277" spans="4:34">
      <c r="D277" s="159"/>
      <c r="E277" s="370"/>
      <c r="F277" s="159"/>
      <c r="AH277" s="517">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1979" priority="8">
      <formula>ROW()=CELL("ROW")</formula>
    </cfRule>
  </conditionalFormatting>
  <conditionalFormatting sqref="AS251:AT252">
    <cfRule type="expression" dxfId="1978" priority="6">
      <formula>ROW()=CELL("ROW")</formula>
    </cfRule>
  </conditionalFormatting>
  <conditionalFormatting sqref="B252:C252">
    <cfRule type="expression" dxfId="1977" priority="5">
      <formula>AND($R$4="Ya",$Q$2=ROW())</formula>
    </cfRule>
  </conditionalFormatting>
  <conditionalFormatting sqref="AU253:AU263">
    <cfRule type="expression" dxfId="1976" priority="4">
      <formula>ROW()=CELL("ROW")</formula>
    </cfRule>
  </conditionalFormatting>
  <conditionalFormatting sqref="AS264:AT264">
    <cfRule type="expression" dxfId="1975" priority="3">
      <formula>ROW()=CELL("ROW")</formula>
    </cfRule>
  </conditionalFormatting>
  <conditionalFormatting sqref="B264:C264">
    <cfRule type="expression" dxfId="1974" priority="2">
      <formula>AND($R$4="Ya",$Q$2=ROW())</formula>
    </cfRule>
  </conditionalFormatting>
  <conditionalFormatting sqref="AW251:AW265">
    <cfRule type="cellIs" dxfId="1973"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O25" sqref="O25"/>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79" t="s">
        <v>7686</v>
      </c>
      <c r="B1" s="579"/>
      <c r="C1" s="579"/>
      <c r="D1" s="579"/>
      <c r="E1" s="579"/>
      <c r="F1" s="579"/>
      <c r="G1" s="579"/>
      <c r="H1" s="579"/>
      <c r="I1" s="579"/>
      <c r="J1" s="579"/>
      <c r="K1" s="579"/>
      <c r="L1" s="579"/>
      <c r="M1" s="579"/>
      <c r="N1" s="579"/>
    </row>
    <row r="2" spans="1:15" ht="15.75">
      <c r="A2" s="580" t="str">
        <f>'PER BULAN'!B5</f>
        <v>Berdasarkan DIPA Revisi 3 TA. 2022 (Tanggal 13 Juli 2022)</v>
      </c>
      <c r="B2" s="580"/>
      <c r="C2" s="580"/>
      <c r="D2" s="580"/>
      <c r="E2" s="580"/>
      <c r="F2" s="580"/>
      <c r="G2" s="580"/>
      <c r="H2" s="580"/>
      <c r="I2" s="580"/>
      <c r="J2" s="580"/>
      <c r="K2" s="580"/>
      <c r="L2" s="580"/>
      <c r="M2" s="580"/>
      <c r="N2" s="580"/>
    </row>
    <row r="3" spans="1:15" ht="15.75">
      <c r="A3" s="580" t="str">
        <f>'PER BULAN'!B6</f>
        <v>SAMPAI DENGAN 1 SEPTEMBER 2022</v>
      </c>
      <c r="B3" s="580"/>
      <c r="C3" s="580"/>
      <c r="D3" s="580"/>
      <c r="E3" s="580"/>
      <c r="F3" s="580"/>
      <c r="G3" s="580"/>
      <c r="H3" s="580"/>
      <c r="I3" s="580"/>
      <c r="J3" s="580"/>
      <c r="K3" s="580"/>
      <c r="L3" s="580"/>
      <c r="M3" s="580"/>
      <c r="N3" s="580"/>
    </row>
    <row r="4" spans="1:15">
      <c r="A4" s="360"/>
      <c r="B4" s="360"/>
      <c r="C4" s="360"/>
      <c r="D4" s="360"/>
      <c r="E4" s="360"/>
      <c r="F4" s="360"/>
      <c r="G4" s="360"/>
      <c r="H4" s="360"/>
      <c r="I4" s="360"/>
      <c r="J4" s="360"/>
      <c r="K4" s="360"/>
      <c r="L4" s="360"/>
      <c r="M4" s="360"/>
      <c r="N4" s="360"/>
    </row>
    <row r="5" spans="1:15" ht="15.75">
      <c r="A5" s="328" t="s">
        <v>3878</v>
      </c>
    </row>
    <row r="6" spans="1:15">
      <c r="A6" s="557" t="s">
        <v>571</v>
      </c>
      <c r="B6" s="557" t="s">
        <v>500</v>
      </c>
      <c r="C6" s="560" t="s">
        <v>7680</v>
      </c>
      <c r="D6" s="561"/>
      <c r="E6" s="561"/>
      <c r="F6" s="561"/>
      <c r="G6" s="562"/>
      <c r="H6" s="570" t="s">
        <v>7682</v>
      </c>
      <c r="I6" s="571"/>
      <c r="J6" s="571"/>
      <c r="K6" s="571"/>
      <c r="L6" s="572"/>
      <c r="M6" s="554" t="s">
        <v>4679</v>
      </c>
      <c r="N6" s="554" t="s">
        <v>4681</v>
      </c>
    </row>
    <row r="7" spans="1:15" ht="14.45" customHeight="1">
      <c r="A7" s="558"/>
      <c r="B7" s="558"/>
      <c r="C7" s="563" t="s">
        <v>7681</v>
      </c>
      <c r="D7" s="560" t="s">
        <v>3732</v>
      </c>
      <c r="E7" s="562"/>
      <c r="F7" s="560" t="s">
        <v>3733</v>
      </c>
      <c r="G7" s="562"/>
      <c r="H7" s="573" t="s">
        <v>7683</v>
      </c>
      <c r="I7" s="570" t="s">
        <v>3732</v>
      </c>
      <c r="J7" s="572"/>
      <c r="K7" s="570" t="s">
        <v>3733</v>
      </c>
      <c r="L7" s="572"/>
      <c r="M7" s="555"/>
      <c r="N7" s="555"/>
    </row>
    <row r="8" spans="1:15" ht="14.45" customHeight="1">
      <c r="A8" s="559"/>
      <c r="B8" s="559"/>
      <c r="C8" s="564"/>
      <c r="D8" s="312" t="s">
        <v>4691</v>
      </c>
      <c r="E8" s="312" t="s">
        <v>3729</v>
      </c>
      <c r="F8" s="312" t="s">
        <v>4691</v>
      </c>
      <c r="G8" s="312" t="s">
        <v>3729</v>
      </c>
      <c r="H8" s="574"/>
      <c r="I8" s="443" t="s">
        <v>4691</v>
      </c>
      <c r="J8" s="443" t="s">
        <v>3729</v>
      </c>
      <c r="K8" s="443" t="s">
        <v>4691</v>
      </c>
      <c r="L8" s="443" t="s">
        <v>3729</v>
      </c>
      <c r="M8" s="556"/>
      <c r="N8" s="556"/>
    </row>
    <row r="9" spans="1:15">
      <c r="A9" s="583"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84"/>
      <c r="B10" s="139" t="s">
        <v>3734</v>
      </c>
      <c r="C10" s="115" cm="1">
        <f t="array" ref="C10">SUM(_xlfn._xlws.FILTER(SP2D[DIPA_REVISI3],SP2D[Komponen]=$B10,0))</f>
        <v>2195658000</v>
      </c>
      <c r="D10" s="115" cm="1">
        <f t="array" ref="D10">SUM(_xlfn._xlws.FILTER(SP2D[Realisasi],SP2D[Komponen]=$B10,0))</f>
        <v>1056379516</v>
      </c>
      <c r="E10" s="167">
        <f t="shared" ref="E10:E25" si="0">IFERROR(D10/C10*100,0)</f>
        <v>48.112206728005908</v>
      </c>
      <c r="F10" s="115">
        <f t="shared" ref="F10:F25" si="1">C10-D10</f>
        <v>1139278484</v>
      </c>
      <c r="G10" s="167">
        <f t="shared" ref="G10:G25" si="2">IFERROR(F10/C10*100,0)</f>
        <v>51.887793271994084</v>
      </c>
      <c r="H10" s="115" cm="1">
        <f t="array" ref="H10">SUM(_xlfn._xlws.FILTER(SP2D[Pagu-Blokir],SP2D[Komponen]=$B10,0))</f>
        <v>2095658000</v>
      </c>
      <c r="I10" s="115">
        <f t="shared" ref="I10:I12" si="3">D10</f>
        <v>1056379516</v>
      </c>
      <c r="J10" s="167">
        <f t="shared" ref="J10:J25" si="4">IFERROR(I10/H10*100,0)</f>
        <v>50.408011039969303</v>
      </c>
      <c r="K10" s="115">
        <f t="shared" ref="K10:K25" si="5">H10-I10</f>
        <v>1039278484</v>
      </c>
      <c r="L10" s="167">
        <f t="shared" ref="L10:L25" si="6">IFERROR(K10/H10*100,0)</f>
        <v>49.59198896003069</v>
      </c>
      <c r="M10" s="115" cm="1">
        <f t="array" ref="M10">SUM(_xlfn._xlws.FILTER(SP2D[Blokir AA ke 1],SP2D[Komponen]=$B10,0))</f>
        <v>100000000</v>
      </c>
      <c r="N10" s="115" cm="1">
        <f t="array" ref="N10">SUM(_xlfn._xlws.FILTER(SP2D[Blokir AA ke 2],SP2D[Komponen]=$B10,0))</f>
        <v>0</v>
      </c>
    </row>
    <row r="11" spans="1:15">
      <c r="A11" s="584"/>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84"/>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85"/>
      <c r="B13" s="452" t="s">
        <v>4687</v>
      </c>
      <c r="C13" s="453">
        <f>SUM(C9:C12)</f>
        <v>4328014000</v>
      </c>
      <c r="D13" s="453">
        <f>SUM(D9:D12)</f>
        <v>2387593165</v>
      </c>
      <c r="E13" s="454">
        <f t="shared" si="0"/>
        <v>55.166022221739574</v>
      </c>
      <c r="F13" s="453">
        <f t="shared" si="1"/>
        <v>1940420835</v>
      </c>
      <c r="G13" s="454">
        <f t="shared" si="2"/>
        <v>44.833977778260419</v>
      </c>
      <c r="H13" s="453">
        <f>SUM(H9:H12)</f>
        <v>3618462000</v>
      </c>
      <c r="I13" s="453">
        <f>SUM(I9:I12)</f>
        <v>2387593165</v>
      </c>
      <c r="J13" s="454">
        <f t="shared" si="4"/>
        <v>65.983646228701588</v>
      </c>
      <c r="K13" s="453">
        <f t="shared" si="5"/>
        <v>1230868835</v>
      </c>
      <c r="L13" s="454">
        <f t="shared" si="6"/>
        <v>34.016353771298412</v>
      </c>
      <c r="M13" s="453">
        <f>SUM(M9:M12)</f>
        <v>100000000</v>
      </c>
      <c r="N13" s="453">
        <f>SUM(N9:N12)</f>
        <v>609552000</v>
      </c>
    </row>
    <row r="14" spans="1:15" ht="15" customHeight="1">
      <c r="A14" s="583"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84"/>
      <c r="B15" s="139" t="s">
        <v>3803</v>
      </c>
      <c r="C15" s="115" cm="1">
        <f t="array" ref="C15">SUM(_xlfn._xlws.FILTER(SP2D[DIPA_REVISI3],SP2D[Kegiatan]=$B15,0))</f>
        <v>8582500000</v>
      </c>
      <c r="D15" s="115" cm="1">
        <f t="array" ref="D15">SUM(_xlfn._xlws.FILTER(SP2D[Realisasi],SP2D[Kegiatan]=$B15,0))</f>
        <v>4949198748</v>
      </c>
      <c r="E15" s="167">
        <f t="shared" si="0"/>
        <v>57.666166594815024</v>
      </c>
      <c r="F15" s="115">
        <f t="shared" si="1"/>
        <v>3633301252</v>
      </c>
      <c r="G15" s="167">
        <f t="shared" si="2"/>
        <v>42.333833405184969</v>
      </c>
      <c r="H15" s="115" cm="1">
        <f t="array" ref="H15">SUM(_xlfn._xlws.FILTER(SP2D[Pagu-Blokir],SP2D[Kegiatan]=$B15,0))</f>
        <v>8582500000</v>
      </c>
      <c r="I15" s="115">
        <f t="shared" si="7"/>
        <v>4949198748</v>
      </c>
      <c r="J15" s="167">
        <f t="shared" si="4"/>
        <v>57.666166594815024</v>
      </c>
      <c r="K15" s="115">
        <f t="shared" si="5"/>
        <v>3633301252</v>
      </c>
      <c r="L15" s="167">
        <f t="shared" si="6"/>
        <v>42.333833405184969</v>
      </c>
      <c r="M15" s="115" cm="1">
        <f t="array" ref="M15">SUM(_xlfn._xlws.FILTER(SP2D[Blokir AA ke 1],SP2D[Kegiatan]=$B15,0))</f>
        <v>0</v>
      </c>
      <c r="N15" s="115" cm="1">
        <f t="array" ref="N15">SUM(_xlfn._xlws.FILTER(SP2D[Blokir AA ke 2],SP2D[Kegiatan]=$B15,0))</f>
        <v>0</v>
      </c>
      <c r="O15" s="161"/>
    </row>
    <row r="16" spans="1:15">
      <c r="A16" s="584"/>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85"/>
      <c r="B17" s="452" t="s">
        <v>4688</v>
      </c>
      <c r="C17" s="453">
        <f>SUM(C14:C16)</f>
        <v>9985150000</v>
      </c>
      <c r="D17" s="453">
        <f>SUM(D14:D16)</f>
        <v>5241820127</v>
      </c>
      <c r="E17" s="454">
        <f t="shared" si="0"/>
        <v>52.496158064726117</v>
      </c>
      <c r="F17" s="453">
        <f t="shared" si="1"/>
        <v>4743329873</v>
      </c>
      <c r="G17" s="454">
        <f t="shared" si="2"/>
        <v>47.503841935273883</v>
      </c>
      <c r="H17" s="453">
        <f>SUM(H14:H16)</f>
        <v>9046216000</v>
      </c>
      <c r="I17" s="453">
        <f>SUM(I14:I16)</f>
        <v>5241820127</v>
      </c>
      <c r="J17" s="454">
        <f t="shared" si="4"/>
        <v>57.944892394786947</v>
      </c>
      <c r="K17" s="453">
        <f t="shared" si="5"/>
        <v>3804395873</v>
      </c>
      <c r="L17" s="454">
        <f t="shared" si="6"/>
        <v>42.055107605213053</v>
      </c>
      <c r="M17" s="453">
        <f t="shared" ref="M17:N17" si="8">SUM(M14:M16)</f>
        <v>0</v>
      </c>
      <c r="N17" s="453">
        <f t="shared" si="8"/>
        <v>938934000</v>
      </c>
    </row>
    <row r="18" spans="1:17" ht="15" customHeight="1">
      <c r="A18" s="583" t="s">
        <v>524</v>
      </c>
      <c r="B18" s="166" t="s">
        <v>525</v>
      </c>
      <c r="C18" s="115" cm="1">
        <f t="array" ref="C18">SUM(_xlfn._xlws.FILTER(SP2D[DIPA_REVISI3],SP2D[Subkoordinator]=$B18,0))</f>
        <v>474100000</v>
      </c>
      <c r="D18" s="115" cm="1">
        <f t="array" ref="D18">SUM(_xlfn._xlws.FILTER(SP2D[Realisasi],SP2D[Subkoordinator]=$B18,0))</f>
        <v>158550590</v>
      </c>
      <c r="E18" s="167">
        <f t="shared" si="0"/>
        <v>33.442436194895592</v>
      </c>
      <c r="F18" s="115">
        <f t="shared" si="1"/>
        <v>315549410</v>
      </c>
      <c r="G18" s="167">
        <f t="shared" si="2"/>
        <v>66.557563805104408</v>
      </c>
      <c r="H18" s="115" cm="1">
        <f t="array" ref="H18">SUM(_xlfn._xlws.FILTER(SP2D[Pagu-Blokir],SP2D[Subkoordinator]=$B18,0))</f>
        <v>207606000</v>
      </c>
      <c r="I18" s="115">
        <f t="shared" ref="I18:I19" si="9">D18</f>
        <v>158550590</v>
      </c>
      <c r="J18" s="167">
        <f t="shared" si="4"/>
        <v>76.370909318613144</v>
      </c>
      <c r="K18" s="115">
        <f t="shared" si="5"/>
        <v>49055410</v>
      </c>
      <c r="L18" s="167">
        <f t="shared" si="6"/>
        <v>23.62909068138686</v>
      </c>
      <c r="M18" s="115" cm="1">
        <f t="array" ref="M18">SUM(_xlfn._xlws.FILTER(SP2D[Blokir AA ke 1],SP2D[Subkoordinator]=$B18,0))</f>
        <v>0</v>
      </c>
      <c r="N18" s="115" cm="1">
        <f t="array" ref="N18">SUM(_xlfn._xlws.FILTER(SP2D[Blokir AA ke 2],SP2D[Subkoordinator]=$B18,0))</f>
        <v>266494000</v>
      </c>
    </row>
    <row r="19" spans="1:17">
      <c r="A19" s="584"/>
      <c r="B19" s="166" t="s">
        <v>527</v>
      </c>
      <c r="C19" s="115" cm="1">
        <f t="array" ref="C19">SUM(_xlfn._xlws.FILTER(SP2D[DIPA_REVISI3],SP2D[Subkoordinator]=$B19,0))</f>
        <v>804500000</v>
      </c>
      <c r="D19" s="115" cm="1">
        <f t="array" ref="D19">SUM(_xlfn._xlws.FILTER(SP2D[Realisasi],SP2D[Subkoordinator]=$B19,0))</f>
        <v>108926585</v>
      </c>
      <c r="E19" s="167">
        <f t="shared" si="0"/>
        <v>13.539662523306401</v>
      </c>
      <c r="F19" s="115">
        <f t="shared" si="1"/>
        <v>695573415</v>
      </c>
      <c r="G19" s="167">
        <f t="shared" si="2"/>
        <v>86.460337476693596</v>
      </c>
      <c r="H19" s="115" cm="1">
        <f t="array" ref="H19">SUM(_xlfn._xlws.FILTER(SP2D[Pagu-Blokir],SP2D[Subkoordinator]=$B19,0))</f>
        <v>164763000</v>
      </c>
      <c r="I19" s="115">
        <f t="shared" si="9"/>
        <v>108926585</v>
      </c>
      <c r="J19" s="167">
        <f t="shared" si="4"/>
        <v>66.111071660506298</v>
      </c>
      <c r="K19" s="115">
        <f t="shared" si="5"/>
        <v>55836415</v>
      </c>
      <c r="L19" s="167">
        <f t="shared" si="6"/>
        <v>33.888928339493695</v>
      </c>
      <c r="M19" s="115" cm="1">
        <f t="array" ref="M19">SUM(_xlfn._xlws.FILTER(SP2D[Blokir AA ke 1],SP2D[Subkoordinator]=$B19,0))</f>
        <v>0</v>
      </c>
      <c r="N19" s="115" cm="1">
        <f t="array" ref="N19">SUM(_xlfn._xlws.FILTER(SP2D[Blokir AA ke 2],SP2D[Subkoordinator]=$B19,0))</f>
        <v>639737000</v>
      </c>
      <c r="O19" s="161"/>
    </row>
    <row r="20" spans="1:17">
      <c r="A20" s="585"/>
      <c r="B20" s="452" t="s">
        <v>4689</v>
      </c>
      <c r="C20" s="453">
        <f>SUM(C18:C19)</f>
        <v>1278600000</v>
      </c>
      <c r="D20" s="453">
        <f>SUM(D18:D19)</f>
        <v>267477175</v>
      </c>
      <c r="E20" s="454">
        <f t="shared" si="0"/>
        <v>20.919535038323168</v>
      </c>
      <c r="F20" s="453">
        <f t="shared" si="1"/>
        <v>1011122825</v>
      </c>
      <c r="G20" s="454">
        <f t="shared" si="2"/>
        <v>79.080464961676839</v>
      </c>
      <c r="H20" s="453">
        <f>SUM(H18:H19)</f>
        <v>372369000</v>
      </c>
      <c r="I20" s="453">
        <f>SUM(I18:I19)</f>
        <v>267477175</v>
      </c>
      <c r="J20" s="454">
        <f t="shared" si="4"/>
        <v>71.831214467369733</v>
      </c>
      <c r="K20" s="453">
        <f t="shared" si="5"/>
        <v>104891825</v>
      </c>
      <c r="L20" s="454">
        <f t="shared" si="6"/>
        <v>28.16878553263027</v>
      </c>
      <c r="M20" s="453">
        <f t="shared" ref="M20:N20" si="10">SUM(M18:M19)</f>
        <v>0</v>
      </c>
      <c r="N20" s="453">
        <f t="shared" si="10"/>
        <v>906231000</v>
      </c>
    </row>
    <row r="21" spans="1:17" ht="15" customHeight="1">
      <c r="A21" s="583" t="s">
        <v>528</v>
      </c>
      <c r="B21" s="166" t="s">
        <v>529</v>
      </c>
      <c r="C21" s="115" cm="1">
        <f t="array" ref="C21">SUM(_xlfn._xlws.FILTER(SP2D[DIPA_REVISI3],SP2D[Subkoordinator]=$B21,0))</f>
        <v>686300000</v>
      </c>
      <c r="D21" s="115" cm="1">
        <f t="array" ref="D21">SUM(_xlfn._xlws.FILTER(SP2D[Realisasi],SP2D[Subkoordinator]=$B21,0))</f>
        <v>391052990</v>
      </c>
      <c r="E21" s="167">
        <f t="shared" si="0"/>
        <v>56.979890718344748</v>
      </c>
      <c r="F21" s="115">
        <f t="shared" si="1"/>
        <v>295247010</v>
      </c>
      <c r="G21" s="167">
        <f t="shared" si="2"/>
        <v>43.020109281655259</v>
      </c>
      <c r="H21" s="115" cm="1">
        <f t="array" ref="H21">SUM(_xlfn._xlws.FILTER(SP2D[Pagu-Blokir],SP2D[Subkoordinator]=$B21,0))</f>
        <v>686300000</v>
      </c>
      <c r="I21" s="115">
        <f t="shared" ref="I21:I22" si="11">D21</f>
        <v>391052990</v>
      </c>
      <c r="J21" s="167">
        <f t="shared" si="4"/>
        <v>56.979890718344748</v>
      </c>
      <c r="K21" s="115">
        <f t="shared" si="5"/>
        <v>295247010</v>
      </c>
      <c r="L21" s="167">
        <f t="shared" si="6"/>
        <v>43.020109281655259</v>
      </c>
      <c r="M21" s="115" cm="1">
        <f t="array" ref="M21">SUM(_xlfn._xlws.FILTER(SP2D[Blokir AA ke 1],SP2D[Subkoordinator]=$B21,0))</f>
        <v>0</v>
      </c>
      <c r="N21" s="115" cm="1">
        <f t="array" ref="N21">SUM(_xlfn._xlws.FILTER(SP2D[Blokir AA ke 2],SP2D[Subkoordinator]=$B21,0))</f>
        <v>0</v>
      </c>
    </row>
    <row r="22" spans="1:17">
      <c r="A22" s="584"/>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85"/>
      <c r="B23" s="452" t="s">
        <v>4690</v>
      </c>
      <c r="C23" s="453">
        <f>SUM(C21:C22)</f>
        <v>1271400000</v>
      </c>
      <c r="D23" s="453">
        <f>SUM(D21:D22)</f>
        <v>487402208</v>
      </c>
      <c r="E23" s="454">
        <f t="shared" si="0"/>
        <v>38.335866603743909</v>
      </c>
      <c r="F23" s="453">
        <f t="shared" si="1"/>
        <v>783997792</v>
      </c>
      <c r="G23" s="454">
        <f t="shared" si="2"/>
        <v>61.664133396256091</v>
      </c>
      <c r="H23" s="453">
        <f>SUM(H21:H22)</f>
        <v>838757000</v>
      </c>
      <c r="I23" s="453">
        <f>SUM(I21:I22)</f>
        <v>487402208</v>
      </c>
      <c r="J23" s="454">
        <f t="shared" si="4"/>
        <v>58.11006143614896</v>
      </c>
      <c r="K23" s="453">
        <f t="shared" si="5"/>
        <v>351354792</v>
      </c>
      <c r="L23" s="454">
        <f t="shared" si="6"/>
        <v>41.889938563851032</v>
      </c>
      <c r="M23" s="453">
        <f t="shared" ref="M23:N23" si="12">SUM(M21:M22)</f>
        <v>0</v>
      </c>
      <c r="N23" s="453">
        <f t="shared" si="12"/>
        <v>432643000</v>
      </c>
    </row>
    <row r="24" spans="1:17">
      <c r="A24" s="568" t="s">
        <v>3735</v>
      </c>
      <c r="B24" s="568"/>
      <c r="C24" s="446">
        <f>C13++C17+C20+C23</f>
        <v>16863164000</v>
      </c>
      <c r="D24" s="446">
        <f>D13++D17+D20+D23</f>
        <v>8384292675</v>
      </c>
      <c r="E24" s="447">
        <f t="shared" si="0"/>
        <v>49.71957027162874</v>
      </c>
      <c r="F24" s="446">
        <f t="shared" si="1"/>
        <v>8478871325</v>
      </c>
      <c r="G24" s="447">
        <f t="shared" si="2"/>
        <v>50.28042972837126</v>
      </c>
      <c r="H24" s="144">
        <f>H13++H17+H20+H23</f>
        <v>13875804000</v>
      </c>
      <c r="I24" s="144">
        <f>I13++I17+I20+I23</f>
        <v>8384292675</v>
      </c>
      <c r="J24" s="461">
        <f t="shared" si="4"/>
        <v>60.423833278417597</v>
      </c>
      <c r="K24" s="144">
        <f t="shared" si="5"/>
        <v>5491511325</v>
      </c>
      <c r="L24" s="461">
        <f t="shared" si="6"/>
        <v>39.576166721582403</v>
      </c>
      <c r="M24" s="451">
        <f t="shared" ref="M24:N24" si="13">M13++M17+M20+M23</f>
        <v>100000000</v>
      </c>
      <c r="N24" s="451">
        <f t="shared" si="13"/>
        <v>2887360000</v>
      </c>
      <c r="O24" s="159"/>
    </row>
    <row r="25" spans="1:17">
      <c r="A25" s="581" t="s">
        <v>4685</v>
      </c>
      <c r="B25" s="582"/>
      <c r="C25" s="448">
        <f>C24</f>
        <v>16863164000</v>
      </c>
      <c r="D25" s="449">
        <f>D24</f>
        <v>8384292675</v>
      </c>
      <c r="E25" s="450">
        <f t="shared" si="0"/>
        <v>49.71957027162874</v>
      </c>
      <c r="F25" s="449">
        <f t="shared" si="1"/>
        <v>8478871325</v>
      </c>
      <c r="G25" s="450">
        <f t="shared" si="2"/>
        <v>50.28042972837126</v>
      </c>
      <c r="H25" s="462">
        <f>H24</f>
        <v>13875804000</v>
      </c>
      <c r="I25" s="463">
        <f>I24</f>
        <v>8384292675</v>
      </c>
      <c r="J25" s="464">
        <f t="shared" si="4"/>
        <v>60.423833278417597</v>
      </c>
      <c r="K25" s="463">
        <f t="shared" si="5"/>
        <v>5491511325</v>
      </c>
      <c r="L25" s="464">
        <f t="shared" si="6"/>
        <v>39.576166721582403</v>
      </c>
      <c r="M25" s="552">
        <f>SUM(M24,N24)</f>
        <v>2987360000</v>
      </c>
      <c r="N25" s="553"/>
      <c r="O25" s="161"/>
    </row>
    <row r="28" spans="1:17" ht="15.75">
      <c r="A28" s="328" t="s">
        <v>3885</v>
      </c>
      <c r="P28" s="159">
        <f>I25</f>
        <v>8384292675</v>
      </c>
      <c r="Q28" s="479">
        <v>44775</v>
      </c>
    </row>
    <row r="29" spans="1:17" ht="14.45" customHeight="1">
      <c r="A29" s="565" t="s">
        <v>3871</v>
      </c>
      <c r="B29" s="565" t="s">
        <v>3872</v>
      </c>
      <c r="C29" s="560" t="s">
        <v>7680</v>
      </c>
      <c r="D29" s="561"/>
      <c r="E29" s="561"/>
      <c r="F29" s="561"/>
      <c r="G29" s="562"/>
      <c r="H29" s="570" t="s">
        <v>7682</v>
      </c>
      <c r="I29" s="571"/>
      <c r="J29" s="571"/>
      <c r="K29" s="571"/>
      <c r="L29" s="572"/>
      <c r="M29" s="554" t="s">
        <v>4679</v>
      </c>
      <c r="N29" s="554" t="s">
        <v>4681</v>
      </c>
      <c r="P29" s="159">
        <v>8037886086</v>
      </c>
      <c r="Q29" s="479">
        <v>44774</v>
      </c>
    </row>
    <row r="30" spans="1:17">
      <c r="A30" s="566"/>
      <c r="B30" s="566"/>
      <c r="C30" s="563" t="s">
        <v>7681</v>
      </c>
      <c r="D30" s="560" t="s">
        <v>3732</v>
      </c>
      <c r="E30" s="562"/>
      <c r="F30" s="560" t="s">
        <v>3733</v>
      </c>
      <c r="G30" s="562"/>
      <c r="H30" s="573" t="s">
        <v>7683</v>
      </c>
      <c r="I30" s="570" t="s">
        <v>3732</v>
      </c>
      <c r="J30" s="572"/>
      <c r="K30" s="570" t="s">
        <v>3733</v>
      </c>
      <c r="L30" s="572"/>
      <c r="M30" s="555"/>
      <c r="N30" s="555"/>
      <c r="P30" s="159">
        <f>P28-P29</f>
        <v>346406589</v>
      </c>
      <c r="Q30" s="349">
        <f>P30/H25*100</f>
        <v>2.496479404004265</v>
      </c>
    </row>
    <row r="31" spans="1:17">
      <c r="A31" s="567"/>
      <c r="B31" s="567"/>
      <c r="C31" s="564"/>
      <c r="D31" s="312" t="s">
        <v>4691</v>
      </c>
      <c r="E31" s="312" t="s">
        <v>3729</v>
      </c>
      <c r="F31" s="312" t="s">
        <v>4691</v>
      </c>
      <c r="G31" s="312" t="s">
        <v>3729</v>
      </c>
      <c r="H31" s="574"/>
      <c r="I31" s="443" t="s">
        <v>4691</v>
      </c>
      <c r="J31" s="443" t="s">
        <v>3729</v>
      </c>
      <c r="K31" s="443" t="s">
        <v>4691</v>
      </c>
      <c r="L31" s="443" t="s">
        <v>3729</v>
      </c>
      <c r="M31" s="556"/>
      <c r="N31" s="556"/>
      <c r="Q31">
        <v>57.93</v>
      </c>
    </row>
    <row r="32" spans="1:17">
      <c r="A32" s="146">
        <v>1</v>
      </c>
      <c r="B32" s="147" t="s">
        <v>3873</v>
      </c>
      <c r="C32" s="148">
        <f>SUM(C33:C34)</f>
        <v>16207230000</v>
      </c>
      <c r="D32" s="148">
        <f>SUM(D33:D34)</f>
        <v>7730092675</v>
      </c>
      <c r="E32" s="444">
        <f t="shared" ref="E32:E35" si="14">IFERROR(D32/C32*100,0)</f>
        <v>47.695335199167282</v>
      </c>
      <c r="F32" s="148">
        <f>SUM(F33:F34)</f>
        <v>8477137325</v>
      </c>
      <c r="G32" s="444">
        <f t="shared" ref="G32:G35" si="15">IFERROR(F32/C32*100,0)</f>
        <v>52.304664800832711</v>
      </c>
      <c r="H32" s="148">
        <f>SUM(H33:H34)</f>
        <v>13221604000</v>
      </c>
      <c r="I32" s="148">
        <f>SUM(I33:I34)</f>
        <v>7730092675</v>
      </c>
      <c r="J32" s="444">
        <f t="shared" ref="J32:J35" si="16">IFERROR(I32/H32*100,0)</f>
        <v>58.465619413499304</v>
      </c>
      <c r="K32" s="148">
        <f>SUM(K33:K34)</f>
        <v>5491511325</v>
      </c>
      <c r="L32" s="444">
        <f t="shared" ref="L32:L35" si="17">IFERROR(K32/H32*100,0)</f>
        <v>41.534380586500703</v>
      </c>
      <c r="M32" s="148">
        <f t="shared" ref="M32:N32" si="18">SUM(M33:M34)</f>
        <v>100000000</v>
      </c>
      <c r="N32" s="148">
        <f t="shared" si="18"/>
        <v>2885626000</v>
      </c>
    </row>
    <row r="33" spans="1:16">
      <c r="A33" s="155"/>
      <c r="B33" s="151" t="s">
        <v>3874</v>
      </c>
      <c r="C33" s="152" cm="1">
        <f t="array" ref="C33">SUM(_xlfn._xlws.FILTER(SP2D[DIPA_REVISI3],SP2D[Jenis Belanja2]="Belanja Barang Operasional",0))</f>
        <v>2195658000</v>
      </c>
      <c r="D33" s="152" cm="1">
        <f t="array" ref="D33">SUM(_xlfn._xlws.FILTER(SP2D[Realisasi],SP2D[Jenis Belanja2]="Belanja Barang Operasional",0))</f>
        <v>1056379516</v>
      </c>
      <c r="E33" s="445">
        <f t="shared" si="14"/>
        <v>48.112206728005908</v>
      </c>
      <c r="F33" s="115">
        <f t="shared" ref="F33:F34" si="19">C33-D33</f>
        <v>1139278484</v>
      </c>
      <c r="G33" s="445">
        <f t="shared" si="15"/>
        <v>51.887793271994084</v>
      </c>
      <c r="H33" s="152" cm="1">
        <f t="array" ref="H33">SUM(_xlfn._xlws.FILTER(SP2D[Pagu-Blokir],SP2D[Jenis Belanja2]="Belanja Barang Operasional",0))</f>
        <v>2095658000</v>
      </c>
      <c r="I33" s="152">
        <f t="shared" ref="I33:I34" si="20">D33</f>
        <v>1056379516</v>
      </c>
      <c r="J33" s="445">
        <f t="shared" si="16"/>
        <v>50.408011039969303</v>
      </c>
      <c r="K33" s="152">
        <f t="shared" ref="K33:K34" si="21">H33-I33</f>
        <v>1039278484</v>
      </c>
      <c r="L33" s="445">
        <f t="shared" si="17"/>
        <v>49.59198896003069</v>
      </c>
      <c r="M33" s="152" cm="1">
        <f t="array" ref="M33">SUM(_xlfn._xlws.FILTER(SP2D[Blokir AA ke 1],SP2D[Jenis Belanja2]="Belanja Barang Operasional",0))</f>
        <v>100000000</v>
      </c>
      <c r="N33" s="152" cm="1">
        <f t="array" ref="N33">SUM(_xlfn._xlws.FILTER(SP2D[Blokir AA ke 2],SP2D[Jenis Belanja2]="Belanja Barang Operasional",0))</f>
        <v>0</v>
      </c>
    </row>
    <row r="34" spans="1:16">
      <c r="A34" s="155"/>
      <c r="B34" s="151" t="s">
        <v>4684</v>
      </c>
      <c r="C34" s="152" cm="1">
        <f t="array" ref="C34">SUM(_xlfn._xlws.FILTER(SP2D[DIPA_REVISI3],SP2D[Jenis Belanja2]="Belanja Barang Non Operasional",0))</f>
        <v>14011572000</v>
      </c>
      <c r="D34" s="152" cm="1">
        <f t="array" ref="D34">SUM(_xlfn._xlws.FILTER(SP2D[Realisasi],SP2D[Jenis Belanja2]="Belanja Barang Non Operasional",0))</f>
        <v>6673713159</v>
      </c>
      <c r="E34" s="445">
        <f t="shared" si="14"/>
        <v>47.630010101650264</v>
      </c>
      <c r="F34" s="115">
        <f t="shared" si="19"/>
        <v>7337858841</v>
      </c>
      <c r="G34" s="445">
        <f t="shared" si="15"/>
        <v>52.369989898349736</v>
      </c>
      <c r="H34" s="152" cm="1">
        <f t="array" ref="H34">SUM(_xlfn._xlws.FILTER(SP2D[Pagu-Blokir],SP2D[Jenis Belanja2]="Belanja Barang Non Operasional",0))</f>
        <v>11125946000</v>
      </c>
      <c r="I34" s="152">
        <f t="shared" si="20"/>
        <v>6673713159</v>
      </c>
      <c r="J34" s="445">
        <f t="shared" si="16"/>
        <v>59.983332284733358</v>
      </c>
      <c r="K34" s="152">
        <f t="shared" si="21"/>
        <v>4452232841</v>
      </c>
      <c r="L34" s="445">
        <f t="shared" si="17"/>
        <v>40.016667715266642</v>
      </c>
      <c r="M34" s="152" cm="1">
        <f t="array" ref="M34">SUM(_xlfn._xlws.FILTER(SP2D[Blokir AA ke 1],SP2D[Jenis Belanja2]="Belanja Barang Non Operasional",0))</f>
        <v>0</v>
      </c>
      <c r="N34" s="152" cm="1">
        <f t="array" ref="N34">SUM(_xlfn._xlws.FILTER(SP2D[Blokir AA ke 2],SP2D[Jenis Belanja2]="Belanja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75" t="s">
        <v>590</v>
      </c>
      <c r="B37" s="576"/>
      <c r="C37" s="455">
        <f>SUM(C32,C35)</f>
        <v>16863164000</v>
      </c>
      <c r="D37" s="455">
        <f>SUM(D32,D35)</f>
        <v>8384292675</v>
      </c>
      <c r="E37" s="456">
        <f t="shared" ref="E37" si="22">IFERROR(D37/C37*100,0)</f>
        <v>49.71957027162874</v>
      </c>
      <c r="F37" s="455">
        <f>SUM(F32,F35)</f>
        <v>8478871325</v>
      </c>
      <c r="G37" s="456">
        <f t="shared" ref="G37" si="23">IFERROR(F37/C37*100,0)</f>
        <v>50.28042972837126</v>
      </c>
      <c r="H37" s="458">
        <f>SUM(H32,H35)</f>
        <v>13875804000</v>
      </c>
      <c r="I37" s="458">
        <f>SUM(I32,I35)</f>
        <v>8384292675</v>
      </c>
      <c r="J37" s="459">
        <f t="shared" ref="J37" si="24">IFERROR(I37/H37*100,0)</f>
        <v>60.423833278417597</v>
      </c>
      <c r="K37" s="458">
        <f>SUM(K32,K35)</f>
        <v>5491511325</v>
      </c>
      <c r="L37" s="459">
        <f t="shared" ref="L37" si="25">IFERROR(K37/H37*100,0)</f>
        <v>39.576166721582403</v>
      </c>
      <c r="M37" s="465">
        <f t="shared" ref="M37:N37" si="26">SUM(M32,M35)</f>
        <v>100000000</v>
      </c>
      <c r="N37" s="465">
        <f t="shared" si="26"/>
        <v>2887360000</v>
      </c>
    </row>
    <row r="38" spans="1:16">
      <c r="A38" s="575" t="s">
        <v>3876</v>
      </c>
      <c r="B38" s="576"/>
      <c r="C38" s="455"/>
      <c r="D38" s="455"/>
      <c r="E38" s="455"/>
      <c r="F38" s="455"/>
      <c r="G38" s="455"/>
      <c r="H38" s="458"/>
      <c r="I38" s="458"/>
      <c r="J38" s="459"/>
      <c r="K38" s="458"/>
      <c r="L38" s="459"/>
      <c r="M38" s="465"/>
      <c r="N38" s="465"/>
    </row>
    <row r="39" spans="1:16">
      <c r="A39" s="575" t="s">
        <v>3877</v>
      </c>
      <c r="B39" s="576"/>
      <c r="C39" s="455">
        <f>C37</f>
        <v>16863164000</v>
      </c>
      <c r="D39" s="455">
        <f>D37</f>
        <v>8384292675</v>
      </c>
      <c r="E39" s="457">
        <f t="shared" ref="E39" si="27">IFERROR(D39/C39*100,0)</f>
        <v>49.71957027162874</v>
      </c>
      <c r="F39" s="455">
        <f>F37</f>
        <v>8478871325</v>
      </c>
      <c r="G39" s="457">
        <f t="shared" ref="G39" si="28">IFERROR(F39/C39*100,0)</f>
        <v>50.28042972837126</v>
      </c>
      <c r="H39" s="458">
        <f>H37</f>
        <v>13875804000</v>
      </c>
      <c r="I39" s="458">
        <f>I37</f>
        <v>8384292675</v>
      </c>
      <c r="J39" s="460">
        <f t="shared" ref="J39" si="29">IFERROR(I39/H39*100,0)</f>
        <v>60.423833278417597</v>
      </c>
      <c r="K39" s="458">
        <f>K37</f>
        <v>5491511325</v>
      </c>
      <c r="L39" s="460">
        <f t="shared" ref="L39" si="30">IFERROR(K39/H39*100,0)</f>
        <v>39.576166721582403</v>
      </c>
      <c r="M39" s="577">
        <f>SUM(M37:N37)</f>
        <v>2987360000</v>
      </c>
      <c r="N39" s="578"/>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57" t="s">
        <v>571</v>
      </c>
      <c r="B43" s="557" t="s">
        <v>500</v>
      </c>
      <c r="C43" s="560" t="s">
        <v>7680</v>
      </c>
      <c r="D43" s="561"/>
      <c r="E43" s="561"/>
      <c r="F43" s="561"/>
      <c r="G43" s="562"/>
      <c r="H43" s="570" t="s">
        <v>7682</v>
      </c>
      <c r="I43" s="571"/>
      <c r="J43" s="571"/>
      <c r="K43" s="571"/>
      <c r="L43" s="572"/>
      <c r="M43" s="554" t="s">
        <v>4679</v>
      </c>
      <c r="N43" s="554" t="s">
        <v>4681</v>
      </c>
    </row>
    <row r="44" spans="1:16">
      <c r="A44" s="558"/>
      <c r="B44" s="558"/>
      <c r="C44" s="563" t="s">
        <v>7681</v>
      </c>
      <c r="D44" s="560" t="s">
        <v>3732</v>
      </c>
      <c r="E44" s="562"/>
      <c r="F44" s="560" t="s">
        <v>3733</v>
      </c>
      <c r="G44" s="562"/>
      <c r="H44" s="573" t="s">
        <v>7683</v>
      </c>
      <c r="I44" s="570" t="s">
        <v>3732</v>
      </c>
      <c r="J44" s="572"/>
      <c r="K44" s="570" t="s">
        <v>3733</v>
      </c>
      <c r="L44" s="572"/>
      <c r="M44" s="555"/>
      <c r="N44" s="555"/>
    </row>
    <row r="45" spans="1:16">
      <c r="A45" s="559"/>
      <c r="B45" s="559"/>
      <c r="C45" s="564"/>
      <c r="D45" s="312" t="s">
        <v>4691</v>
      </c>
      <c r="E45" s="312" t="s">
        <v>3729</v>
      </c>
      <c r="F45" s="312" t="s">
        <v>4691</v>
      </c>
      <c r="G45" s="312" t="s">
        <v>3729</v>
      </c>
      <c r="H45" s="574"/>
      <c r="I45" s="443" t="s">
        <v>4691</v>
      </c>
      <c r="J45" s="443" t="s">
        <v>3729</v>
      </c>
      <c r="K45" s="443" t="s">
        <v>4691</v>
      </c>
      <c r="L45" s="443" t="s">
        <v>3729</v>
      </c>
      <c r="M45" s="556"/>
      <c r="N45" s="556"/>
    </row>
    <row r="46" spans="1:16">
      <c r="A46" s="569"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9"/>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9"/>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69"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9"/>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69"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9"/>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69"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9"/>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68" t="s">
        <v>3735</v>
      </c>
      <c r="B58" s="568"/>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68" t="s">
        <v>4685</v>
      </c>
      <c r="B59" s="568"/>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50">
        <f>SUM(M58:N58)</f>
        <v>0</v>
      </c>
      <c r="N59" s="551"/>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P23" sqref="P23"/>
    </sheetView>
  </sheetViews>
  <sheetFormatPr defaultRowHeight="15"/>
  <cols>
    <col min="1" max="1" width="14.710937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86" t="s">
        <v>7687</v>
      </c>
      <c r="B1" s="586"/>
      <c r="C1" s="586"/>
      <c r="D1" s="586"/>
      <c r="E1" s="586"/>
      <c r="F1" s="586"/>
      <c r="G1" s="586"/>
      <c r="H1" s="586"/>
      <c r="I1" s="586"/>
      <c r="J1" s="586"/>
      <c r="K1" s="586"/>
      <c r="L1" s="586"/>
      <c r="M1" s="586"/>
      <c r="N1" s="586"/>
    </row>
    <row r="2" spans="1:15" ht="15.75">
      <c r="A2" s="580" t="str">
        <f>'PER BULAN'!B5</f>
        <v>Berdasarkan DIPA Revisi 3 TA. 2022 (Tanggal 13 Juli 2022)</v>
      </c>
      <c r="B2" s="580"/>
      <c r="C2" s="580"/>
      <c r="D2" s="580"/>
      <c r="E2" s="580"/>
      <c r="F2" s="580"/>
      <c r="G2" s="580"/>
      <c r="H2" s="580"/>
      <c r="I2" s="580"/>
      <c r="J2" s="580"/>
      <c r="K2" s="580"/>
      <c r="L2" s="580"/>
      <c r="M2" s="580"/>
      <c r="N2" s="580"/>
    </row>
    <row r="3" spans="1:15" ht="15.75">
      <c r="A3" s="580" t="str">
        <f>'PER BULAN'!B6</f>
        <v>SAMPAI DENGAN 1 SEPTEMBER 2022</v>
      </c>
      <c r="B3" s="580"/>
      <c r="C3" s="580"/>
      <c r="D3" s="580"/>
      <c r="E3" s="580"/>
      <c r="F3" s="580"/>
      <c r="G3" s="580"/>
      <c r="H3" s="580"/>
      <c r="I3" s="580"/>
      <c r="J3" s="580"/>
      <c r="K3" s="580"/>
      <c r="L3" s="580"/>
      <c r="M3" s="580"/>
      <c r="N3" s="580"/>
    </row>
    <row r="4" spans="1:15">
      <c r="A4" s="360"/>
      <c r="B4" s="360"/>
      <c r="C4" s="360"/>
      <c r="D4" s="360"/>
      <c r="E4" s="360"/>
      <c r="F4" s="360"/>
      <c r="G4" s="360"/>
      <c r="H4" s="360"/>
      <c r="I4" s="360"/>
      <c r="J4" s="360"/>
      <c r="K4" s="360"/>
      <c r="L4" s="360"/>
      <c r="M4" s="360"/>
      <c r="N4" s="360"/>
    </row>
    <row r="5" spans="1:15" ht="15.75">
      <c r="A5" s="328" t="s">
        <v>3878</v>
      </c>
    </row>
    <row r="6" spans="1:15">
      <c r="A6" s="557" t="s">
        <v>571</v>
      </c>
      <c r="B6" s="557" t="s">
        <v>500</v>
      </c>
      <c r="C6" s="560" t="s">
        <v>7680</v>
      </c>
      <c r="D6" s="561"/>
      <c r="E6" s="561"/>
      <c r="F6" s="561"/>
      <c r="G6" s="562"/>
      <c r="H6" s="570" t="s">
        <v>7682</v>
      </c>
      <c r="I6" s="571"/>
      <c r="J6" s="571"/>
      <c r="K6" s="571"/>
      <c r="L6" s="572"/>
      <c r="M6" s="554" t="s">
        <v>4679</v>
      </c>
      <c r="N6" s="554" t="s">
        <v>4681</v>
      </c>
    </row>
    <row r="7" spans="1:15" ht="14.45" customHeight="1">
      <c r="A7" s="558"/>
      <c r="B7" s="558"/>
      <c r="C7" s="563" t="s">
        <v>7681</v>
      </c>
      <c r="D7" s="560" t="s">
        <v>3732</v>
      </c>
      <c r="E7" s="562"/>
      <c r="F7" s="560" t="s">
        <v>3733</v>
      </c>
      <c r="G7" s="562"/>
      <c r="H7" s="573" t="s">
        <v>7683</v>
      </c>
      <c r="I7" s="570" t="s">
        <v>3732</v>
      </c>
      <c r="J7" s="572"/>
      <c r="K7" s="570" t="s">
        <v>3733</v>
      </c>
      <c r="L7" s="572"/>
      <c r="M7" s="555"/>
      <c r="N7" s="555"/>
    </row>
    <row r="8" spans="1:15" ht="14.45" customHeight="1">
      <c r="A8" s="559"/>
      <c r="B8" s="559"/>
      <c r="C8" s="564"/>
      <c r="D8" s="312" t="s">
        <v>4691</v>
      </c>
      <c r="E8" s="312" t="s">
        <v>3729</v>
      </c>
      <c r="F8" s="312" t="s">
        <v>4691</v>
      </c>
      <c r="G8" s="312" t="s">
        <v>3729</v>
      </c>
      <c r="H8" s="574"/>
      <c r="I8" s="443" t="s">
        <v>4691</v>
      </c>
      <c r="J8" s="443" t="s">
        <v>3729</v>
      </c>
      <c r="K8" s="443" t="s">
        <v>4691</v>
      </c>
      <c r="L8" s="443" t="s">
        <v>3729</v>
      </c>
      <c r="M8" s="556"/>
      <c r="N8" s="556"/>
    </row>
    <row r="9" spans="1:15">
      <c r="A9" s="583"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84"/>
      <c r="B10" s="139" t="s">
        <v>3734</v>
      </c>
      <c r="C10" s="115" cm="1">
        <f t="array" ref="C10">SUM(_xlfn._xlws.FILTER(SP2D[DIPA_REVISI3],SP2D[Komponen]=$B10,0))</f>
        <v>2195658000</v>
      </c>
      <c r="D10" s="115" cm="1">
        <f t="array" ref="D10">SUM(_xlfn._xlws.FILTER(SP2D[Realisasi],SP2D[Komponen]=$B10,0))</f>
        <v>1056379516</v>
      </c>
      <c r="E10" s="167">
        <f t="shared" ref="E10:E26" si="0">IFERROR(D10/C10*100,0)</f>
        <v>48.112206728005908</v>
      </c>
      <c r="F10" s="115">
        <f t="shared" ref="F10:F26" si="1">C10-D10</f>
        <v>1139278484</v>
      </c>
      <c r="G10" s="167">
        <f t="shared" ref="G10:G26" si="2">IFERROR(F10/C10*100,0)</f>
        <v>51.887793271994084</v>
      </c>
      <c r="H10" s="115" cm="1">
        <f t="array" ref="H10">SUM(_xlfn._xlws.FILTER(SP2D[Pagu-Blokir],SP2D[Komponen]=$B10,0))</f>
        <v>2095658000</v>
      </c>
      <c r="I10" s="115">
        <f t="shared" ref="I10:I13" si="3">D10</f>
        <v>1056379516</v>
      </c>
      <c r="J10" s="167">
        <f t="shared" ref="J10:J26" si="4">IFERROR(I10/H10*100,0)</f>
        <v>50.408011039969303</v>
      </c>
      <c r="K10" s="115">
        <f t="shared" ref="K10:K26" si="5">H10-I10</f>
        <v>1039278484</v>
      </c>
      <c r="L10" s="167">
        <f t="shared" ref="L10:L26" si="6">IFERROR(K10/H10*100,0)</f>
        <v>49.59198896003069</v>
      </c>
      <c r="M10" s="115" cm="1">
        <f t="array" ref="M10">SUM(_xlfn._xlws.FILTER(SP2D[Blokir AA ke 1],SP2D[Komponen]=$B10,0))</f>
        <v>100000000</v>
      </c>
      <c r="N10" s="115" cm="1">
        <f t="array" ref="N10">SUM(_xlfn._xlws.FILTER(SP2D[Blokir AA ke 2],SP2D[Komponen]=$B10,0))</f>
        <v>0</v>
      </c>
    </row>
    <row r="11" spans="1:15">
      <c r="A11" s="584"/>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84"/>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84"/>
      <c r="B13" s="139" t="s">
        <v>4067</v>
      </c>
      <c r="C13" s="115" cm="1">
        <f t="array" ref="C13">SUM(_xlfn._xlws.FILTER(SP2D_GAJI[Pagu Semula],SP2D_GAJI[Komponen]=B13,0))</f>
        <v>6478996000</v>
      </c>
      <c r="D13" s="115" cm="1">
        <f t="array" ref="D13">SUM(_xlfn._xlws.FILTER(SP2D_GAJI[Realisasi],SP2D_GAJI[Komponen]=B13,0))</f>
        <v>4452198655</v>
      </c>
      <c r="E13" s="167">
        <f t="shared" si="0"/>
        <v>68.71741632499851</v>
      </c>
      <c r="F13" s="115">
        <f t="shared" ref="F13" si="7">C13-D13</f>
        <v>2026797345</v>
      </c>
      <c r="G13" s="167">
        <f t="shared" ref="G13" si="8">IFERROR(F13/C13*100,0)</f>
        <v>31.282583675001497</v>
      </c>
      <c r="H13" s="115">
        <f>C13-SUM(M13:N13)</f>
        <v>6155047000</v>
      </c>
      <c r="I13" s="115">
        <f t="shared" si="3"/>
        <v>4452198655</v>
      </c>
      <c r="J13" s="167">
        <f t="shared" si="4"/>
        <v>72.334113045765534</v>
      </c>
      <c r="K13" s="115">
        <f t="shared" ref="K13" si="9">H13-I13</f>
        <v>1702848345</v>
      </c>
      <c r="L13" s="167">
        <f t="shared" ref="L13" si="10">IFERROR(K13/H13*100,0)</f>
        <v>27.66588695423447</v>
      </c>
      <c r="M13" s="115" cm="1">
        <f t="array" ref="M13">SUM(_xlfn._xlws.FILTER(SP2D_GAJI[Blokir AA ke 1],SP2D_GAJI[Komponen]=$B13,0))</f>
        <v>323949000</v>
      </c>
      <c r="N13" s="115" cm="1">
        <f t="array" ref="N13">SUM(_xlfn._xlws.FILTER(SP2D_GAJI[Blokir AA ke 2],SP2D_GAJI[Komponen]=$B13,0))</f>
        <v>0</v>
      </c>
      <c r="O13" s="159"/>
    </row>
    <row r="14" spans="1:15">
      <c r="A14" s="585"/>
      <c r="B14" s="452" t="s">
        <v>4687</v>
      </c>
      <c r="C14" s="453">
        <f>SUM(C9:C13)</f>
        <v>10807010000</v>
      </c>
      <c r="D14" s="453">
        <f>SUM(D9:D13)</f>
        <v>6839791820</v>
      </c>
      <c r="E14" s="454">
        <f t="shared" si="0"/>
        <v>63.290325631233799</v>
      </c>
      <c r="F14" s="453">
        <f>SUM(F9:F13)</f>
        <v>3967218180</v>
      </c>
      <c r="G14" s="454">
        <f t="shared" si="2"/>
        <v>36.709674368766201</v>
      </c>
      <c r="H14" s="453">
        <f t="shared" ref="H14:I14" si="11">SUM(H9:H13)</f>
        <v>9773509000</v>
      </c>
      <c r="I14" s="453">
        <f t="shared" si="11"/>
        <v>6839791820</v>
      </c>
      <c r="J14" s="454">
        <f t="shared" si="4"/>
        <v>69.982969473911567</v>
      </c>
      <c r="K14" s="453">
        <f>SUM(K9:K13)</f>
        <v>2933717180</v>
      </c>
      <c r="L14" s="454">
        <f t="shared" si="6"/>
        <v>30.01703052608843</v>
      </c>
      <c r="M14" s="453">
        <f>SUM(M9:M13)</f>
        <v>423949000</v>
      </c>
      <c r="N14" s="453">
        <f>SUM(N9:N13)</f>
        <v>609552000</v>
      </c>
    </row>
    <row r="15" spans="1:15" ht="15" customHeight="1">
      <c r="A15" s="583"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84"/>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1"/>
        <v>3633301252</v>
      </c>
      <c r="G16" s="167">
        <f t="shared" si="2"/>
        <v>42.333833405184969</v>
      </c>
      <c r="H16" s="115" cm="1">
        <f t="array" ref="H16">SUM(_xlfn._xlws.FILTER(SP2D[Pagu-Blokir],SP2D[Kegiatan]=$B16,0))</f>
        <v>8582500000</v>
      </c>
      <c r="I16" s="115">
        <f t="shared" si="12"/>
        <v>4949198748</v>
      </c>
      <c r="J16" s="167">
        <f t="shared" si="4"/>
        <v>57.666166594815024</v>
      </c>
      <c r="K16" s="115">
        <f t="shared" si="5"/>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84"/>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85"/>
      <c r="B18" s="452" t="s">
        <v>4688</v>
      </c>
      <c r="C18" s="453">
        <f>SUM(C15:C17)</f>
        <v>9985150000</v>
      </c>
      <c r="D18" s="453">
        <f>SUM(D15:D17)</f>
        <v>5241820127</v>
      </c>
      <c r="E18" s="454">
        <f t="shared" si="0"/>
        <v>52.496158064726117</v>
      </c>
      <c r="F18" s="453">
        <f t="shared" si="1"/>
        <v>4743329873</v>
      </c>
      <c r="G18" s="454">
        <f t="shared" si="2"/>
        <v>47.503841935273883</v>
      </c>
      <c r="H18" s="453">
        <f>SUM(H15:H17)</f>
        <v>9046216000</v>
      </c>
      <c r="I18" s="453">
        <f>SUM(I15:I17)</f>
        <v>5241820127</v>
      </c>
      <c r="J18" s="454">
        <f t="shared" si="4"/>
        <v>57.944892394786947</v>
      </c>
      <c r="K18" s="453">
        <f t="shared" si="5"/>
        <v>3804395873</v>
      </c>
      <c r="L18" s="454">
        <f t="shared" si="6"/>
        <v>42.055107605213053</v>
      </c>
      <c r="M18" s="453">
        <f t="shared" ref="M18:N18" si="13">SUM(M15:M17)</f>
        <v>0</v>
      </c>
      <c r="N18" s="453">
        <f t="shared" si="13"/>
        <v>938934000</v>
      </c>
    </row>
    <row r="19" spans="1:15" ht="15" customHeight="1">
      <c r="A19" s="583"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1"/>
        <v>315549410</v>
      </c>
      <c r="G19" s="167">
        <f t="shared" si="2"/>
        <v>66.557563805104408</v>
      </c>
      <c r="H19" s="115" cm="1">
        <f t="array" ref="H19">SUM(_xlfn._xlws.FILTER(SP2D[Pagu-Blokir],SP2D[Subkoordinator]=$B19,0))</f>
        <v>207606000</v>
      </c>
      <c r="I19" s="115">
        <f t="shared" si="12"/>
        <v>158550590</v>
      </c>
      <c r="J19" s="167">
        <f t="shared" si="4"/>
        <v>76.370909318613144</v>
      </c>
      <c r="K19" s="115">
        <f t="shared" si="5"/>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84"/>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1"/>
        <v>695573415</v>
      </c>
      <c r="G20" s="167">
        <f t="shared" si="2"/>
        <v>86.460337476693596</v>
      </c>
      <c r="H20" s="115" cm="1">
        <f t="array" ref="H20">SUM(_xlfn._xlws.FILTER(SP2D[Pagu-Blokir],SP2D[Subkoordinator]=$B20,0))</f>
        <v>164763000</v>
      </c>
      <c r="I20" s="115">
        <f t="shared" si="12"/>
        <v>108926585</v>
      </c>
      <c r="J20" s="167">
        <f t="shared" si="4"/>
        <v>66.111071660506298</v>
      </c>
      <c r="K20" s="115">
        <f t="shared" si="5"/>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85"/>
      <c r="B21" s="452" t="s">
        <v>4689</v>
      </c>
      <c r="C21" s="453">
        <f>SUM(C19:C20)</f>
        <v>1278600000</v>
      </c>
      <c r="D21" s="453">
        <f>SUM(D19:D20)</f>
        <v>267477175</v>
      </c>
      <c r="E21" s="454">
        <f t="shared" si="0"/>
        <v>20.919535038323168</v>
      </c>
      <c r="F21" s="453">
        <f t="shared" si="1"/>
        <v>1011122825</v>
      </c>
      <c r="G21" s="454">
        <f t="shared" si="2"/>
        <v>79.080464961676839</v>
      </c>
      <c r="H21" s="453">
        <f>SUM(H19:H20)</f>
        <v>372369000</v>
      </c>
      <c r="I21" s="453">
        <f>SUM(I19:I20)</f>
        <v>267477175</v>
      </c>
      <c r="J21" s="454">
        <f t="shared" si="4"/>
        <v>71.831214467369733</v>
      </c>
      <c r="K21" s="453">
        <f t="shared" si="5"/>
        <v>104891825</v>
      </c>
      <c r="L21" s="454">
        <f t="shared" si="6"/>
        <v>28.16878553263027</v>
      </c>
      <c r="M21" s="453">
        <f t="shared" ref="M21:N21" si="14">SUM(M19:M20)</f>
        <v>0</v>
      </c>
      <c r="N21" s="453">
        <f t="shared" si="14"/>
        <v>906231000</v>
      </c>
    </row>
    <row r="22" spans="1:15" ht="15" customHeight="1">
      <c r="A22" s="583"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1"/>
        <v>295247010</v>
      </c>
      <c r="G22" s="167">
        <f t="shared" si="2"/>
        <v>43.020109281655259</v>
      </c>
      <c r="H22" s="115" cm="1">
        <f t="array" ref="H22">SUM(_xlfn._xlws.FILTER(SP2D[Pagu-Blokir],SP2D[Subkoordinator]=$B22,0))</f>
        <v>686300000</v>
      </c>
      <c r="I22" s="115">
        <f t="shared" si="12"/>
        <v>391052990</v>
      </c>
      <c r="J22" s="167">
        <f t="shared" si="4"/>
        <v>56.979890718344748</v>
      </c>
      <c r="K22" s="115">
        <f t="shared" si="5"/>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84"/>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85"/>
      <c r="B24" s="452" t="s">
        <v>4690</v>
      </c>
      <c r="C24" s="453">
        <f>SUM(C22:C23)</f>
        <v>1271400000</v>
      </c>
      <c r="D24" s="453">
        <f>SUM(D22:D23)</f>
        <v>487402208</v>
      </c>
      <c r="E24" s="454">
        <f t="shared" si="0"/>
        <v>38.335866603743909</v>
      </c>
      <c r="F24" s="453">
        <f t="shared" si="1"/>
        <v>783997792</v>
      </c>
      <c r="G24" s="454">
        <f t="shared" si="2"/>
        <v>61.664133396256091</v>
      </c>
      <c r="H24" s="453">
        <f>SUM(H22:H23)</f>
        <v>838757000</v>
      </c>
      <c r="I24" s="453">
        <f>SUM(I22:I23)</f>
        <v>487402208</v>
      </c>
      <c r="J24" s="454">
        <f t="shared" si="4"/>
        <v>58.11006143614896</v>
      </c>
      <c r="K24" s="453">
        <f t="shared" si="5"/>
        <v>351354792</v>
      </c>
      <c r="L24" s="454">
        <f t="shared" si="6"/>
        <v>41.889938563851032</v>
      </c>
      <c r="M24" s="453">
        <f t="shared" ref="M24:N24" si="15">SUM(M22:M23)</f>
        <v>0</v>
      </c>
      <c r="N24" s="453">
        <f t="shared" si="15"/>
        <v>432643000</v>
      </c>
    </row>
    <row r="25" spans="1:15">
      <c r="A25" s="568" t="s">
        <v>3735</v>
      </c>
      <c r="B25" s="568"/>
      <c r="C25" s="446">
        <f>C14++C18+C21+C24</f>
        <v>23342160000</v>
      </c>
      <c r="D25" s="446">
        <f>D14++D18+D21+D24</f>
        <v>12836491330</v>
      </c>
      <c r="E25" s="447">
        <f t="shared" si="0"/>
        <v>54.992731306785657</v>
      </c>
      <c r="F25" s="446">
        <f t="shared" si="1"/>
        <v>10505668670</v>
      </c>
      <c r="G25" s="447">
        <f t="shared" si="2"/>
        <v>45.007268693214336</v>
      </c>
      <c r="H25" s="144">
        <f>H14++H18+H21+H24</f>
        <v>20030851000</v>
      </c>
      <c r="I25" s="144">
        <f>I14++I18+I21+I24</f>
        <v>12836491330</v>
      </c>
      <c r="J25" s="461">
        <f t="shared" si="4"/>
        <v>64.083604485900267</v>
      </c>
      <c r="K25" s="144">
        <f t="shared" si="5"/>
        <v>7194359670</v>
      </c>
      <c r="L25" s="461">
        <f t="shared" si="6"/>
        <v>35.916395514099726</v>
      </c>
      <c r="M25" s="451">
        <f t="shared" ref="M25:N25" si="16">M14++M18+M21+M24</f>
        <v>423949000</v>
      </c>
      <c r="N25" s="451">
        <f t="shared" si="16"/>
        <v>2887360000</v>
      </c>
      <c r="O25" s="159"/>
    </row>
    <row r="26" spans="1:15">
      <c r="A26" s="581" t="s">
        <v>4685</v>
      </c>
      <c r="B26" s="582"/>
      <c r="C26" s="448">
        <f>C25</f>
        <v>23342160000</v>
      </c>
      <c r="D26" s="449">
        <f>D25</f>
        <v>12836491330</v>
      </c>
      <c r="E26" s="450">
        <f t="shared" si="0"/>
        <v>54.992731306785657</v>
      </c>
      <c r="F26" s="449">
        <f t="shared" si="1"/>
        <v>10505668670</v>
      </c>
      <c r="G26" s="450">
        <f t="shared" si="2"/>
        <v>45.007268693214336</v>
      </c>
      <c r="H26" s="462">
        <f>H25</f>
        <v>20030851000</v>
      </c>
      <c r="I26" s="463">
        <f>I25</f>
        <v>12836491330</v>
      </c>
      <c r="J26" s="464">
        <f t="shared" si="4"/>
        <v>64.083604485900267</v>
      </c>
      <c r="K26" s="463">
        <f t="shared" si="5"/>
        <v>7194359670</v>
      </c>
      <c r="L26" s="464">
        <f t="shared" si="6"/>
        <v>35.916395514099726</v>
      </c>
      <c r="M26" s="552">
        <f>SUM(M25,N25)</f>
        <v>3311309000</v>
      </c>
      <c r="N26" s="553"/>
      <c r="O26" s="518"/>
    </row>
    <row r="28" spans="1:15">
      <c r="O28" s="161"/>
    </row>
    <row r="29" spans="1:15" ht="15.75">
      <c r="A29" s="328" t="s">
        <v>3885</v>
      </c>
    </row>
    <row r="30" spans="1:15" ht="14.45" customHeight="1">
      <c r="A30" s="565" t="s">
        <v>3871</v>
      </c>
      <c r="B30" s="565" t="s">
        <v>3872</v>
      </c>
      <c r="C30" s="560" t="s">
        <v>7680</v>
      </c>
      <c r="D30" s="561"/>
      <c r="E30" s="561"/>
      <c r="F30" s="561"/>
      <c r="G30" s="562"/>
      <c r="H30" s="570" t="s">
        <v>7682</v>
      </c>
      <c r="I30" s="571"/>
      <c r="J30" s="571"/>
      <c r="K30" s="571"/>
      <c r="L30" s="572"/>
      <c r="M30" s="554" t="s">
        <v>4679</v>
      </c>
      <c r="N30" s="554" t="s">
        <v>4681</v>
      </c>
    </row>
    <row r="31" spans="1:15">
      <c r="A31" s="566"/>
      <c r="B31" s="566"/>
      <c r="C31" s="563" t="s">
        <v>7681</v>
      </c>
      <c r="D31" s="560" t="s">
        <v>3732</v>
      </c>
      <c r="E31" s="562"/>
      <c r="F31" s="560" t="s">
        <v>3733</v>
      </c>
      <c r="G31" s="562"/>
      <c r="H31" s="573" t="s">
        <v>7683</v>
      </c>
      <c r="I31" s="570" t="s">
        <v>3732</v>
      </c>
      <c r="J31" s="572"/>
      <c r="K31" s="570" t="s">
        <v>3733</v>
      </c>
      <c r="L31" s="572"/>
      <c r="M31" s="555"/>
      <c r="N31" s="555"/>
    </row>
    <row r="32" spans="1:15">
      <c r="A32" s="567"/>
      <c r="B32" s="567"/>
      <c r="C32" s="564"/>
      <c r="D32" s="312" t="s">
        <v>4691</v>
      </c>
      <c r="E32" s="312" t="s">
        <v>3729</v>
      </c>
      <c r="F32" s="312" t="s">
        <v>4691</v>
      </c>
      <c r="G32" s="312" t="s">
        <v>3729</v>
      </c>
      <c r="H32" s="574"/>
      <c r="I32" s="443" t="s">
        <v>4691</v>
      </c>
      <c r="J32" s="443" t="s">
        <v>3729</v>
      </c>
      <c r="K32" s="443" t="s">
        <v>4691</v>
      </c>
      <c r="L32" s="443" t="s">
        <v>3729</v>
      </c>
      <c r="M32" s="556"/>
      <c r="N32" s="556"/>
    </row>
    <row r="33" spans="1:14">
      <c r="A33" s="146">
        <v>1</v>
      </c>
      <c r="B33" s="147" t="s">
        <v>4068</v>
      </c>
      <c r="C33" s="148">
        <f>C13</f>
        <v>6478996000</v>
      </c>
      <c r="D33" s="148">
        <f>D13</f>
        <v>4452198655</v>
      </c>
      <c r="E33" s="444">
        <f t="shared" ref="E33" si="17">IFERROR(D33/C33*100,0)</f>
        <v>68.71741632499851</v>
      </c>
      <c r="F33" s="148">
        <f t="shared" ref="F33:F36" si="18">C33-D33</f>
        <v>2026797345</v>
      </c>
      <c r="G33" s="444">
        <f t="shared" ref="G33" si="19">IFERROR(F33/C33*100,0)</f>
        <v>31.282583675001497</v>
      </c>
      <c r="H33" s="148">
        <f>H13</f>
        <v>6155047000</v>
      </c>
      <c r="I33" s="148">
        <f>I13</f>
        <v>4452198655</v>
      </c>
      <c r="J33" s="444">
        <f t="shared" ref="J33" si="20">IFERROR(I33/H33*100,0)</f>
        <v>72.334113045765534</v>
      </c>
      <c r="K33" s="148">
        <f t="shared" ref="K33:K36" si="21">H33-I33</f>
        <v>1702848345</v>
      </c>
      <c r="L33" s="444">
        <f t="shared" ref="L33" si="22">IFERROR(K33/H33*100,0)</f>
        <v>27.66588695423447</v>
      </c>
      <c r="M33" s="148">
        <f>M13</f>
        <v>323949000</v>
      </c>
      <c r="N33" s="148">
        <f>N13</f>
        <v>0</v>
      </c>
    </row>
    <row r="34" spans="1:14">
      <c r="A34" s="146">
        <v>2</v>
      </c>
      <c r="B34" s="147" t="s">
        <v>3873</v>
      </c>
      <c r="C34" s="148">
        <f>SUM(C35:C36)</f>
        <v>16207230000</v>
      </c>
      <c r="D34" s="148">
        <f>SUM(D35:D36)</f>
        <v>7730092675</v>
      </c>
      <c r="E34" s="444">
        <f t="shared" ref="E34:E37" si="23">IFERROR(D34/C34*100,0)</f>
        <v>47.695335199167282</v>
      </c>
      <c r="F34" s="148">
        <f>SUM(F35:F36)</f>
        <v>8477137325</v>
      </c>
      <c r="G34" s="444">
        <f t="shared" ref="G34:G37" si="24">IFERROR(F34/C34*100,0)</f>
        <v>52.304664800832711</v>
      </c>
      <c r="H34" s="148">
        <f>SUM(H35:H36)</f>
        <v>13221604000</v>
      </c>
      <c r="I34" s="148">
        <f>SUM(I35:I36)</f>
        <v>7730092675</v>
      </c>
      <c r="J34" s="444">
        <f t="shared" ref="J34:J37" si="25">IFERROR(I34/H34*100,0)</f>
        <v>58.465619413499304</v>
      </c>
      <c r="K34" s="148">
        <f>SUM(K35:K36)</f>
        <v>5491511325</v>
      </c>
      <c r="L34" s="444">
        <f t="shared" ref="L34:L37" si="26">IFERROR(K34/H34*100,0)</f>
        <v>41.534380586500703</v>
      </c>
      <c r="M34" s="148">
        <f t="shared" ref="M34:N34" si="27">SUM(M35:M36)</f>
        <v>100000000</v>
      </c>
      <c r="N34" s="148">
        <f t="shared" si="27"/>
        <v>2885626000</v>
      </c>
    </row>
    <row r="35" spans="1:14">
      <c r="A35" s="155"/>
      <c r="B35" s="151" t="s">
        <v>3874</v>
      </c>
      <c r="C35" s="152" cm="1">
        <f t="array" ref="C35">SUM(_xlfn._xlws.FILTER(SP2D[DIPA_REVISI3],SP2D[Jenis Belanja2]="Belanja Barang Operasional",0))</f>
        <v>2195658000</v>
      </c>
      <c r="D35" s="152" cm="1">
        <f t="array" ref="D35">SUM(_xlfn._xlws.FILTER(SP2D[Realisasi],SP2D[Jenis Belanja2]="Belanja Barang Operasional",0))</f>
        <v>1056379516</v>
      </c>
      <c r="E35" s="445">
        <f t="shared" si="23"/>
        <v>48.112206728005908</v>
      </c>
      <c r="F35" s="115">
        <f t="shared" si="18"/>
        <v>1139278484</v>
      </c>
      <c r="G35" s="445">
        <f t="shared" si="24"/>
        <v>51.887793271994084</v>
      </c>
      <c r="H35" s="152" cm="1">
        <f t="array" ref="H35">SUM(_xlfn._xlws.FILTER(SP2D[Pagu-Blokir],SP2D[Jenis Belanja2]="Belanja Barang Operasional",0))</f>
        <v>2095658000</v>
      </c>
      <c r="I35" s="152">
        <f>D35</f>
        <v>1056379516</v>
      </c>
      <c r="J35" s="445">
        <f t="shared" si="25"/>
        <v>50.408011039969303</v>
      </c>
      <c r="K35" s="152">
        <f t="shared" si="21"/>
        <v>1039278484</v>
      </c>
      <c r="L35" s="445">
        <f t="shared" si="26"/>
        <v>49.59198896003069</v>
      </c>
      <c r="M35" s="152" cm="1">
        <f t="array" ref="M35">SUM(_xlfn._xlws.FILTER(SP2D[Blokir AA ke 1],SP2D[Jenis Belanja2]="Belanja Barang Operasional",0))</f>
        <v>100000000</v>
      </c>
      <c r="N35" s="152" cm="1">
        <f t="array" ref="N35">SUM(_xlfn._xlws.FILTER(SP2D[Blokir AA ke 2],SP2D[Jenis Belanja2]="Belanja Barang Operasional",0))</f>
        <v>0</v>
      </c>
    </row>
    <row r="36" spans="1:14">
      <c r="A36" s="155"/>
      <c r="B36" s="151" t="s">
        <v>4684</v>
      </c>
      <c r="C36" s="152" cm="1">
        <f t="array" ref="C36">SUM(_xlfn._xlws.FILTER(SP2D[DIPA_REVISI3],SP2D[Jenis Belanja2]="Belanja Barang Non Operasional",0))</f>
        <v>14011572000</v>
      </c>
      <c r="D36" s="152" cm="1">
        <f t="array" ref="D36">SUM(_xlfn._xlws.FILTER(SP2D[Realisasi],SP2D[Jenis Belanja2]="Belanja Barang Non Operasional",0))</f>
        <v>6673713159</v>
      </c>
      <c r="E36" s="445">
        <f t="shared" si="23"/>
        <v>47.630010101650264</v>
      </c>
      <c r="F36" s="115">
        <f t="shared" si="18"/>
        <v>7337858841</v>
      </c>
      <c r="G36" s="445">
        <f t="shared" si="24"/>
        <v>52.369989898349736</v>
      </c>
      <c r="H36" s="152" cm="1">
        <f t="array" ref="H36">SUM(_xlfn._xlws.FILTER(SP2D[Pagu-Blokir],SP2D[Jenis Belanja2]="Belanja Barang Non Operasional",0))</f>
        <v>11125946000</v>
      </c>
      <c r="I36" s="152">
        <f>D36</f>
        <v>6673713159</v>
      </c>
      <c r="J36" s="445">
        <f t="shared" si="25"/>
        <v>59.983332284733358</v>
      </c>
      <c r="K36" s="152">
        <f t="shared" si="21"/>
        <v>4452232841</v>
      </c>
      <c r="L36" s="445">
        <f t="shared" si="26"/>
        <v>40.016667715266642</v>
      </c>
      <c r="M36" s="152" cm="1">
        <f t="array" ref="M36">SUM(_xlfn._xlws.FILTER(SP2D[Blokir AA ke 1],SP2D[Jenis Belanja2]="Belanja Barang Non Operasional",0))</f>
        <v>0</v>
      </c>
      <c r="N36" s="152" cm="1">
        <f t="array" ref="N36">SUM(_xlfn._xlws.FILTER(SP2D[Blokir AA ke 2],SP2D[Jenis Belanja2]="Belanja Barang Non Operasional",0))</f>
        <v>2885626000</v>
      </c>
    </row>
    <row r="37" spans="1:14">
      <c r="A37" s="146">
        <v>3</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75" t="s">
        <v>590</v>
      </c>
      <c r="B39" s="576"/>
      <c r="C39" s="455">
        <f>SUM(C33,C34,C37)</f>
        <v>23342160000</v>
      </c>
      <c r="D39" s="455">
        <f>SUM(D33,D34,D37)</f>
        <v>12836491330</v>
      </c>
      <c r="E39" s="456">
        <f t="shared" ref="E39" si="28">IFERROR(D39/C39*100,0)</f>
        <v>54.992731306785657</v>
      </c>
      <c r="F39" s="455">
        <f>SUM(F33,F34,F37)</f>
        <v>10505668670</v>
      </c>
      <c r="G39" s="456">
        <f t="shared" ref="G39" si="29">IFERROR(F39/C39*100,0)</f>
        <v>45.007268693214336</v>
      </c>
      <c r="H39" s="458">
        <f>SUM(H33,H34,H37)</f>
        <v>20030851000</v>
      </c>
      <c r="I39" s="458">
        <f>SUM(I33,I34,I37)</f>
        <v>12836491330</v>
      </c>
      <c r="J39" s="459">
        <f t="shared" ref="J39" si="30">IFERROR(I39/H39*100,0)</f>
        <v>64.083604485900267</v>
      </c>
      <c r="K39" s="458">
        <f>SUM(K33,K34,K37)</f>
        <v>7194359670</v>
      </c>
      <c r="L39" s="459">
        <f t="shared" ref="L39" si="31">IFERROR(K39/H39*100,0)</f>
        <v>35.916395514099726</v>
      </c>
      <c r="M39" s="465">
        <f>SUM(M33,M34,M37)</f>
        <v>423949000</v>
      </c>
      <c r="N39" s="465">
        <f>SUM(N33,N34,N37)</f>
        <v>2887360000</v>
      </c>
    </row>
    <row r="40" spans="1:14">
      <c r="A40" s="575" t="s">
        <v>3876</v>
      </c>
      <c r="B40" s="576"/>
      <c r="C40" s="455"/>
      <c r="D40" s="455"/>
      <c r="E40" s="455"/>
      <c r="F40" s="455"/>
      <c r="G40" s="455"/>
      <c r="H40" s="458"/>
      <c r="I40" s="458"/>
      <c r="J40" s="459"/>
      <c r="K40" s="458"/>
      <c r="L40" s="459"/>
      <c r="M40" s="465"/>
      <c r="N40" s="465"/>
    </row>
    <row r="41" spans="1:14">
      <c r="A41" s="575" t="s">
        <v>3877</v>
      </c>
      <c r="B41" s="576"/>
      <c r="C41" s="455">
        <f>C39</f>
        <v>23342160000</v>
      </c>
      <c r="D41" s="455">
        <f>D39</f>
        <v>12836491330</v>
      </c>
      <c r="E41" s="457">
        <f t="shared" ref="E41" si="32">IFERROR(D41/C41*100,0)</f>
        <v>54.992731306785657</v>
      </c>
      <c r="F41" s="455">
        <f>F39</f>
        <v>10505668670</v>
      </c>
      <c r="G41" s="457">
        <f t="shared" ref="G41" si="33">IFERROR(F41/C41*100,0)</f>
        <v>45.007268693214336</v>
      </c>
      <c r="H41" s="458">
        <f>H39</f>
        <v>20030851000</v>
      </c>
      <c r="I41" s="458">
        <f>I39</f>
        <v>12836491330</v>
      </c>
      <c r="J41" s="460">
        <f t="shared" ref="J41" si="34">IFERROR(I41/H41*100,0)</f>
        <v>64.083604485900267</v>
      </c>
      <c r="K41" s="458">
        <f>K39</f>
        <v>7194359670</v>
      </c>
      <c r="L41" s="460">
        <f t="shared" ref="L41" si="35">IFERROR(K41/H41*100,0)</f>
        <v>35.916395514099726</v>
      </c>
      <c r="M41" s="577">
        <f>SUM(M39:N39)</f>
        <v>3311309000</v>
      </c>
      <c r="N41" s="578"/>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57" t="s">
        <v>571</v>
      </c>
      <c r="B45" s="557" t="s">
        <v>500</v>
      </c>
      <c r="C45" s="560" t="s">
        <v>7680</v>
      </c>
      <c r="D45" s="561"/>
      <c r="E45" s="561"/>
      <c r="F45" s="561"/>
      <c r="G45" s="562"/>
      <c r="H45" s="570" t="s">
        <v>7682</v>
      </c>
      <c r="I45" s="571"/>
      <c r="J45" s="571"/>
      <c r="K45" s="571"/>
      <c r="L45" s="572"/>
      <c r="M45" s="554" t="s">
        <v>4679</v>
      </c>
      <c r="N45" s="554" t="s">
        <v>4681</v>
      </c>
    </row>
    <row r="46" spans="1:14">
      <c r="A46" s="558"/>
      <c r="B46" s="558"/>
      <c r="C46" s="563" t="s">
        <v>7681</v>
      </c>
      <c r="D46" s="560" t="s">
        <v>3732</v>
      </c>
      <c r="E46" s="562"/>
      <c r="F46" s="560" t="s">
        <v>3733</v>
      </c>
      <c r="G46" s="562"/>
      <c r="H46" s="573" t="s">
        <v>7683</v>
      </c>
      <c r="I46" s="570" t="s">
        <v>3732</v>
      </c>
      <c r="J46" s="572"/>
      <c r="K46" s="570" t="s">
        <v>3733</v>
      </c>
      <c r="L46" s="572"/>
      <c r="M46" s="555"/>
      <c r="N46" s="555"/>
    </row>
    <row r="47" spans="1:14">
      <c r="A47" s="559"/>
      <c r="B47" s="559"/>
      <c r="C47" s="564"/>
      <c r="D47" s="312" t="s">
        <v>4691</v>
      </c>
      <c r="E47" s="312" t="s">
        <v>3729</v>
      </c>
      <c r="F47" s="312" t="s">
        <v>4691</v>
      </c>
      <c r="G47" s="312" t="s">
        <v>3729</v>
      </c>
      <c r="H47" s="574"/>
      <c r="I47" s="443" t="s">
        <v>4691</v>
      </c>
      <c r="J47" s="443" t="s">
        <v>3729</v>
      </c>
      <c r="K47" s="443" t="s">
        <v>4691</v>
      </c>
      <c r="L47" s="443" t="s">
        <v>3729</v>
      </c>
      <c r="M47" s="556"/>
      <c r="N47" s="556"/>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68" t="s">
        <v>3735</v>
      </c>
      <c r="B60" s="568"/>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68" t="s">
        <v>4685</v>
      </c>
      <c r="B61" s="568"/>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50">
        <f>SUM(M60:N60)</f>
        <v>0</v>
      </c>
      <c r="N61" s="551"/>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EDA20-A9BE-4D4E-AC46-85C82D700AD4}">
  <sheetPr codeName="Sheet2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B9" sqref="B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86" t="s">
        <v>7687</v>
      </c>
      <c r="B1" s="586"/>
      <c r="C1" s="586"/>
      <c r="D1" s="586"/>
      <c r="E1" s="586"/>
      <c r="F1" s="586"/>
      <c r="G1" s="586"/>
      <c r="H1" s="586"/>
      <c r="I1" s="586"/>
      <c r="J1" s="586"/>
      <c r="K1" s="586"/>
      <c r="L1" s="586"/>
      <c r="M1" s="586"/>
      <c r="N1" s="586"/>
    </row>
    <row r="2" spans="1:15" ht="15.75">
      <c r="A2" s="580" t="str">
        <f>'PER BULAN'!B5</f>
        <v>Berdasarkan DIPA Revisi 3 TA. 2022 (Tanggal 13 Juli 2022)</v>
      </c>
      <c r="B2" s="580"/>
      <c r="C2" s="580"/>
      <c r="D2" s="580"/>
      <c r="E2" s="580"/>
      <c r="F2" s="580"/>
      <c r="G2" s="580"/>
      <c r="H2" s="580"/>
      <c r="I2" s="580"/>
      <c r="J2" s="580"/>
      <c r="K2" s="580"/>
      <c r="L2" s="580"/>
      <c r="M2" s="580"/>
      <c r="N2" s="580"/>
    </row>
    <row r="3" spans="1:15" ht="15.75">
      <c r="A3" s="580" t="str">
        <f>'PER BULAN'!B6</f>
        <v>SAMPAI DENGAN 1 SEPTEMBER 2022</v>
      </c>
      <c r="B3" s="580"/>
      <c r="C3" s="580"/>
      <c r="D3" s="580"/>
      <c r="E3" s="580"/>
      <c r="F3" s="580"/>
      <c r="G3" s="580"/>
      <c r="H3" s="580"/>
      <c r="I3" s="580"/>
      <c r="J3" s="580"/>
      <c r="K3" s="580"/>
      <c r="L3" s="580"/>
      <c r="M3" s="580"/>
      <c r="N3" s="580"/>
    </row>
    <row r="4" spans="1:15">
      <c r="A4" s="526"/>
      <c r="B4" s="526"/>
      <c r="C4" s="526"/>
      <c r="D4" s="526"/>
      <c r="E4" s="526"/>
      <c r="F4" s="526"/>
      <c r="G4" s="526"/>
      <c r="H4" s="526"/>
      <c r="I4" s="526"/>
      <c r="J4" s="526"/>
      <c r="K4" s="526"/>
      <c r="L4" s="526"/>
      <c r="M4" s="526"/>
      <c r="N4" s="526"/>
    </row>
    <row r="5" spans="1:15" ht="15.75">
      <c r="A5" s="328" t="s">
        <v>3878</v>
      </c>
    </row>
    <row r="6" spans="1:15">
      <c r="A6" s="557" t="s">
        <v>571</v>
      </c>
      <c r="B6" s="557" t="s">
        <v>3767</v>
      </c>
      <c r="C6" s="560" t="s">
        <v>7680</v>
      </c>
      <c r="D6" s="561"/>
      <c r="E6" s="561"/>
      <c r="F6" s="561"/>
      <c r="G6" s="562"/>
      <c r="H6" s="570" t="s">
        <v>7682</v>
      </c>
      <c r="I6" s="571"/>
      <c r="J6" s="571"/>
      <c r="K6" s="571"/>
      <c r="L6" s="572"/>
      <c r="M6" s="554" t="s">
        <v>4679</v>
      </c>
      <c r="N6" s="554" t="s">
        <v>4681</v>
      </c>
    </row>
    <row r="7" spans="1:15" ht="14.45" customHeight="1">
      <c r="A7" s="558"/>
      <c r="B7" s="558"/>
      <c r="C7" s="563" t="s">
        <v>7681</v>
      </c>
      <c r="D7" s="560" t="s">
        <v>3732</v>
      </c>
      <c r="E7" s="562"/>
      <c r="F7" s="560" t="s">
        <v>3733</v>
      </c>
      <c r="G7" s="562"/>
      <c r="H7" s="573" t="s">
        <v>7683</v>
      </c>
      <c r="I7" s="570" t="s">
        <v>3732</v>
      </c>
      <c r="J7" s="572"/>
      <c r="K7" s="570" t="s">
        <v>3733</v>
      </c>
      <c r="L7" s="572"/>
      <c r="M7" s="555"/>
      <c r="N7" s="555"/>
    </row>
    <row r="8" spans="1:15" ht="14.45" customHeight="1">
      <c r="A8" s="559"/>
      <c r="B8" s="559"/>
      <c r="C8" s="564"/>
      <c r="D8" s="312" t="s">
        <v>4691</v>
      </c>
      <c r="E8" s="312" t="s">
        <v>3729</v>
      </c>
      <c r="F8" s="312" t="s">
        <v>4691</v>
      </c>
      <c r="G8" s="312" t="s">
        <v>3729</v>
      </c>
      <c r="H8" s="574"/>
      <c r="I8" s="443" t="s">
        <v>4691</v>
      </c>
      <c r="J8" s="443" t="s">
        <v>3729</v>
      </c>
      <c r="K8" s="443" t="s">
        <v>4691</v>
      </c>
      <c r="L8" s="443" t="s">
        <v>3729</v>
      </c>
      <c r="M8" s="556"/>
      <c r="N8" s="556"/>
    </row>
    <row r="9" spans="1:15">
      <c r="A9" s="583"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84"/>
      <c r="B10" s="139" t="s">
        <v>3734</v>
      </c>
      <c r="C10" s="115" cm="1">
        <f t="array" ref="C10">SUM(_xlfn._xlws.FILTER(SP2D[DIPA_REVISI3],SP2D[Komponen]=$B10,0))</f>
        <v>2195658000</v>
      </c>
      <c r="D10" s="115" cm="1">
        <f t="array" ref="D10">SUM(_xlfn._xlws.FILTER(SP2D[Realisasi],SP2D[Komponen]=$B10,0))</f>
        <v>1056379516</v>
      </c>
      <c r="E10" s="167">
        <f t="shared" ref="E10:E26" si="0">IFERROR(D10/C10*100,0)</f>
        <v>48.112206728005908</v>
      </c>
      <c r="F10" s="115">
        <f t="shared" ref="F10:F13" si="1">C10-D10</f>
        <v>1139278484</v>
      </c>
      <c r="G10" s="167">
        <f t="shared" ref="G10:G26" si="2">IFERROR(F10/C10*100,0)</f>
        <v>51.887793271994084</v>
      </c>
      <c r="H10" s="115" cm="1">
        <f t="array" ref="H10">SUM(_xlfn._xlws.FILTER(SP2D[Pagu-Blokir],SP2D[Komponen]=$B10,0))</f>
        <v>2095658000</v>
      </c>
      <c r="I10" s="115">
        <f t="shared" ref="I10:I13" si="3">D10</f>
        <v>1056379516</v>
      </c>
      <c r="J10" s="167">
        <f t="shared" ref="J10:J26" si="4">IFERROR(I10/H10*100,0)</f>
        <v>50.408011039969303</v>
      </c>
      <c r="K10" s="115">
        <f t="shared" ref="K10:K13" si="5">H10-I10</f>
        <v>1039278484</v>
      </c>
      <c r="L10" s="167">
        <f t="shared" ref="L10:L26" si="6">IFERROR(K10/H10*100,0)</f>
        <v>49.59198896003069</v>
      </c>
      <c r="M10" s="115" cm="1">
        <f t="array" ref="M10">SUM(_xlfn._xlws.FILTER(SP2D[Blokir AA ke 1],SP2D[Komponen]=$B10,0))</f>
        <v>100000000</v>
      </c>
      <c r="N10" s="115" cm="1">
        <f t="array" ref="N10">SUM(_xlfn._xlws.FILTER(SP2D[Blokir AA ke 2],SP2D[Komponen]=$B10,0))</f>
        <v>0</v>
      </c>
    </row>
    <row r="11" spans="1:15">
      <c r="A11" s="584"/>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84"/>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84"/>
      <c r="B13" s="139" t="s">
        <v>4067</v>
      </c>
      <c r="C13" s="115" cm="1">
        <f t="array" ref="C13">SUM(_xlfn._xlws.FILTER(SP2D_GAJI[Pagu Semula],SP2D_GAJI[Komponen]=B13,0))</f>
        <v>6478996000</v>
      </c>
      <c r="D13" s="115" cm="1">
        <f t="array" ref="D13">SUM(_xlfn._xlws.FILTER(SP2D_GAJI[Realisasi],SP2D_GAJI[Komponen]=B13,0))</f>
        <v>4452198655</v>
      </c>
      <c r="E13" s="167">
        <f t="shared" si="0"/>
        <v>68.71741632499851</v>
      </c>
      <c r="F13" s="115">
        <f t="shared" si="1"/>
        <v>2026797345</v>
      </c>
      <c r="G13" s="167">
        <f t="shared" si="2"/>
        <v>31.282583675001497</v>
      </c>
      <c r="H13" s="115">
        <f>C13-SUM(M13:N13)</f>
        <v>6155047000</v>
      </c>
      <c r="I13" s="115">
        <f t="shared" si="3"/>
        <v>4452198655</v>
      </c>
      <c r="J13" s="167">
        <f t="shared" si="4"/>
        <v>72.334113045765534</v>
      </c>
      <c r="K13" s="115">
        <f t="shared" si="5"/>
        <v>1702848345</v>
      </c>
      <c r="L13" s="167">
        <f t="shared" si="6"/>
        <v>27.66588695423447</v>
      </c>
      <c r="M13" s="115" cm="1">
        <f t="array" ref="M13">SUM(_xlfn._xlws.FILTER(SP2D_GAJI[Blokir AA ke 1],SP2D_GAJI[Komponen]=$B13,0))</f>
        <v>323949000</v>
      </c>
      <c r="N13" s="115" cm="1">
        <f t="array" ref="N13">SUM(_xlfn._xlws.FILTER(SP2D_GAJI[Blokir AA ke 2],SP2D_GAJI[Komponen]=$B13,0))</f>
        <v>0</v>
      </c>
      <c r="O13" s="159"/>
    </row>
    <row r="14" spans="1:15">
      <c r="A14" s="585"/>
      <c r="B14" s="525" t="s">
        <v>4687</v>
      </c>
      <c r="C14" s="453">
        <f>SUM(C9:C13)</f>
        <v>10807010000</v>
      </c>
      <c r="D14" s="453">
        <f>SUM(D9:D13)</f>
        <v>6839791820</v>
      </c>
      <c r="E14" s="454">
        <f t="shared" si="0"/>
        <v>63.290325631233799</v>
      </c>
      <c r="F14" s="453">
        <f>SUM(F9:F13)</f>
        <v>3967218180</v>
      </c>
      <c r="G14" s="454">
        <f t="shared" si="2"/>
        <v>36.709674368766201</v>
      </c>
      <c r="H14" s="453">
        <f t="shared" ref="H14:I14" si="7">SUM(H9:H13)</f>
        <v>9773509000</v>
      </c>
      <c r="I14" s="453">
        <f t="shared" si="7"/>
        <v>6839791820</v>
      </c>
      <c r="J14" s="454">
        <f t="shared" si="4"/>
        <v>69.982969473911567</v>
      </c>
      <c r="K14" s="453">
        <f>SUM(K9:K13)</f>
        <v>2933717180</v>
      </c>
      <c r="L14" s="454">
        <f t="shared" si="6"/>
        <v>30.01703052608843</v>
      </c>
      <c r="M14" s="453">
        <f>SUM(M9:M13)</f>
        <v>423949000</v>
      </c>
      <c r="N14" s="453">
        <f>SUM(N9:N13)</f>
        <v>609552000</v>
      </c>
    </row>
    <row r="15" spans="1:15" ht="15" customHeight="1">
      <c r="A15" s="583"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ref="F15:F26" si="8">C15-D15</f>
        <v>598990240</v>
      </c>
      <c r="G15" s="167">
        <f t="shared" si="2"/>
        <v>77.900405504878279</v>
      </c>
      <c r="H15" s="115" cm="1">
        <f t="array" ref="H15">SUM(_xlfn._xlws.FILTER(SP2D[Pagu-Blokir],SP2D[Subkoordinator]=$B15,0))-H16</f>
        <v>293918000</v>
      </c>
      <c r="I15" s="115">
        <f t="shared" ref="I15:I17" si="9">D15</f>
        <v>169927760</v>
      </c>
      <c r="J15" s="167">
        <f t="shared" si="4"/>
        <v>57.814683006825028</v>
      </c>
      <c r="K15" s="115">
        <f t="shared" ref="K15:K26" si="10">H15-I15</f>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84"/>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8"/>
        <v>3633301252</v>
      </c>
      <c r="G16" s="167">
        <f t="shared" si="2"/>
        <v>42.333833405184969</v>
      </c>
      <c r="H16" s="115" cm="1">
        <f t="array" ref="H16">SUM(_xlfn._xlws.FILTER(SP2D[Pagu-Blokir],SP2D[Kegiatan]=$B16,0))</f>
        <v>8582500000</v>
      </c>
      <c r="I16" s="115">
        <f t="shared" si="9"/>
        <v>4949198748</v>
      </c>
      <c r="J16" s="167">
        <f t="shared" si="4"/>
        <v>57.666166594815024</v>
      </c>
      <c r="K16" s="115">
        <f t="shared" si="10"/>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84"/>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8"/>
        <v>511038381</v>
      </c>
      <c r="G17" s="167">
        <f t="shared" si="2"/>
        <v>80.639510234610214</v>
      </c>
      <c r="H17" s="115" cm="1">
        <f t="array" ref="H17">SUM(_xlfn._xlws.FILTER(SP2D[Pagu-Blokir],SP2D[Subkoordinator]=$B17,0))</f>
        <v>169798000</v>
      </c>
      <c r="I17" s="115">
        <f t="shared" si="9"/>
        <v>122693619</v>
      </c>
      <c r="J17" s="167">
        <f t="shared" si="4"/>
        <v>72.258577250615446</v>
      </c>
      <c r="K17" s="115">
        <f t="shared" si="10"/>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85"/>
      <c r="B18" s="525" t="s">
        <v>4688</v>
      </c>
      <c r="C18" s="453">
        <f>SUM(C15:C17)</f>
        <v>9985150000</v>
      </c>
      <c r="D18" s="453">
        <f>SUM(D15:D17)</f>
        <v>5241820127</v>
      </c>
      <c r="E18" s="454">
        <f t="shared" si="0"/>
        <v>52.496158064726117</v>
      </c>
      <c r="F18" s="453">
        <f t="shared" si="8"/>
        <v>4743329873</v>
      </c>
      <c r="G18" s="454">
        <f t="shared" si="2"/>
        <v>47.503841935273883</v>
      </c>
      <c r="H18" s="453">
        <f>SUM(H15:H17)</f>
        <v>9046216000</v>
      </c>
      <c r="I18" s="453">
        <f>SUM(I15:I17)</f>
        <v>5241820127</v>
      </c>
      <c r="J18" s="454">
        <f t="shared" si="4"/>
        <v>57.944892394786947</v>
      </c>
      <c r="K18" s="453">
        <f t="shared" si="10"/>
        <v>3804395873</v>
      </c>
      <c r="L18" s="454">
        <f t="shared" si="6"/>
        <v>42.055107605213053</v>
      </c>
      <c r="M18" s="453">
        <f t="shared" ref="M18:N18" si="11">SUM(M15:M17)</f>
        <v>0</v>
      </c>
      <c r="N18" s="453">
        <f t="shared" si="11"/>
        <v>938934000</v>
      </c>
    </row>
    <row r="19" spans="1:15" ht="15" customHeight="1">
      <c r="A19" s="583"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8"/>
        <v>315549410</v>
      </c>
      <c r="G19" s="167">
        <f t="shared" si="2"/>
        <v>66.557563805104408</v>
      </c>
      <c r="H19" s="115" cm="1">
        <f t="array" ref="H19">SUM(_xlfn._xlws.FILTER(SP2D[Pagu-Blokir],SP2D[Subkoordinator]=$B19,0))</f>
        <v>207606000</v>
      </c>
      <c r="I19" s="115">
        <f t="shared" ref="I19:I20" si="12">D19</f>
        <v>158550590</v>
      </c>
      <c r="J19" s="167">
        <f t="shared" si="4"/>
        <v>76.370909318613144</v>
      </c>
      <c r="K19" s="115">
        <f t="shared" si="10"/>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84"/>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8"/>
        <v>695573415</v>
      </c>
      <c r="G20" s="167">
        <f t="shared" si="2"/>
        <v>86.460337476693596</v>
      </c>
      <c r="H20" s="115" cm="1">
        <f t="array" ref="H20">SUM(_xlfn._xlws.FILTER(SP2D[Pagu-Blokir],SP2D[Subkoordinator]=$B20,0))</f>
        <v>164763000</v>
      </c>
      <c r="I20" s="115">
        <f t="shared" si="12"/>
        <v>108926585</v>
      </c>
      <c r="J20" s="167">
        <f t="shared" si="4"/>
        <v>66.111071660506298</v>
      </c>
      <c r="K20" s="115">
        <f t="shared" si="10"/>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85"/>
      <c r="B21" s="525" t="s">
        <v>4689</v>
      </c>
      <c r="C21" s="453">
        <f>SUM(C19:C20)</f>
        <v>1278600000</v>
      </c>
      <c r="D21" s="453">
        <f>SUM(D19:D20)</f>
        <v>267477175</v>
      </c>
      <c r="E21" s="454">
        <f t="shared" si="0"/>
        <v>20.919535038323168</v>
      </c>
      <c r="F21" s="453">
        <f t="shared" si="8"/>
        <v>1011122825</v>
      </c>
      <c r="G21" s="454">
        <f t="shared" si="2"/>
        <v>79.080464961676839</v>
      </c>
      <c r="H21" s="453">
        <f>SUM(H19:H20)</f>
        <v>372369000</v>
      </c>
      <c r="I21" s="453">
        <f>SUM(I19:I20)</f>
        <v>267477175</v>
      </c>
      <c r="J21" s="454">
        <f t="shared" si="4"/>
        <v>71.831214467369733</v>
      </c>
      <c r="K21" s="453">
        <f t="shared" si="10"/>
        <v>104891825</v>
      </c>
      <c r="L21" s="454">
        <f t="shared" si="6"/>
        <v>28.16878553263027</v>
      </c>
      <c r="M21" s="453">
        <f t="shared" ref="M21:N21" si="13">SUM(M19:M20)</f>
        <v>0</v>
      </c>
      <c r="N21" s="453">
        <f t="shared" si="13"/>
        <v>906231000</v>
      </c>
    </row>
    <row r="22" spans="1:15" ht="15" customHeight="1">
      <c r="A22" s="583"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8"/>
        <v>295247010</v>
      </c>
      <c r="G22" s="167">
        <f t="shared" si="2"/>
        <v>43.020109281655259</v>
      </c>
      <c r="H22" s="115" cm="1">
        <f t="array" ref="H22">SUM(_xlfn._xlws.FILTER(SP2D[Pagu-Blokir],SP2D[Subkoordinator]=$B22,0))</f>
        <v>686300000</v>
      </c>
      <c r="I22" s="115">
        <f t="shared" ref="I22:I23" si="14">D22</f>
        <v>391052990</v>
      </c>
      <c r="J22" s="167">
        <f t="shared" si="4"/>
        <v>56.979890718344748</v>
      </c>
      <c r="K22" s="115">
        <f t="shared" si="10"/>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84"/>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8"/>
        <v>488750782</v>
      </c>
      <c r="G23" s="167">
        <f t="shared" si="2"/>
        <v>83.532863100324732</v>
      </c>
      <c r="H23" s="115" cm="1">
        <f t="array" ref="H23">SUM(_xlfn._xlws.FILTER(SP2D[Pagu-Blokir],SP2D[Subkoordinator]=$B23,0))</f>
        <v>152457000</v>
      </c>
      <c r="I23" s="115">
        <f t="shared" si="14"/>
        <v>96349218</v>
      </c>
      <c r="J23" s="167">
        <f t="shared" si="4"/>
        <v>63.197634742911113</v>
      </c>
      <c r="K23" s="115">
        <f t="shared" si="10"/>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85"/>
      <c r="B24" s="525" t="s">
        <v>4690</v>
      </c>
      <c r="C24" s="453">
        <f>SUM(C22:C23)</f>
        <v>1271400000</v>
      </c>
      <c r="D24" s="453">
        <f>SUM(D22:D23)</f>
        <v>487402208</v>
      </c>
      <c r="E24" s="454">
        <f t="shared" si="0"/>
        <v>38.335866603743909</v>
      </c>
      <c r="F24" s="453">
        <f t="shared" si="8"/>
        <v>783997792</v>
      </c>
      <c r="G24" s="454">
        <f t="shared" si="2"/>
        <v>61.664133396256091</v>
      </c>
      <c r="H24" s="453">
        <f>SUM(H22:H23)</f>
        <v>838757000</v>
      </c>
      <c r="I24" s="453">
        <f>SUM(I22:I23)</f>
        <v>487402208</v>
      </c>
      <c r="J24" s="454">
        <f t="shared" si="4"/>
        <v>58.11006143614896</v>
      </c>
      <c r="K24" s="453">
        <f t="shared" si="10"/>
        <v>351354792</v>
      </c>
      <c r="L24" s="454">
        <f t="shared" si="6"/>
        <v>41.889938563851032</v>
      </c>
      <c r="M24" s="453">
        <f t="shared" ref="M24:N24" si="15">SUM(M22:M23)</f>
        <v>0</v>
      </c>
      <c r="N24" s="453">
        <f t="shared" si="15"/>
        <v>432643000</v>
      </c>
    </row>
    <row r="25" spans="1:15">
      <c r="A25" s="568" t="s">
        <v>3735</v>
      </c>
      <c r="B25" s="568"/>
      <c r="C25" s="446">
        <f>C14++C18+C21+C24</f>
        <v>23342160000</v>
      </c>
      <c r="D25" s="446">
        <f>D14++D18+D21+D24</f>
        <v>12836491330</v>
      </c>
      <c r="E25" s="447">
        <f t="shared" si="0"/>
        <v>54.992731306785657</v>
      </c>
      <c r="F25" s="446">
        <f t="shared" si="8"/>
        <v>10505668670</v>
      </c>
      <c r="G25" s="447">
        <f t="shared" si="2"/>
        <v>45.007268693214336</v>
      </c>
      <c r="H25" s="144">
        <f>H14++H18+H21+H24</f>
        <v>20030851000</v>
      </c>
      <c r="I25" s="144">
        <f>I14++I18+I21+I24</f>
        <v>12836491330</v>
      </c>
      <c r="J25" s="461">
        <f t="shared" si="4"/>
        <v>64.083604485900267</v>
      </c>
      <c r="K25" s="144">
        <f t="shared" si="10"/>
        <v>7194359670</v>
      </c>
      <c r="L25" s="461">
        <f t="shared" si="6"/>
        <v>35.916395514099726</v>
      </c>
      <c r="M25" s="451">
        <f t="shared" ref="M25:N25" si="16">M14++M18+M21+M24</f>
        <v>423949000</v>
      </c>
      <c r="N25" s="451">
        <f t="shared" si="16"/>
        <v>2887360000</v>
      </c>
      <c r="O25" s="159"/>
    </row>
    <row r="26" spans="1:15">
      <c r="A26" s="581" t="s">
        <v>4685</v>
      </c>
      <c r="B26" s="582"/>
      <c r="C26" s="448">
        <f>C25</f>
        <v>23342160000</v>
      </c>
      <c r="D26" s="449">
        <f>D25</f>
        <v>12836491330</v>
      </c>
      <c r="E26" s="450">
        <f t="shared" si="0"/>
        <v>54.992731306785657</v>
      </c>
      <c r="F26" s="449">
        <f t="shared" si="8"/>
        <v>10505668670</v>
      </c>
      <c r="G26" s="450">
        <f t="shared" si="2"/>
        <v>45.007268693214336</v>
      </c>
      <c r="H26" s="462">
        <f>H25</f>
        <v>20030851000</v>
      </c>
      <c r="I26" s="463">
        <f>I25</f>
        <v>12836491330</v>
      </c>
      <c r="J26" s="464">
        <f t="shared" si="4"/>
        <v>64.083604485900267</v>
      </c>
      <c r="K26" s="463">
        <f t="shared" si="10"/>
        <v>7194359670</v>
      </c>
      <c r="L26" s="464">
        <f t="shared" si="6"/>
        <v>35.916395514099726</v>
      </c>
      <c r="M26" s="552">
        <f>SUM(M25,N25)</f>
        <v>3311309000</v>
      </c>
      <c r="N26" s="553"/>
      <c r="O26" s="518"/>
    </row>
    <row r="28" spans="1:15">
      <c r="O28" s="161"/>
    </row>
    <row r="29" spans="1:15" ht="15.75">
      <c r="A29" s="328" t="s">
        <v>3885</v>
      </c>
    </row>
    <row r="30" spans="1:15" ht="14.45" customHeight="1">
      <c r="A30" s="565" t="s">
        <v>3871</v>
      </c>
      <c r="B30" s="565" t="s">
        <v>3872</v>
      </c>
      <c r="C30" s="560" t="s">
        <v>7680</v>
      </c>
      <c r="D30" s="561"/>
      <c r="E30" s="561"/>
      <c r="F30" s="561"/>
      <c r="G30" s="562"/>
      <c r="H30" s="570" t="s">
        <v>7682</v>
      </c>
      <c r="I30" s="571"/>
      <c r="J30" s="571"/>
      <c r="K30" s="571"/>
      <c r="L30" s="572"/>
      <c r="M30" s="554" t="s">
        <v>4679</v>
      </c>
      <c r="N30" s="554" t="s">
        <v>4681</v>
      </c>
    </row>
    <row r="31" spans="1:15">
      <c r="A31" s="566"/>
      <c r="B31" s="566"/>
      <c r="C31" s="563" t="s">
        <v>7681</v>
      </c>
      <c r="D31" s="560" t="s">
        <v>3732</v>
      </c>
      <c r="E31" s="562"/>
      <c r="F31" s="560" t="s">
        <v>3733</v>
      </c>
      <c r="G31" s="562"/>
      <c r="H31" s="573" t="s">
        <v>7683</v>
      </c>
      <c r="I31" s="570" t="s">
        <v>3732</v>
      </c>
      <c r="J31" s="572"/>
      <c r="K31" s="570" t="s">
        <v>3733</v>
      </c>
      <c r="L31" s="572"/>
      <c r="M31" s="555"/>
      <c r="N31" s="555"/>
    </row>
    <row r="32" spans="1:15">
      <c r="A32" s="567"/>
      <c r="B32" s="567"/>
      <c r="C32" s="564"/>
      <c r="D32" s="312" t="s">
        <v>4691</v>
      </c>
      <c r="E32" s="312" t="s">
        <v>3729</v>
      </c>
      <c r="F32" s="312" t="s">
        <v>4691</v>
      </c>
      <c r="G32" s="312" t="s">
        <v>3729</v>
      </c>
      <c r="H32" s="574"/>
      <c r="I32" s="443" t="s">
        <v>4691</v>
      </c>
      <c r="J32" s="443" t="s">
        <v>3729</v>
      </c>
      <c r="K32" s="443" t="s">
        <v>4691</v>
      </c>
      <c r="L32" s="443" t="s">
        <v>3729</v>
      </c>
      <c r="M32" s="556"/>
      <c r="N32" s="556"/>
    </row>
    <row r="33" spans="1:14">
      <c r="A33" s="146">
        <v>1</v>
      </c>
      <c r="B33" s="147" t="s">
        <v>4068</v>
      </c>
      <c r="C33" s="148">
        <f>C13</f>
        <v>6478996000</v>
      </c>
      <c r="D33" s="148">
        <f>D13</f>
        <v>4452198655</v>
      </c>
      <c r="E33" s="444">
        <f t="shared" ref="E33:E37" si="17">IFERROR(D33/C33*100,0)</f>
        <v>68.71741632499851</v>
      </c>
      <c r="F33" s="148">
        <f t="shared" ref="F33" si="18">C33-D33</f>
        <v>2026797345</v>
      </c>
      <c r="G33" s="444">
        <f t="shared" ref="G33:G37" si="19">IFERROR(F33/C33*100,0)</f>
        <v>31.282583675001497</v>
      </c>
      <c r="H33" s="148">
        <f>H13</f>
        <v>6155047000</v>
      </c>
      <c r="I33" s="148">
        <f>I13</f>
        <v>4452198655</v>
      </c>
      <c r="J33" s="444">
        <f t="shared" ref="J33:J37" si="20">IFERROR(I33/H33*100,0)</f>
        <v>72.334113045765534</v>
      </c>
      <c r="K33" s="148">
        <f t="shared" ref="K33" si="21">H33-I33</f>
        <v>1702848345</v>
      </c>
      <c r="L33" s="444">
        <f t="shared" ref="L33:L37" si="22">IFERROR(K33/H33*100,0)</f>
        <v>27.66588695423447</v>
      </c>
      <c r="M33" s="148">
        <f>M13</f>
        <v>323949000</v>
      </c>
      <c r="N33" s="148">
        <f>N13</f>
        <v>0</v>
      </c>
    </row>
    <row r="34" spans="1:14">
      <c r="A34" s="146">
        <v>2</v>
      </c>
      <c r="B34" s="147" t="s">
        <v>3873</v>
      </c>
      <c r="C34" s="148">
        <f>SUM(C35:C36)</f>
        <v>16207230000</v>
      </c>
      <c r="D34" s="148">
        <f>SUM(D35:D36)</f>
        <v>7730092675</v>
      </c>
      <c r="E34" s="444">
        <f t="shared" si="17"/>
        <v>47.695335199167282</v>
      </c>
      <c r="F34" s="148">
        <f>SUM(F35:F36)</f>
        <v>8477137325</v>
      </c>
      <c r="G34" s="444">
        <f t="shared" si="19"/>
        <v>52.304664800832711</v>
      </c>
      <c r="H34" s="148">
        <f>SUM(H35:H36)</f>
        <v>13221604000</v>
      </c>
      <c r="I34" s="148">
        <f>SUM(I35:I36)</f>
        <v>7730092675</v>
      </c>
      <c r="J34" s="444">
        <f t="shared" si="20"/>
        <v>58.465619413499304</v>
      </c>
      <c r="K34" s="148">
        <f>SUM(K35:K36)</f>
        <v>5491511325</v>
      </c>
      <c r="L34" s="444">
        <f t="shared" si="22"/>
        <v>41.534380586500703</v>
      </c>
      <c r="M34" s="148">
        <f t="shared" ref="M34:N34" si="23">SUM(M35:M36)</f>
        <v>100000000</v>
      </c>
      <c r="N34" s="148">
        <f t="shared" si="23"/>
        <v>2885626000</v>
      </c>
    </row>
    <row r="35" spans="1:14">
      <c r="A35" s="155"/>
      <c r="B35" s="151" t="s">
        <v>3874</v>
      </c>
      <c r="C35" s="152" cm="1">
        <f t="array" ref="C35">SUM(_xlfn._xlws.FILTER(SP2D[DIPA_REVISI3],SP2D[Jenis Belanja2]="Belanja Barang Operasional",0))</f>
        <v>2195658000</v>
      </c>
      <c r="D35" s="152" cm="1">
        <f t="array" ref="D35">SUM(_xlfn._xlws.FILTER(SP2D[Realisasi],SP2D[Jenis Belanja2]="Belanja Barang Operasional",0))</f>
        <v>1056379516</v>
      </c>
      <c r="E35" s="445">
        <f t="shared" si="17"/>
        <v>48.112206728005908</v>
      </c>
      <c r="F35" s="115">
        <f t="shared" ref="F35:F36" si="24">C35-D35</f>
        <v>1139278484</v>
      </c>
      <c r="G35" s="445">
        <f t="shared" si="19"/>
        <v>51.887793271994084</v>
      </c>
      <c r="H35" s="152" cm="1">
        <f t="array" ref="H35">SUM(_xlfn._xlws.FILTER(SP2D[Pagu-Blokir],SP2D[Jenis Belanja2]="Belanja Barang Operasional",0))</f>
        <v>2095658000</v>
      </c>
      <c r="I35" s="152">
        <f>D35</f>
        <v>1056379516</v>
      </c>
      <c r="J35" s="445">
        <f t="shared" si="20"/>
        <v>50.408011039969303</v>
      </c>
      <c r="K35" s="152">
        <f t="shared" ref="K35:K36" si="25">H35-I35</f>
        <v>1039278484</v>
      </c>
      <c r="L35" s="445">
        <f t="shared" si="22"/>
        <v>49.59198896003069</v>
      </c>
      <c r="M35" s="152" cm="1">
        <f t="array" ref="M35">SUM(_xlfn._xlws.FILTER(SP2D[Blokir AA ke 1],SP2D[Jenis Belanja2]="Belanja Barang Operasional",0))</f>
        <v>100000000</v>
      </c>
      <c r="N35" s="152" cm="1">
        <f t="array" ref="N35">SUM(_xlfn._xlws.FILTER(SP2D[Blokir AA ke 2],SP2D[Jenis Belanja2]="Belanja Barang Operasional",0))</f>
        <v>0</v>
      </c>
    </row>
    <row r="36" spans="1:14">
      <c r="A36" s="155"/>
      <c r="B36" s="151" t="s">
        <v>4684</v>
      </c>
      <c r="C36" s="152" cm="1">
        <f t="array" ref="C36">SUM(_xlfn._xlws.FILTER(SP2D[DIPA_REVISI3],SP2D[Jenis Belanja2]="Belanja Barang Non Operasional",0))</f>
        <v>14011572000</v>
      </c>
      <c r="D36" s="152" cm="1">
        <f t="array" ref="D36">SUM(_xlfn._xlws.FILTER(SP2D[Realisasi],SP2D[Jenis Belanja2]="Belanja Barang Non Operasional",0))</f>
        <v>6673713159</v>
      </c>
      <c r="E36" s="445">
        <f t="shared" si="17"/>
        <v>47.630010101650264</v>
      </c>
      <c r="F36" s="115">
        <f t="shared" si="24"/>
        <v>7337858841</v>
      </c>
      <c r="G36" s="445">
        <f t="shared" si="19"/>
        <v>52.369989898349736</v>
      </c>
      <c r="H36" s="152" cm="1">
        <f t="array" ref="H36">SUM(_xlfn._xlws.FILTER(SP2D[Pagu-Blokir],SP2D[Jenis Belanja2]="Belanja Barang Non Operasional",0))</f>
        <v>11125946000</v>
      </c>
      <c r="I36" s="152">
        <f>D36</f>
        <v>6673713159</v>
      </c>
      <c r="J36" s="445">
        <f t="shared" si="20"/>
        <v>59.983332284733358</v>
      </c>
      <c r="K36" s="152">
        <f t="shared" si="25"/>
        <v>4452232841</v>
      </c>
      <c r="L36" s="445">
        <f t="shared" si="22"/>
        <v>40.016667715266642</v>
      </c>
      <c r="M36" s="152" cm="1">
        <f t="array" ref="M36">SUM(_xlfn._xlws.FILTER(SP2D[Blokir AA ke 1],SP2D[Jenis Belanja2]="Belanja Barang Non Operasional",0))</f>
        <v>0</v>
      </c>
      <c r="N36" s="152" cm="1">
        <f t="array" ref="N36">SUM(_xlfn._xlws.FILTER(SP2D[Blokir AA ke 2],SP2D[Jenis Belanja2]="Belanja Barang Non Operasional",0))</f>
        <v>2885626000</v>
      </c>
    </row>
    <row r="37" spans="1:14">
      <c r="A37" s="146">
        <v>2</v>
      </c>
      <c r="B37" s="147" t="s">
        <v>3875</v>
      </c>
      <c r="C37" s="148">
        <f>C11</f>
        <v>655934000</v>
      </c>
      <c r="D37" s="148">
        <f>D11</f>
        <v>654200000</v>
      </c>
      <c r="E37" s="444">
        <f t="shared" si="17"/>
        <v>99.735644134928208</v>
      </c>
      <c r="F37" s="148">
        <f>F11</f>
        <v>1734000</v>
      </c>
      <c r="G37" s="444">
        <f t="shared" si="19"/>
        <v>0.26435586507179076</v>
      </c>
      <c r="H37" s="148">
        <f>H11</f>
        <v>654200000</v>
      </c>
      <c r="I37" s="148">
        <f>I11</f>
        <v>654200000</v>
      </c>
      <c r="J37" s="444">
        <f t="shared" si="20"/>
        <v>100</v>
      </c>
      <c r="K37" s="148">
        <f>K11</f>
        <v>0</v>
      </c>
      <c r="L37" s="444">
        <f t="shared" si="22"/>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75" t="s">
        <v>590</v>
      </c>
      <c r="B39" s="576"/>
      <c r="C39" s="455">
        <f>SUM(C33,C34,C37)</f>
        <v>23342160000</v>
      </c>
      <c r="D39" s="455">
        <f>SUM(D33,D34,D37)</f>
        <v>12836491330</v>
      </c>
      <c r="E39" s="456">
        <f t="shared" ref="E39" si="26">IFERROR(D39/C39*100,0)</f>
        <v>54.992731306785657</v>
      </c>
      <c r="F39" s="455">
        <f>SUM(F33,F34,F37)</f>
        <v>10505668670</v>
      </c>
      <c r="G39" s="456">
        <f t="shared" ref="G39" si="27">IFERROR(F39/C39*100,0)</f>
        <v>45.007268693214336</v>
      </c>
      <c r="H39" s="458">
        <f>SUM(H33,H34,H37)</f>
        <v>20030851000</v>
      </c>
      <c r="I39" s="458">
        <f>SUM(I33,I34,I37)</f>
        <v>12836491330</v>
      </c>
      <c r="J39" s="459">
        <f t="shared" ref="J39" si="28">IFERROR(I39/H39*100,0)</f>
        <v>64.083604485900267</v>
      </c>
      <c r="K39" s="458">
        <f>SUM(K33,K34,K37)</f>
        <v>7194359670</v>
      </c>
      <c r="L39" s="459">
        <f t="shared" ref="L39" si="29">IFERROR(K39/H39*100,0)</f>
        <v>35.916395514099726</v>
      </c>
      <c r="M39" s="465">
        <f>SUM(M33,M34,M37)</f>
        <v>423949000</v>
      </c>
      <c r="N39" s="465">
        <f>SUM(N33,N34,N37)</f>
        <v>2887360000</v>
      </c>
    </row>
    <row r="40" spans="1:14">
      <c r="A40" s="575" t="s">
        <v>3876</v>
      </c>
      <c r="B40" s="576"/>
      <c r="C40" s="455"/>
      <c r="D40" s="455"/>
      <c r="E40" s="455"/>
      <c r="F40" s="455"/>
      <c r="G40" s="455"/>
      <c r="H40" s="458"/>
      <c r="I40" s="458"/>
      <c r="J40" s="459"/>
      <c r="K40" s="458"/>
      <c r="L40" s="459"/>
      <c r="M40" s="465"/>
      <c r="N40" s="465"/>
    </row>
    <row r="41" spans="1:14">
      <c r="A41" s="575" t="s">
        <v>3877</v>
      </c>
      <c r="B41" s="576"/>
      <c r="C41" s="455">
        <f>C39</f>
        <v>23342160000</v>
      </c>
      <c r="D41" s="455">
        <f>D39</f>
        <v>12836491330</v>
      </c>
      <c r="E41" s="457">
        <f t="shared" ref="E41" si="30">IFERROR(D41/C41*100,0)</f>
        <v>54.992731306785657</v>
      </c>
      <c r="F41" s="455">
        <f>F39</f>
        <v>10505668670</v>
      </c>
      <c r="G41" s="457">
        <f t="shared" ref="G41" si="31">IFERROR(F41/C41*100,0)</f>
        <v>45.007268693214336</v>
      </c>
      <c r="H41" s="458">
        <f>H39</f>
        <v>20030851000</v>
      </c>
      <c r="I41" s="458">
        <f>I39</f>
        <v>12836491330</v>
      </c>
      <c r="J41" s="460">
        <f t="shared" ref="J41" si="32">IFERROR(I41/H41*100,0)</f>
        <v>64.083604485900267</v>
      </c>
      <c r="K41" s="458">
        <f>K39</f>
        <v>7194359670</v>
      </c>
      <c r="L41" s="460">
        <f t="shared" ref="L41" si="33">IFERROR(K41/H41*100,0)</f>
        <v>35.916395514099726</v>
      </c>
      <c r="M41" s="577">
        <f>SUM(M39:N39)</f>
        <v>3311309000</v>
      </c>
      <c r="N41" s="578"/>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57" t="s">
        <v>571</v>
      </c>
      <c r="B45" s="557" t="s">
        <v>500</v>
      </c>
      <c r="C45" s="560" t="s">
        <v>7680</v>
      </c>
      <c r="D45" s="561"/>
      <c r="E45" s="561"/>
      <c r="F45" s="561"/>
      <c r="G45" s="562"/>
      <c r="H45" s="570" t="s">
        <v>7682</v>
      </c>
      <c r="I45" s="571"/>
      <c r="J45" s="571"/>
      <c r="K45" s="571"/>
      <c r="L45" s="572"/>
      <c r="M45" s="554" t="s">
        <v>4679</v>
      </c>
      <c r="N45" s="554" t="s">
        <v>4681</v>
      </c>
    </row>
    <row r="46" spans="1:14">
      <c r="A46" s="558"/>
      <c r="B46" s="558"/>
      <c r="C46" s="563" t="s">
        <v>7681</v>
      </c>
      <c r="D46" s="560" t="s">
        <v>3732</v>
      </c>
      <c r="E46" s="562"/>
      <c r="F46" s="560" t="s">
        <v>3733</v>
      </c>
      <c r="G46" s="562"/>
      <c r="H46" s="573" t="s">
        <v>7683</v>
      </c>
      <c r="I46" s="570" t="s">
        <v>3732</v>
      </c>
      <c r="J46" s="572"/>
      <c r="K46" s="570" t="s">
        <v>3733</v>
      </c>
      <c r="L46" s="572"/>
      <c r="M46" s="555"/>
      <c r="N46" s="555"/>
    </row>
    <row r="47" spans="1:14">
      <c r="A47" s="559"/>
      <c r="B47" s="559"/>
      <c r="C47" s="564"/>
      <c r="D47" s="312" t="s">
        <v>4691</v>
      </c>
      <c r="E47" s="312" t="s">
        <v>3729</v>
      </c>
      <c r="F47" s="312" t="s">
        <v>4691</v>
      </c>
      <c r="G47" s="312" t="s">
        <v>3729</v>
      </c>
      <c r="H47" s="574"/>
      <c r="I47" s="443" t="s">
        <v>4691</v>
      </c>
      <c r="J47" s="443" t="s">
        <v>3729</v>
      </c>
      <c r="K47" s="443" t="s">
        <v>4691</v>
      </c>
      <c r="L47" s="443" t="s">
        <v>3729</v>
      </c>
      <c r="M47" s="556"/>
      <c r="N47" s="556"/>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4">IFERROR(D48/C48*100,0)</f>
        <v>99.999189298743417</v>
      </c>
      <c r="F48" s="115">
        <f t="shared" ref="F48:F61" si="35">C48-D48</f>
        <v>720</v>
      </c>
      <c r="G48" s="167">
        <f t="shared" ref="G48:G61" si="36">IFERROR(F48/C48*100,0)</f>
        <v>8.107012565869478E-4</v>
      </c>
      <c r="H48" s="115" cm="1">
        <f t="array" ref="H48">SUM(_xlfn._xlws.FILTER(SP2D[Pagu-Blokir],(SP2D[Subkoordinator]=$B48)*(SP2D[Status Covid]="COVID"),0))</f>
        <v>88812000</v>
      </c>
      <c r="I48" s="115">
        <f>D48</f>
        <v>88811280</v>
      </c>
      <c r="J48" s="167">
        <f>E48</f>
        <v>99.999189298743417</v>
      </c>
      <c r="K48" s="115">
        <f t="shared" ref="K48:K61" si="37">H48-I48</f>
        <v>720</v>
      </c>
      <c r="L48" s="167">
        <f t="shared" ref="L48:L61" si="38">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4"/>
        <v>0</v>
      </c>
      <c r="F49" s="115">
        <f t="shared" si="35"/>
        <v>0</v>
      </c>
      <c r="G49" s="167">
        <f t="shared" si="36"/>
        <v>0</v>
      </c>
      <c r="H49" s="115" cm="1">
        <f t="array" ref="H49">SUM(_xlfn._xlws.FILTER(SP2D[Pagu-Blokir],(SP2D[Subkoordinator]=$B49)*(SP2D[Status Covid]="COVID"),0))</f>
        <v>0</v>
      </c>
      <c r="I49" s="115">
        <f t="shared" ref="I49:J61" si="39">D49</f>
        <v>0</v>
      </c>
      <c r="J49" s="167">
        <f t="shared" si="39"/>
        <v>0</v>
      </c>
      <c r="K49" s="115">
        <f t="shared" si="37"/>
        <v>0</v>
      </c>
      <c r="L49" s="167">
        <f t="shared" si="38"/>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525" t="s">
        <v>4687</v>
      </c>
      <c r="C50" s="453">
        <f>SUM(C48:C49)</f>
        <v>88812000</v>
      </c>
      <c r="D50" s="453">
        <f t="shared" ref="D50" si="40">SUM(D48:D49)</f>
        <v>88811280</v>
      </c>
      <c r="E50" s="454">
        <f t="shared" si="34"/>
        <v>99.999189298743417</v>
      </c>
      <c r="F50" s="453">
        <f t="shared" si="35"/>
        <v>720</v>
      </c>
      <c r="G50" s="454">
        <f t="shared" si="36"/>
        <v>8.107012565869478E-4</v>
      </c>
      <c r="H50" s="453">
        <f>SUM(H48:H49)</f>
        <v>88812000</v>
      </c>
      <c r="I50" s="453">
        <f t="shared" si="39"/>
        <v>88811280</v>
      </c>
      <c r="J50" s="454">
        <f t="shared" si="39"/>
        <v>99.999189298743417</v>
      </c>
      <c r="K50" s="453">
        <f t="shared" si="37"/>
        <v>720</v>
      </c>
      <c r="L50" s="454">
        <f t="shared" si="38"/>
        <v>8.107012565869478E-4</v>
      </c>
      <c r="M50" s="453">
        <f t="shared" ref="M50:N50" si="41">SUM(M48:M49)</f>
        <v>0</v>
      </c>
      <c r="N50" s="453">
        <f t="shared" si="41"/>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4"/>
        <v>0</v>
      </c>
      <c r="F51" s="115">
        <f t="shared" si="35"/>
        <v>0</v>
      </c>
      <c r="G51" s="167">
        <f t="shared" si="36"/>
        <v>0</v>
      </c>
      <c r="H51" s="115" cm="1">
        <f t="array" ref="H51">SUM(_xlfn._xlws.FILTER(SP2D[Pagu-Blokir],(SP2D[Subkoordinator]=$B51)*(SP2D[Status Covid]="COVID"),0))</f>
        <v>0</v>
      </c>
      <c r="I51" s="115">
        <f t="shared" si="39"/>
        <v>0</v>
      </c>
      <c r="J51" s="167">
        <f t="shared" si="39"/>
        <v>0</v>
      </c>
      <c r="K51" s="115">
        <f t="shared" si="37"/>
        <v>0</v>
      </c>
      <c r="L51" s="167">
        <f t="shared" si="38"/>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4"/>
        <v>0</v>
      </c>
      <c r="F52" s="115">
        <f t="shared" si="35"/>
        <v>0</v>
      </c>
      <c r="G52" s="167">
        <f t="shared" si="36"/>
        <v>0</v>
      </c>
      <c r="H52" s="115" cm="1">
        <f t="array" ref="H52">SUM(_xlfn._xlws.FILTER(SP2D[Pagu-Blokir],(SP2D[Subkoordinator]=$B52)*(SP2D[Status Covid]="COVID"),0))</f>
        <v>0</v>
      </c>
      <c r="I52" s="115">
        <f t="shared" si="39"/>
        <v>0</v>
      </c>
      <c r="J52" s="167">
        <f t="shared" si="39"/>
        <v>0</v>
      </c>
      <c r="K52" s="115">
        <f t="shared" si="37"/>
        <v>0</v>
      </c>
      <c r="L52" s="167">
        <f t="shared" si="38"/>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525" t="s">
        <v>4688</v>
      </c>
      <c r="C53" s="453">
        <f t="shared" ref="C53:N53" si="42">SUM(C51:C52)</f>
        <v>0</v>
      </c>
      <c r="D53" s="453">
        <f t="shared" si="42"/>
        <v>0</v>
      </c>
      <c r="E53" s="454">
        <f t="shared" si="34"/>
        <v>0</v>
      </c>
      <c r="F53" s="453">
        <f t="shared" si="35"/>
        <v>0</v>
      </c>
      <c r="G53" s="454">
        <f t="shared" si="36"/>
        <v>0</v>
      </c>
      <c r="H53" s="453">
        <f t="shared" ref="H53" si="43">SUM(H51:H52)</f>
        <v>0</v>
      </c>
      <c r="I53" s="453">
        <f t="shared" si="39"/>
        <v>0</v>
      </c>
      <c r="J53" s="454">
        <f t="shared" si="39"/>
        <v>0</v>
      </c>
      <c r="K53" s="453">
        <f t="shared" si="37"/>
        <v>0</v>
      </c>
      <c r="L53" s="454">
        <f t="shared" si="38"/>
        <v>0</v>
      </c>
      <c r="M53" s="453">
        <f t="shared" si="42"/>
        <v>0</v>
      </c>
      <c r="N53" s="453">
        <f t="shared" si="42"/>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4"/>
        <v>0</v>
      </c>
      <c r="F54" s="115">
        <f t="shared" si="35"/>
        <v>0</v>
      </c>
      <c r="G54" s="167">
        <f t="shared" si="36"/>
        <v>0</v>
      </c>
      <c r="H54" s="115" cm="1">
        <f t="array" ref="H54">SUM(_xlfn._xlws.FILTER(SP2D[Pagu-Blokir],(SP2D[Subkoordinator]=$B54)*(SP2D[Status Covid]="COVID"),0))</f>
        <v>0</v>
      </c>
      <c r="I54" s="115">
        <f t="shared" si="39"/>
        <v>0</v>
      </c>
      <c r="J54" s="167">
        <f t="shared" si="39"/>
        <v>0</v>
      </c>
      <c r="K54" s="115">
        <f t="shared" si="37"/>
        <v>0</v>
      </c>
      <c r="L54" s="167">
        <f t="shared" si="38"/>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4"/>
        <v>0</v>
      </c>
      <c r="F55" s="115">
        <f t="shared" si="35"/>
        <v>0</v>
      </c>
      <c r="G55" s="167">
        <f t="shared" si="36"/>
        <v>0</v>
      </c>
      <c r="H55" s="115" cm="1">
        <f t="array" ref="H55">SUM(_xlfn._xlws.FILTER(SP2D[Pagu-Blokir],(SP2D[Subkoordinator]=$B55)*(SP2D[Status Covid]="COVID"),0))</f>
        <v>0</v>
      </c>
      <c r="I55" s="115">
        <f t="shared" si="39"/>
        <v>0</v>
      </c>
      <c r="J55" s="167">
        <f t="shared" si="39"/>
        <v>0</v>
      </c>
      <c r="K55" s="115">
        <f t="shared" si="37"/>
        <v>0</v>
      </c>
      <c r="L55" s="167">
        <f t="shared" si="38"/>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525" t="s">
        <v>4689</v>
      </c>
      <c r="C56" s="453">
        <f t="shared" ref="C56:N56" si="44">SUM(C54:C55)</f>
        <v>0</v>
      </c>
      <c r="D56" s="453">
        <f t="shared" si="44"/>
        <v>0</v>
      </c>
      <c r="E56" s="454">
        <f t="shared" si="34"/>
        <v>0</v>
      </c>
      <c r="F56" s="453">
        <f t="shared" si="35"/>
        <v>0</v>
      </c>
      <c r="G56" s="454">
        <f t="shared" si="36"/>
        <v>0</v>
      </c>
      <c r="H56" s="453">
        <f t="shared" ref="H56" si="45">SUM(H54:H55)</f>
        <v>0</v>
      </c>
      <c r="I56" s="453">
        <f t="shared" si="39"/>
        <v>0</v>
      </c>
      <c r="J56" s="454">
        <f t="shared" si="39"/>
        <v>0</v>
      </c>
      <c r="K56" s="453">
        <f t="shared" si="37"/>
        <v>0</v>
      </c>
      <c r="L56" s="454">
        <f t="shared" si="38"/>
        <v>0</v>
      </c>
      <c r="M56" s="453">
        <f t="shared" si="44"/>
        <v>0</v>
      </c>
      <c r="N56" s="453">
        <f t="shared" si="44"/>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4"/>
        <v>4.5625</v>
      </c>
      <c r="F57" s="115">
        <f t="shared" si="35"/>
        <v>7635000</v>
      </c>
      <c r="G57" s="167">
        <f t="shared" si="36"/>
        <v>95.4375</v>
      </c>
      <c r="H57" s="115" cm="1">
        <f t="array" ref="H57">SUM(_xlfn._xlws.FILTER(SP2D[Pagu-Blokir],(SP2D[Subkoordinator]=$B57)*(SP2D[Status Covid]="COVID"),0))</f>
        <v>8000000</v>
      </c>
      <c r="I57" s="115">
        <f t="shared" si="39"/>
        <v>365000</v>
      </c>
      <c r="J57" s="167">
        <f t="shared" si="39"/>
        <v>4.5625</v>
      </c>
      <c r="K57" s="115">
        <f t="shared" si="37"/>
        <v>7635000</v>
      </c>
      <c r="L57" s="167">
        <f t="shared" si="38"/>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4"/>
        <v>0</v>
      </c>
      <c r="F58" s="115">
        <f t="shared" si="35"/>
        <v>0</v>
      </c>
      <c r="G58" s="167">
        <f t="shared" si="36"/>
        <v>0</v>
      </c>
      <c r="H58" s="115" cm="1">
        <f t="array" ref="H58">SUM(_xlfn._xlws.FILTER(SP2D[Pagu-Blokir],(SP2D[Subkoordinator]=$B58)*(SP2D[Status Covid]="COVID"),0))</f>
        <v>0</v>
      </c>
      <c r="I58" s="115">
        <f t="shared" si="39"/>
        <v>0</v>
      </c>
      <c r="J58" s="167">
        <f t="shared" si="39"/>
        <v>0</v>
      </c>
      <c r="K58" s="115">
        <f t="shared" si="37"/>
        <v>0</v>
      </c>
      <c r="L58" s="167">
        <f t="shared" si="38"/>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525" t="s">
        <v>4690</v>
      </c>
      <c r="C59" s="453">
        <f t="shared" ref="C59:N59" si="46">SUM(C57:C58)</f>
        <v>8000000</v>
      </c>
      <c r="D59" s="453">
        <f t="shared" si="46"/>
        <v>365000</v>
      </c>
      <c r="E59" s="454">
        <f t="shared" si="34"/>
        <v>4.5625</v>
      </c>
      <c r="F59" s="453">
        <f t="shared" si="35"/>
        <v>7635000</v>
      </c>
      <c r="G59" s="454">
        <f t="shared" si="36"/>
        <v>95.4375</v>
      </c>
      <c r="H59" s="453">
        <f t="shared" ref="H59" si="47">SUM(H57:H58)</f>
        <v>8000000</v>
      </c>
      <c r="I59" s="453">
        <f t="shared" si="39"/>
        <v>365000</v>
      </c>
      <c r="J59" s="454">
        <f t="shared" si="39"/>
        <v>4.5625</v>
      </c>
      <c r="K59" s="453">
        <f t="shared" si="37"/>
        <v>7635000</v>
      </c>
      <c r="L59" s="454">
        <f t="shared" si="38"/>
        <v>95.4375</v>
      </c>
      <c r="M59" s="453">
        <f t="shared" si="46"/>
        <v>0</v>
      </c>
      <c r="N59" s="453">
        <f t="shared" si="46"/>
        <v>0</v>
      </c>
    </row>
    <row r="60" spans="1:14">
      <c r="A60" s="568" t="s">
        <v>3735</v>
      </c>
      <c r="B60" s="568"/>
      <c r="C60" s="446">
        <f>C50+C53+C56+C59</f>
        <v>96812000</v>
      </c>
      <c r="D60" s="446">
        <f>D50+D53+D56+D59</f>
        <v>89176280</v>
      </c>
      <c r="E60" s="447">
        <f t="shared" si="34"/>
        <v>92.112837251580387</v>
      </c>
      <c r="F60" s="446">
        <f t="shared" si="35"/>
        <v>7635720</v>
      </c>
      <c r="G60" s="447">
        <f t="shared" si="36"/>
        <v>7.887162748419617</v>
      </c>
      <c r="H60" s="144">
        <f>H50+H53+H56+H59</f>
        <v>96812000</v>
      </c>
      <c r="I60" s="144">
        <f t="shared" si="39"/>
        <v>89176280</v>
      </c>
      <c r="J60" s="461">
        <f t="shared" si="39"/>
        <v>92.112837251580387</v>
      </c>
      <c r="K60" s="144">
        <f t="shared" si="37"/>
        <v>7635720</v>
      </c>
      <c r="L60" s="461">
        <f t="shared" si="38"/>
        <v>7.887162748419617</v>
      </c>
      <c r="M60" s="451">
        <f t="shared" ref="M60:N60" si="48">M50+M53+M56+M59</f>
        <v>0</v>
      </c>
      <c r="N60" s="451">
        <f t="shared" si="48"/>
        <v>0</v>
      </c>
    </row>
    <row r="61" spans="1:14">
      <c r="A61" s="568" t="s">
        <v>4685</v>
      </c>
      <c r="B61" s="568"/>
      <c r="C61" s="448">
        <f>C60</f>
        <v>96812000</v>
      </c>
      <c r="D61" s="448">
        <f>D60</f>
        <v>89176280</v>
      </c>
      <c r="E61" s="466">
        <f t="shared" si="34"/>
        <v>92.112837251580387</v>
      </c>
      <c r="F61" s="448">
        <f t="shared" si="35"/>
        <v>7635720</v>
      </c>
      <c r="G61" s="466">
        <f t="shared" si="36"/>
        <v>7.887162748419617</v>
      </c>
      <c r="H61" s="462">
        <f>H60</f>
        <v>96812000</v>
      </c>
      <c r="I61" s="462">
        <f t="shared" si="39"/>
        <v>89176280</v>
      </c>
      <c r="J61" s="467">
        <f t="shared" si="39"/>
        <v>92.112837251580387</v>
      </c>
      <c r="K61" s="462">
        <f t="shared" si="37"/>
        <v>7635720</v>
      </c>
      <c r="L61" s="467">
        <f t="shared" si="38"/>
        <v>7.887162748419617</v>
      </c>
      <c r="M61" s="550">
        <f>SUM(M60:N60)</f>
        <v>0</v>
      </c>
      <c r="N61" s="551"/>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86" t="str">
        <f>IF(L8=TRUE,"REALISASI TANPA GAJI (BERDASARKAN PAGU SEBELUM BLOKIR)","REALISASI TANPA GAJI (BERDASARKAN PAGU SETELAH BLOKIR)")</f>
        <v>REALISASI TANPA GAJI (BERDASARKAN PAGU SETELAH BLOKIR)</v>
      </c>
      <c r="B1" s="586"/>
      <c r="C1" s="586"/>
      <c r="D1" s="586"/>
      <c r="E1" s="586"/>
      <c r="F1" s="586"/>
      <c r="G1" s="586"/>
      <c r="H1" s="586"/>
      <c r="I1" s="586"/>
      <c r="J1" s="586"/>
      <c r="L1" s="326" t="s">
        <v>4686</v>
      </c>
    </row>
    <row r="2" spans="1:13" ht="15.75">
      <c r="A2" s="580" t="str">
        <f>'PER BULAN'!B5</f>
        <v>Berdasarkan DIPA Revisi 3 TA. 2022 (Tanggal 13 Juli 2022)</v>
      </c>
      <c r="B2" s="580"/>
      <c r="C2" s="580"/>
      <c r="D2" s="580"/>
      <c r="E2" s="580"/>
      <c r="F2" s="580"/>
      <c r="G2" s="580"/>
      <c r="H2" s="580"/>
      <c r="I2" s="580"/>
      <c r="J2" s="580"/>
    </row>
    <row r="3" spans="1:13" ht="15.75">
      <c r="A3" s="580" t="str">
        <f>'PER BULAN'!B6</f>
        <v>SAMPAI DENGAN 1 SEPTEMBER 2022</v>
      </c>
      <c r="B3" s="580"/>
      <c r="C3" s="580"/>
      <c r="D3" s="580"/>
      <c r="E3" s="580"/>
      <c r="F3" s="580"/>
      <c r="G3" s="580"/>
      <c r="H3" s="580"/>
      <c r="I3" s="580"/>
      <c r="J3" s="580"/>
    </row>
    <row r="4" spans="1:13">
      <c r="A4" s="145"/>
      <c r="B4" s="145"/>
      <c r="C4" s="145"/>
      <c r="D4" s="260"/>
      <c r="E4" s="300"/>
      <c r="F4" s="300"/>
      <c r="G4" s="145"/>
      <c r="H4" s="145"/>
      <c r="I4" s="145"/>
      <c r="J4" s="192"/>
    </row>
    <row r="5" spans="1:13" ht="15.75">
      <c r="A5" s="328" t="s">
        <v>3878</v>
      </c>
    </row>
    <row r="6" spans="1:13">
      <c r="A6" s="589" t="s">
        <v>571</v>
      </c>
      <c r="B6" s="589" t="s">
        <v>500</v>
      </c>
      <c r="C6" s="589" t="s">
        <v>4682</v>
      </c>
      <c r="D6" s="589" t="s">
        <v>4679</v>
      </c>
      <c r="E6" s="589" t="s">
        <v>4681</v>
      </c>
      <c r="F6" s="589" t="s">
        <v>4683</v>
      </c>
      <c r="G6" s="590" t="str">
        <f>IF($L$8=TRUE,"Realisasi vs Pagu+Blokir","Realisasi vs Pagu-Blokir")</f>
        <v>Realisasi vs Pagu-Blokir</v>
      </c>
      <c r="H6" s="590"/>
      <c r="I6" s="590" t="str">
        <f>IF($L$8=TRUE,"Sisa vs Pagu+Blokir","Sisa vs Pagu-Blokir")</f>
        <v>Sisa vs Pagu-Blokir</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8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1056379516</v>
      </c>
      <c r="H9" s="318">
        <f t="shared" ref="H9:H24" si="1">IFERROR(IF($L$8=TRUE,G9/C9*100,G9/F9*100),0)</f>
        <v>50.408011039969303</v>
      </c>
      <c r="I9" s="115">
        <f t="shared" ref="I9:I24" si="2">IF($L$8=TRUE,C9-G9,F9-G9)</f>
        <v>1039278484</v>
      </c>
      <c r="J9" s="202">
        <f t="shared" ref="J9:J24" si="3">IFERROR(IF($L$8=TRUE,I9/C9*100,I9/F9*100),0)</f>
        <v>49.59198896003069</v>
      </c>
    </row>
    <row r="10" spans="1:13">
      <c r="A10" s="584"/>
      <c r="B10" s="139" t="s">
        <v>43</v>
      </c>
      <c r="C10" s="115" cm="1">
        <f t="array" ref="C10">SUM(_xlfn._xlws.FILTER(SP2D[DIPA_REVISI3],SP2D[Jenis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f t="shared" si="0"/>
        <v>654200000</v>
      </c>
      <c r="G10" s="115" cm="1">
        <f t="array" ref="G10">SUM(_xlfn._xlws.FILTER(SP2D[Realisasi],SP2D[Jenis Belanja2]="Belanja Modal",0))</f>
        <v>654200000</v>
      </c>
      <c r="H10" s="318">
        <f t="shared" si="1"/>
        <v>100</v>
      </c>
      <c r="I10" s="115">
        <f t="shared" si="2"/>
        <v>0</v>
      </c>
      <c r="J10" s="313">
        <f t="shared" si="3"/>
        <v>0</v>
      </c>
    </row>
    <row r="11" spans="1:13">
      <c r="A11" s="58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85"/>
      <c r="B12" s="223" t="s">
        <v>4687</v>
      </c>
      <c r="C12" s="138">
        <f>SUM(C8:C11)</f>
        <v>4328014000</v>
      </c>
      <c r="D12" s="138">
        <f>SUM(D8:D11)</f>
        <v>100000000</v>
      </c>
      <c r="E12" s="138">
        <f>SUM(E8:E11)</f>
        <v>609552000</v>
      </c>
      <c r="F12" s="138">
        <f>SUM(F8:F11)</f>
        <v>3618462000</v>
      </c>
      <c r="G12" s="138">
        <f>SUM(G8:G11)</f>
        <v>2387593165</v>
      </c>
      <c r="H12" s="319">
        <f t="shared" si="1"/>
        <v>65.983646228701588</v>
      </c>
      <c r="I12" s="138">
        <f t="shared" si="2"/>
        <v>1230868835</v>
      </c>
      <c r="J12" s="203">
        <f t="shared" si="3"/>
        <v>34.016353771298412</v>
      </c>
      <c r="K12" s="133"/>
    </row>
    <row r="13" spans="1:13" ht="15" customHeight="1">
      <c r="A13" s="583"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84"/>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4949198748</v>
      </c>
      <c r="H14" s="318">
        <f t="shared" si="1"/>
        <v>57.666166594815024</v>
      </c>
      <c r="I14" s="115">
        <f t="shared" si="2"/>
        <v>3633301252</v>
      </c>
      <c r="J14" s="202">
        <f t="shared" si="3"/>
        <v>42.333833405184969</v>
      </c>
      <c r="M14" s="161"/>
    </row>
    <row r="15" spans="1:13">
      <c r="A15" s="584"/>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85"/>
      <c r="B16" s="223" t="s">
        <v>4688</v>
      </c>
      <c r="C16" s="138">
        <f>SUM(C13:C15)</f>
        <v>9985150000</v>
      </c>
      <c r="D16" s="138">
        <f t="shared" ref="D16:E16" si="5">SUM(D13:D15)</f>
        <v>0</v>
      </c>
      <c r="E16" s="138">
        <f t="shared" si="5"/>
        <v>938934000</v>
      </c>
      <c r="F16" s="138">
        <f>SUM(F13:F15)</f>
        <v>9046216000</v>
      </c>
      <c r="G16" s="138">
        <f>SUM(G13:G15)</f>
        <v>5241820127</v>
      </c>
      <c r="H16" s="319">
        <f t="shared" si="1"/>
        <v>57.944892394786947</v>
      </c>
      <c r="I16" s="138">
        <f t="shared" si="2"/>
        <v>3804395873</v>
      </c>
      <c r="J16" s="203">
        <f t="shared" si="3"/>
        <v>42.055107605213053</v>
      </c>
    </row>
    <row r="17" spans="1:13" ht="15" customHeight="1">
      <c r="A17" s="583"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158550590</v>
      </c>
      <c r="H17" s="318">
        <f t="shared" si="1"/>
        <v>76.370909318613144</v>
      </c>
      <c r="I17" s="115">
        <f t="shared" si="2"/>
        <v>49055410</v>
      </c>
      <c r="J17" s="202">
        <f t="shared" si="3"/>
        <v>23.62909068138686</v>
      </c>
    </row>
    <row r="18" spans="1:13">
      <c r="A18" s="584"/>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108926585</v>
      </c>
      <c r="H18" s="318">
        <f t="shared" si="1"/>
        <v>66.111071660506298</v>
      </c>
      <c r="I18" s="115">
        <f t="shared" si="2"/>
        <v>55836415</v>
      </c>
      <c r="J18" s="202">
        <f t="shared" si="3"/>
        <v>33.888928339493695</v>
      </c>
      <c r="M18" s="161"/>
    </row>
    <row r="19" spans="1:13">
      <c r="A19" s="585"/>
      <c r="B19" s="223" t="s">
        <v>4689</v>
      </c>
      <c r="C19" s="138">
        <f>SUM(C17:C18)</f>
        <v>1278600000</v>
      </c>
      <c r="D19" s="138">
        <f t="shared" ref="D19:E19" si="7">SUM(D17:D18)</f>
        <v>0</v>
      </c>
      <c r="E19" s="138">
        <f t="shared" si="7"/>
        <v>906231000</v>
      </c>
      <c r="F19" s="138">
        <f>SUM(F17:F18)</f>
        <v>372369000</v>
      </c>
      <c r="G19" s="138">
        <f>SUM(G17:G18)</f>
        <v>267477175</v>
      </c>
      <c r="H19" s="319">
        <f t="shared" si="1"/>
        <v>71.831214467369733</v>
      </c>
      <c r="I19" s="138">
        <f t="shared" si="2"/>
        <v>104891825</v>
      </c>
      <c r="J19" s="203">
        <f t="shared" si="3"/>
        <v>28.16878553263027</v>
      </c>
    </row>
    <row r="20" spans="1:13" ht="15" customHeight="1">
      <c r="A20" s="583"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391052990</v>
      </c>
      <c r="H20" s="318">
        <f t="shared" si="1"/>
        <v>56.979890718344748</v>
      </c>
      <c r="I20" s="115">
        <f t="shared" si="2"/>
        <v>295247010</v>
      </c>
      <c r="J20" s="202">
        <f t="shared" si="3"/>
        <v>43.020109281655259</v>
      </c>
    </row>
    <row r="21" spans="1:13">
      <c r="A21" s="584"/>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85"/>
      <c r="B22" s="223" t="s">
        <v>4690</v>
      </c>
      <c r="C22" s="138">
        <f>SUM(C20:C21)</f>
        <v>1271400000</v>
      </c>
      <c r="D22" s="138">
        <f t="shared" ref="D22:E22" si="9">SUM(D20:D21)</f>
        <v>0</v>
      </c>
      <c r="E22" s="138">
        <f t="shared" si="9"/>
        <v>432643000</v>
      </c>
      <c r="F22" s="138">
        <f>SUM(F20:F21)</f>
        <v>838757000</v>
      </c>
      <c r="G22" s="138">
        <f>SUM(G20:G21)</f>
        <v>487402208</v>
      </c>
      <c r="H22" s="319">
        <f t="shared" si="1"/>
        <v>58.11006143614896</v>
      </c>
      <c r="I22" s="138">
        <f t="shared" si="2"/>
        <v>351354792</v>
      </c>
      <c r="J22" s="203">
        <f t="shared" si="3"/>
        <v>41.889938563851032</v>
      </c>
    </row>
    <row r="23" spans="1:13">
      <c r="A23" s="587" t="s">
        <v>3735</v>
      </c>
      <c r="B23" s="587"/>
      <c r="C23" s="122">
        <f>C12++C16+C19+C22</f>
        <v>16863164000</v>
      </c>
      <c r="D23" s="122">
        <f t="shared" ref="D23:E23" si="10">D12++D16+D19+D22</f>
        <v>100000000</v>
      </c>
      <c r="E23" s="122">
        <f t="shared" si="10"/>
        <v>2887360000</v>
      </c>
      <c r="F23" s="122">
        <f>F12++F16+F19+F22</f>
        <v>13875804000</v>
      </c>
      <c r="G23" s="122">
        <f>G12++G16+G19+G22</f>
        <v>8384292675</v>
      </c>
      <c r="H23" s="320">
        <f t="shared" si="1"/>
        <v>60.423833278417597</v>
      </c>
      <c r="I23" s="122">
        <f t="shared" si="2"/>
        <v>5491511325</v>
      </c>
      <c r="J23" s="204">
        <f t="shared" si="3"/>
        <v>39.576166721582403</v>
      </c>
      <c r="M23" s="159"/>
    </row>
    <row r="24" spans="1:13">
      <c r="A24" s="595" t="s">
        <v>4685</v>
      </c>
      <c r="B24" s="596"/>
      <c r="C24" s="310">
        <f>C23</f>
        <v>16863164000</v>
      </c>
      <c r="D24" s="597">
        <f>SUM(D23,E23)</f>
        <v>2987360000</v>
      </c>
      <c r="E24" s="598"/>
      <c r="F24" s="310">
        <f>F23</f>
        <v>13875804000</v>
      </c>
      <c r="G24" s="122">
        <f>G23</f>
        <v>8384292675</v>
      </c>
      <c r="H24" s="320">
        <f t="shared" si="1"/>
        <v>60.423833278417597</v>
      </c>
      <c r="I24" s="122">
        <f t="shared" si="2"/>
        <v>5491511325</v>
      </c>
      <c r="J24" s="204">
        <f t="shared" si="3"/>
        <v>39.576166721582403</v>
      </c>
      <c r="M24" s="161"/>
    </row>
    <row r="26" spans="1:13">
      <c r="J26" s="208"/>
    </row>
    <row r="27" spans="1:13" ht="15.75">
      <c r="A27" s="328" t="s">
        <v>3885</v>
      </c>
    </row>
    <row r="28" spans="1:13" ht="14.45" customHeight="1">
      <c r="A28" s="593" t="s">
        <v>3871</v>
      </c>
      <c r="B28" s="593" t="s">
        <v>3872</v>
      </c>
      <c r="C28" s="593" t="s">
        <v>4682</v>
      </c>
      <c r="D28" s="599" t="s">
        <v>4679</v>
      </c>
      <c r="E28" s="599" t="s">
        <v>4681</v>
      </c>
      <c r="F28" s="593" t="s">
        <v>4683</v>
      </c>
      <c r="G28" s="590" t="str">
        <f>IF($L$8=TRUE,"Realisasi vs Pagu+Blokir","Realisasi vs Pagu-Blokir")</f>
        <v>Realisasi vs Pagu-Blokir</v>
      </c>
      <c r="H28" s="590"/>
      <c r="I28" s="590" t="str">
        <f>IF($L$8=TRUE,"Sisa vs Pagu+Blokir","Sisa vs Pagu-Blokir")</f>
        <v>Sisa vs Pagu-Blokir</v>
      </c>
      <c r="J28" s="590"/>
    </row>
    <row r="29" spans="1:13">
      <c r="A29" s="594"/>
      <c r="B29" s="594"/>
      <c r="C29" s="594"/>
      <c r="D29" s="600"/>
      <c r="E29" s="600"/>
      <c r="F29" s="594"/>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7730092675</v>
      </c>
      <c r="H30" s="149">
        <f t="shared" ref="H30:H37" si="12">IFERROR(IF($L$8=TRUE,G30/C30*100,G30/F30*100),0)</f>
        <v>58.465619413499304</v>
      </c>
      <c r="I30" s="150">
        <f t="shared" ref="I30:I37" si="13">IF($L$8=TRUE,C30-G30,F30-G30)</f>
        <v>5491511325</v>
      </c>
      <c r="J30" s="149">
        <f t="shared" ref="J30:J37" si="14">IFERROR(IF($L$8=TRUE,I30/C30*100,I30/F30*100),0)</f>
        <v>41.534380586500703</v>
      </c>
    </row>
    <row r="31" spans="1:13">
      <c r="A31" s="155"/>
      <c r="B31" s="151" t="s">
        <v>3874</v>
      </c>
      <c r="C31" s="152" cm="1">
        <f t="array" ref="C31">SUM(_xlfn._xlws.FILTER(SP2D[DIPA_REVISI3],SP2D[Jenis Belanja2]="Belanja Barang Operasional",0))</f>
        <v>2195658000</v>
      </c>
      <c r="D31" s="152" cm="1">
        <f t="array" ref="D31">SUM(_xlfn._xlws.FILTER(SP2D[Blokir AA ke 1],SP2D[Jenis Belanja2]="Belanja Barang Operasional",0))</f>
        <v>100000000</v>
      </c>
      <c r="E31" s="152" cm="1">
        <f t="array" ref="E31">SUM(_xlfn._xlws.FILTER(SP2D[Blokir AA ke 2],SP2D[Jenis Belanja2]="Belanja Barang Operasional",0))</f>
        <v>0</v>
      </c>
      <c r="F31" s="152">
        <f t="shared" ref="F31:F32" si="15">C31-SUM(D31:E31)</f>
        <v>2095658000</v>
      </c>
      <c r="G31" s="152" cm="1">
        <f t="array" ref="G31">SUM(_xlfn._xlws.FILTER(SP2D[Realisasi],SP2D[Jenis Belanja2]="Belanja Barang Operasional",0))</f>
        <v>1056379516</v>
      </c>
      <c r="H31" s="153">
        <f t="shared" si="12"/>
        <v>50.408011039969303</v>
      </c>
      <c r="I31" s="154">
        <f t="shared" si="13"/>
        <v>1039278484</v>
      </c>
      <c r="J31" s="153">
        <f t="shared" si="14"/>
        <v>49.59198896003069</v>
      </c>
    </row>
    <row r="32" spans="1:13">
      <c r="A32" s="155"/>
      <c r="B32" s="151" t="s">
        <v>4684</v>
      </c>
      <c r="C32" s="152" cm="1">
        <f t="array" ref="C32">SUM(_xlfn._xlws.FILTER(SP2D[DIPA_REVISI3],SP2D[Jenis Belanja2]="Belanja Barang Non Operasional",0))</f>
        <v>14011572000</v>
      </c>
      <c r="D32" s="152" cm="1">
        <f t="array" ref="D32">SUM(_xlfn._xlws.FILTER(SP2D[Blokir AA ke 1],SP2D[Jenis Belanja2]="Belanja Barang Non Operasional",0))</f>
        <v>0</v>
      </c>
      <c r="E32" s="152" cm="1">
        <f t="array" ref="E32">SUM(_xlfn._xlws.FILTER(SP2D[Blokir AA ke 2],SP2D[Jenis Belanja2]="Belanja Barang Non Operasional",0))</f>
        <v>2885626000</v>
      </c>
      <c r="F32" s="152">
        <f t="shared" si="15"/>
        <v>11125946000</v>
      </c>
      <c r="G32" s="152">
        <f>G11+G13+G14+G15+G17+G18+G20+G21+G8</f>
        <v>6673713159</v>
      </c>
      <c r="H32" s="153">
        <f t="shared" si="12"/>
        <v>59.983332284733358</v>
      </c>
      <c r="I32" s="154">
        <f t="shared" si="13"/>
        <v>4452232841</v>
      </c>
      <c r="J32" s="153">
        <f t="shared" si="14"/>
        <v>40.016667715266642</v>
      </c>
    </row>
    <row r="33" spans="1:12">
      <c r="A33" s="146">
        <v>2</v>
      </c>
      <c r="B33" s="147" t="s">
        <v>3875</v>
      </c>
      <c r="C33" s="148">
        <f>C10</f>
        <v>655934000</v>
      </c>
      <c r="D33" s="148">
        <f>D10</f>
        <v>0</v>
      </c>
      <c r="E33" s="148">
        <f>E10</f>
        <v>1734000</v>
      </c>
      <c r="F33" s="148">
        <f>F10</f>
        <v>654200000</v>
      </c>
      <c r="G33" s="148" cm="1">
        <f t="array" ref="G33">SUM(_xlfn._xlws.FILTER(SP2D[Realisasi],SP2D[Jenis Belanja2]="Belanja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91" t="s">
        <v>590</v>
      </c>
      <c r="B35" s="592"/>
      <c r="C35" s="157">
        <f>SUM(C30,C33)</f>
        <v>16863164000</v>
      </c>
      <c r="D35" s="157">
        <f t="shared" ref="D35:E35" si="16">SUM(D30,D33)</f>
        <v>100000000</v>
      </c>
      <c r="E35" s="157">
        <f t="shared" si="16"/>
        <v>2887360000</v>
      </c>
      <c r="F35" s="157">
        <f>SUM(F30,F33)</f>
        <v>13875804000</v>
      </c>
      <c r="G35" s="157">
        <f>SUM(G30,G33)</f>
        <v>8384292675</v>
      </c>
      <c r="H35" s="158">
        <f t="shared" si="12"/>
        <v>60.423833278417597</v>
      </c>
      <c r="I35" s="157">
        <f t="shared" si="13"/>
        <v>5491511325</v>
      </c>
      <c r="J35" s="158">
        <f t="shared" si="14"/>
        <v>39.576166721582403</v>
      </c>
    </row>
    <row r="36" spans="1:12">
      <c r="A36" s="591" t="s">
        <v>3876</v>
      </c>
      <c r="B36" s="592"/>
      <c r="C36" s="157"/>
      <c r="D36" s="157"/>
      <c r="E36" s="157"/>
      <c r="F36" s="157"/>
      <c r="G36" s="157"/>
      <c r="H36" s="158"/>
      <c r="I36" s="157"/>
      <c r="J36" s="158"/>
    </row>
    <row r="37" spans="1:12">
      <c r="A37" s="591" t="s">
        <v>3877</v>
      </c>
      <c r="B37" s="592"/>
      <c r="C37" s="157">
        <f>C35</f>
        <v>16863164000</v>
      </c>
      <c r="D37" s="601">
        <f>SUM(D35:E35)</f>
        <v>2987360000</v>
      </c>
      <c r="E37" s="602"/>
      <c r="F37" s="157">
        <f>F35</f>
        <v>13875804000</v>
      </c>
      <c r="G37" s="157">
        <f>G35-G36</f>
        <v>8384292675</v>
      </c>
      <c r="H37" s="158">
        <f t="shared" si="12"/>
        <v>60.423833278417597</v>
      </c>
      <c r="I37" s="157">
        <f t="shared" si="13"/>
        <v>5491511325</v>
      </c>
      <c r="J37" s="158">
        <f t="shared" si="14"/>
        <v>39.576166721582403</v>
      </c>
    </row>
    <row r="38" spans="1:12" s="279" customFormat="1">
      <c r="A38" s="314"/>
      <c r="B38" s="314"/>
      <c r="C38" s="315"/>
      <c r="D38" s="316"/>
      <c r="E38" s="316"/>
      <c r="F38" s="315"/>
      <c r="G38" s="315"/>
      <c r="H38" s="317"/>
      <c r="I38" s="315"/>
      <c r="J38" s="317"/>
      <c r="L38" s="265"/>
    </row>
    <row r="40" spans="1:12" ht="15.75">
      <c r="A40" s="327" t="s">
        <v>3883</v>
      </c>
    </row>
    <row r="41" spans="1:12">
      <c r="A41" s="589" t="s">
        <v>571</v>
      </c>
      <c r="B41" s="589" t="s">
        <v>500</v>
      </c>
      <c r="C41" s="589" t="s">
        <v>4682</v>
      </c>
      <c r="D41" s="589" t="s">
        <v>4679</v>
      </c>
      <c r="E41" s="589" t="s">
        <v>4681</v>
      </c>
      <c r="F41" s="589" t="s">
        <v>4683</v>
      </c>
      <c r="G41" s="590" t="str">
        <f>IF($L$8=TRUE,"Realisasi vs Pagu+Blokir","Realisasi vs Pagu-Blokir")</f>
        <v>Realisasi vs Pagu-Blokir</v>
      </c>
      <c r="H41" s="590"/>
      <c r="I41" s="590" t="str">
        <f>IF($L$8=TRUE,"Sisa vs Pagu+Blokir","Sisa vs Pagu-Blokir")</f>
        <v>Sisa vs Pagu-Blokir</v>
      </c>
      <c r="J41" s="590"/>
    </row>
    <row r="42" spans="1:12">
      <c r="A42" s="589"/>
      <c r="B42" s="589"/>
      <c r="C42" s="589"/>
      <c r="D42" s="589"/>
      <c r="E42" s="589"/>
      <c r="F42" s="589"/>
      <c r="G42" s="312" t="s">
        <v>4691</v>
      </c>
      <c r="H42" s="312" t="s">
        <v>3729</v>
      </c>
      <c r="I42" s="312" t="s">
        <v>4691</v>
      </c>
      <c r="J42" s="312" t="s">
        <v>3729</v>
      </c>
    </row>
    <row r="43" spans="1:12">
      <c r="A43" s="569"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69"/>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9"/>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69"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69"/>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9"/>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69"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9"/>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9"/>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9"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69"/>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69"/>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87" t="s">
        <v>3735</v>
      </c>
      <c r="B55" s="587"/>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87" t="s">
        <v>4685</v>
      </c>
      <c r="B56" s="587"/>
      <c r="C56" s="310">
        <f>C55</f>
        <v>96812000</v>
      </c>
      <c r="D56" s="588">
        <f>SUM(D55:E55)</f>
        <v>0</v>
      </c>
      <c r="E56" s="588"/>
      <c r="F56" s="310">
        <f>F55</f>
        <v>96812000</v>
      </c>
      <c r="G56" s="122">
        <f>G55</f>
        <v>89176280</v>
      </c>
      <c r="H56" s="324">
        <f t="shared" si="18"/>
        <v>92.112837251580387</v>
      </c>
      <c r="I56" s="122">
        <f t="shared" si="19"/>
        <v>7635720</v>
      </c>
      <c r="J56" s="320">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19" activePane="bottomRight" state="frozen"/>
      <selection pane="topRight" activeCell="C1" sqref="C1"/>
      <selection pane="bottomLeft" activeCell="A4" sqref="A4"/>
      <selection pane="bottomRight" activeCell="L31" sqref="L31"/>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86" t="str">
        <f>IF(L8=TRUE,"REALISASI TANPA GAJI (BERDASARKAN PAGU SEBELUM BLOKIR)","REALISASI TANPA GAJI (BERDASARKAN PAGU SETELAH BLOKIR)")</f>
        <v>REALISASI TANPA GAJI (BERDASARKAN PAGU SETELAH BLOKIR)</v>
      </c>
      <c r="B1" s="586"/>
      <c r="C1" s="586"/>
      <c r="D1" s="586"/>
      <c r="E1" s="586"/>
      <c r="F1" s="586"/>
      <c r="G1" s="586"/>
      <c r="H1" s="586"/>
      <c r="I1" s="586"/>
      <c r="J1" s="586"/>
      <c r="L1" s="326" t="s">
        <v>4686</v>
      </c>
    </row>
    <row r="2" spans="1:13" ht="15.75">
      <c r="A2" s="580" t="str">
        <f>'PER BULAN'!B5</f>
        <v>Berdasarkan DIPA Revisi 3 TA. 2022 (Tanggal 13 Juli 2022)</v>
      </c>
      <c r="B2" s="580"/>
      <c r="C2" s="580"/>
      <c r="D2" s="580"/>
      <c r="E2" s="580"/>
      <c r="F2" s="580"/>
      <c r="G2" s="580"/>
      <c r="H2" s="580"/>
      <c r="I2" s="580"/>
      <c r="J2" s="580"/>
    </row>
    <row r="3" spans="1:13" ht="15.75">
      <c r="A3" s="580" t="str">
        <f>'PER BULAN'!B6</f>
        <v>SAMPAI DENGAN 1 SEPTEMBER 2022</v>
      </c>
      <c r="B3" s="580"/>
      <c r="C3" s="580"/>
      <c r="D3" s="580"/>
      <c r="E3" s="580"/>
      <c r="F3" s="580"/>
      <c r="G3" s="580"/>
      <c r="H3" s="580"/>
      <c r="I3" s="580"/>
      <c r="J3" s="580"/>
    </row>
    <row r="4" spans="1:13">
      <c r="A4" s="331"/>
      <c r="B4" s="331"/>
      <c r="C4" s="331"/>
      <c r="D4" s="331"/>
      <c r="E4" s="331"/>
      <c r="F4" s="331"/>
      <c r="G4" s="331"/>
      <c r="H4" s="331"/>
      <c r="I4" s="331"/>
      <c r="J4" s="331"/>
    </row>
    <row r="5" spans="1:13" ht="15.75">
      <c r="A5" s="328" t="s">
        <v>3878</v>
      </c>
    </row>
    <row r="6" spans="1:13">
      <c r="A6" s="589" t="s">
        <v>571</v>
      </c>
      <c r="B6" s="589" t="s">
        <v>500</v>
      </c>
      <c r="C6" s="589" t="s">
        <v>4682</v>
      </c>
      <c r="D6" s="589" t="s">
        <v>4679</v>
      </c>
      <c r="E6" s="589" t="s">
        <v>4681</v>
      </c>
      <c r="F6" s="589" t="s">
        <v>3731</v>
      </c>
      <c r="G6" s="590" t="s">
        <v>3732</v>
      </c>
      <c r="H6" s="590"/>
      <c r="I6" s="590" t="s">
        <v>3733</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8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1056379516</v>
      </c>
      <c r="H9" s="318">
        <f t="shared" ref="H9:H24" si="0">IFERROR(IF($L$8=TRUE,G9/C9*100,G9/F9*100),0)</f>
        <v>48.112206728005908</v>
      </c>
      <c r="I9" s="115">
        <f t="shared" ref="I9:I24" si="1">IF($L$8=TRUE,C9-G9,F9-G9)</f>
        <v>1139278484</v>
      </c>
      <c r="J9" s="202">
        <f t="shared" ref="J9:J24" si="2">IFERROR(IF($L$8=TRUE,I9/C9*100,I9/F9*100),0)</f>
        <v>51.887793271994084</v>
      </c>
    </row>
    <row r="10" spans="1:13">
      <c r="A10" s="584"/>
      <c r="B10" s="139" t="s">
        <v>43</v>
      </c>
      <c r="C10" s="115" cm="1">
        <f t="array" ref="C10">SUM(_xlfn._xlws.FILTER(SP2D[DIPA_REVISI2],SP2D[Jenis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cm="1">
        <f t="array" ref="F10">SUM(_xlfn._xlws.FILTER(SP2D[DIPA_REVISI3],SP2D[Jenis Belanja2]="Belanja Modal",0))</f>
        <v>655934000</v>
      </c>
      <c r="G10" s="115" cm="1">
        <f t="array" ref="G10">SUM(_xlfn._xlws.FILTER(SP2D[Realisasi],SP2D[Jenis Belanja2]="Belanja Modal",0))</f>
        <v>654200000</v>
      </c>
      <c r="H10" s="318">
        <f t="shared" si="0"/>
        <v>99.735644134928208</v>
      </c>
      <c r="I10" s="115">
        <f t="shared" si="1"/>
        <v>1734000</v>
      </c>
      <c r="J10" s="313">
        <f t="shared" si="2"/>
        <v>0.26435586507179076</v>
      </c>
    </row>
    <row r="11" spans="1:13">
      <c r="A11" s="58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85"/>
      <c r="B12" s="223" t="s">
        <v>4687</v>
      </c>
      <c r="C12" s="138">
        <f>SUM(C8:C11)</f>
        <v>4328014000</v>
      </c>
      <c r="D12" s="138">
        <f>SUM(D8:D11)</f>
        <v>100000000</v>
      </c>
      <c r="E12" s="138">
        <f>SUM(E8:E11)</f>
        <v>609552000</v>
      </c>
      <c r="F12" s="138">
        <f>SUM(F8:F11)</f>
        <v>4328014000</v>
      </c>
      <c r="G12" s="138">
        <f>SUM(G8:G11)</f>
        <v>2387593165</v>
      </c>
      <c r="H12" s="319">
        <f t="shared" si="0"/>
        <v>55.166022221739574</v>
      </c>
      <c r="I12" s="138">
        <f t="shared" si="1"/>
        <v>1940420835</v>
      </c>
      <c r="J12" s="203">
        <f t="shared" si="2"/>
        <v>44.833977778260419</v>
      </c>
      <c r="K12" s="133"/>
    </row>
    <row r="13" spans="1:13" ht="15" customHeight="1">
      <c r="A13" s="583"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84"/>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4949198748</v>
      </c>
      <c r="H14" s="318">
        <f t="shared" si="0"/>
        <v>57.666166594815024</v>
      </c>
      <c r="I14" s="115">
        <f t="shared" si="1"/>
        <v>3633301252</v>
      </c>
      <c r="J14" s="202">
        <f t="shared" si="2"/>
        <v>42.333833405184969</v>
      </c>
      <c r="M14" s="161"/>
    </row>
    <row r="15" spans="1:13">
      <c r="A15" s="584"/>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85"/>
      <c r="B16" s="223" t="s">
        <v>4688</v>
      </c>
      <c r="C16" s="138">
        <f>SUM(C13:C15)</f>
        <v>9985150000</v>
      </c>
      <c r="D16" s="138">
        <f t="shared" ref="D16:E16" si="3">SUM(D13:D15)</f>
        <v>0</v>
      </c>
      <c r="E16" s="138">
        <f t="shared" si="3"/>
        <v>938934000</v>
      </c>
      <c r="F16" s="138">
        <f>SUM(F13:F15)</f>
        <v>9985150000</v>
      </c>
      <c r="G16" s="138">
        <f>SUM(G13:G15)</f>
        <v>5241820127</v>
      </c>
      <c r="H16" s="319">
        <f t="shared" si="0"/>
        <v>52.496158064726117</v>
      </c>
      <c r="I16" s="138">
        <f t="shared" si="1"/>
        <v>4743329873</v>
      </c>
      <c r="J16" s="203">
        <f t="shared" si="2"/>
        <v>47.503841935273883</v>
      </c>
    </row>
    <row r="17" spans="1:13" ht="15" customHeight="1">
      <c r="A17" s="583"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158550590</v>
      </c>
      <c r="H17" s="318">
        <f t="shared" si="0"/>
        <v>33.442436194895592</v>
      </c>
      <c r="I17" s="115">
        <f t="shared" si="1"/>
        <v>315549410</v>
      </c>
      <c r="J17" s="202">
        <f t="shared" si="2"/>
        <v>66.557563805104408</v>
      </c>
    </row>
    <row r="18" spans="1:13">
      <c r="A18" s="584"/>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108926585</v>
      </c>
      <c r="H18" s="318">
        <f t="shared" si="0"/>
        <v>13.539662523306401</v>
      </c>
      <c r="I18" s="115">
        <f t="shared" si="1"/>
        <v>695573415</v>
      </c>
      <c r="J18" s="202">
        <f t="shared" si="2"/>
        <v>86.460337476693596</v>
      </c>
      <c r="M18" s="161"/>
    </row>
    <row r="19" spans="1:13">
      <c r="A19" s="585"/>
      <c r="B19" s="223" t="s">
        <v>4689</v>
      </c>
      <c r="C19" s="138">
        <f>SUM(C17:C18)</f>
        <v>1278600000</v>
      </c>
      <c r="D19" s="138">
        <f t="shared" ref="D19:E19" si="4">SUM(D17:D18)</f>
        <v>0</v>
      </c>
      <c r="E19" s="138">
        <f t="shared" si="4"/>
        <v>906231000</v>
      </c>
      <c r="F19" s="138">
        <f>SUM(F17:F18)</f>
        <v>1278600000</v>
      </c>
      <c r="G19" s="138">
        <f>SUM(G17:G18)</f>
        <v>267477175</v>
      </c>
      <c r="H19" s="319">
        <f t="shared" si="0"/>
        <v>20.919535038323168</v>
      </c>
      <c r="I19" s="138">
        <f t="shared" si="1"/>
        <v>1011122825</v>
      </c>
      <c r="J19" s="203">
        <f t="shared" si="2"/>
        <v>79.080464961676839</v>
      </c>
    </row>
    <row r="20" spans="1:13" ht="15" customHeight="1">
      <c r="A20" s="583"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391052990</v>
      </c>
      <c r="H20" s="318">
        <f t="shared" si="0"/>
        <v>56.979890718344748</v>
      </c>
      <c r="I20" s="115">
        <f t="shared" si="1"/>
        <v>295247010</v>
      </c>
      <c r="J20" s="202">
        <f t="shared" si="2"/>
        <v>43.020109281655259</v>
      </c>
    </row>
    <row r="21" spans="1:13">
      <c r="A21" s="584"/>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85"/>
      <c r="B22" s="223" t="s">
        <v>4690</v>
      </c>
      <c r="C22" s="138">
        <f>SUM(C20:C21)</f>
        <v>1271400000</v>
      </c>
      <c r="D22" s="138">
        <f t="shared" ref="D22:E22" si="5">SUM(D20:D21)</f>
        <v>0</v>
      </c>
      <c r="E22" s="138">
        <f t="shared" si="5"/>
        <v>432643000</v>
      </c>
      <c r="F22" s="138">
        <f>SUM(F20:F21)</f>
        <v>1271400000</v>
      </c>
      <c r="G22" s="138">
        <f>SUM(G20:G21)</f>
        <v>487402208</v>
      </c>
      <c r="H22" s="319">
        <f t="shared" si="0"/>
        <v>38.335866603743909</v>
      </c>
      <c r="I22" s="138">
        <f t="shared" si="1"/>
        <v>783997792</v>
      </c>
      <c r="J22" s="203">
        <f t="shared" si="2"/>
        <v>61.664133396256091</v>
      </c>
    </row>
    <row r="23" spans="1:13">
      <c r="A23" s="587" t="s">
        <v>3735</v>
      </c>
      <c r="B23" s="587"/>
      <c r="C23" s="122">
        <f>C12++C16+C19+C22</f>
        <v>16863164000</v>
      </c>
      <c r="D23" s="122">
        <f t="shared" ref="D23:E23" si="6">D12++D16+D19+D22</f>
        <v>100000000</v>
      </c>
      <c r="E23" s="122">
        <f t="shared" si="6"/>
        <v>2887360000</v>
      </c>
      <c r="F23" s="122">
        <f>F12++F16+F19+F22</f>
        <v>16863164000</v>
      </c>
      <c r="G23" s="122">
        <f>G12++G16+G19+G22</f>
        <v>8384292675</v>
      </c>
      <c r="H23" s="320">
        <f t="shared" si="0"/>
        <v>49.71957027162874</v>
      </c>
      <c r="I23" s="122">
        <f t="shared" si="1"/>
        <v>8478871325</v>
      </c>
      <c r="J23" s="204">
        <f t="shared" si="2"/>
        <v>50.28042972837126</v>
      </c>
      <c r="M23" s="159"/>
    </row>
    <row r="24" spans="1:13">
      <c r="A24" s="595" t="s">
        <v>4685</v>
      </c>
      <c r="B24" s="596"/>
      <c r="C24" s="310">
        <f>C23</f>
        <v>16863164000</v>
      </c>
      <c r="D24" s="597">
        <f>SUM(D23,E23)</f>
        <v>2987360000</v>
      </c>
      <c r="E24" s="598"/>
      <c r="F24" s="310">
        <f>F23</f>
        <v>16863164000</v>
      </c>
      <c r="G24" s="122">
        <f>G23</f>
        <v>8384292675</v>
      </c>
      <c r="H24" s="320">
        <f t="shared" si="0"/>
        <v>49.71957027162874</v>
      </c>
      <c r="I24" s="122">
        <f t="shared" si="1"/>
        <v>8478871325</v>
      </c>
      <c r="J24" s="204">
        <f t="shared" si="2"/>
        <v>50.28042972837126</v>
      </c>
      <c r="M24" s="161"/>
    </row>
    <row r="25" spans="1:13">
      <c r="I25" s="159"/>
      <c r="J25" s="359"/>
    </row>
    <row r="26" spans="1:13">
      <c r="I26" s="159"/>
      <c r="J26" s="359"/>
    </row>
    <row r="27" spans="1:13" ht="15.75">
      <c r="A27" s="328" t="s">
        <v>3885</v>
      </c>
      <c r="I27" s="159"/>
      <c r="J27" s="359"/>
    </row>
    <row r="28" spans="1:13" ht="14.45" customHeight="1">
      <c r="A28" s="593" t="s">
        <v>3871</v>
      </c>
      <c r="B28" s="593" t="s">
        <v>3872</v>
      </c>
      <c r="C28" s="593" t="s">
        <v>4682</v>
      </c>
      <c r="D28" s="599" t="s">
        <v>4679</v>
      </c>
      <c r="E28" s="599" t="s">
        <v>4681</v>
      </c>
      <c r="F28" s="589" t="s">
        <v>3731</v>
      </c>
      <c r="G28" s="590" t="s">
        <v>3732</v>
      </c>
      <c r="H28" s="590"/>
      <c r="I28" s="590" t="s">
        <v>3733</v>
      </c>
      <c r="J28" s="590"/>
    </row>
    <row r="29" spans="1:13">
      <c r="A29" s="594"/>
      <c r="B29" s="594"/>
      <c r="C29" s="594"/>
      <c r="D29" s="600"/>
      <c r="E29" s="600"/>
      <c r="F29" s="589"/>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7730092675</v>
      </c>
      <c r="H30" s="149">
        <f t="shared" ref="H30:H37" si="8">IFERROR(IF($L$8=TRUE,G30/C30*100,G30/F30*100),0)</f>
        <v>47.695335199167282</v>
      </c>
      <c r="I30" s="150">
        <f t="shared" ref="I30:I37" si="9">IF($L$8=TRUE,C30-G30,F30-G30)</f>
        <v>8477137325</v>
      </c>
      <c r="J30" s="149">
        <f t="shared" ref="J30:J37" si="10">IFERROR(IF($L$8=TRUE,I30/C30*100,I30/F30*100),0)</f>
        <v>52.304664800832711</v>
      </c>
    </row>
    <row r="31" spans="1:13">
      <c r="A31" s="155"/>
      <c r="B31" s="151" t="s">
        <v>3874</v>
      </c>
      <c r="C31" s="152" cm="1">
        <f t="array" ref="C31">SUM(_xlfn._xlws.FILTER(SP2D[DIPA_REVISI2],SP2D[Jenis Belanja2]="Belanja Barang Operasional",0))</f>
        <v>2195658000</v>
      </c>
      <c r="D31" s="152" cm="1">
        <f t="array" ref="D31">SUM(_xlfn._xlws.FILTER(SP2D[Blokir AA ke 1],SP2D[Jenis Belanja2]="Belanja Barang Operasional",0))</f>
        <v>100000000</v>
      </c>
      <c r="E31" s="152" cm="1">
        <f t="array" ref="E31">SUM(_xlfn._xlws.FILTER(SP2D[Blokir AA ke 2],SP2D[Jenis Belanja2]="Belanja Barang Operasional",0))</f>
        <v>0</v>
      </c>
      <c r="F31" s="152" cm="1">
        <f t="array" ref="F31">SUM(_xlfn._xlws.FILTER(SP2D[DIPA_REVISI3],SP2D[Jenis Belanja2]="Belanja Barang Operasional",0))</f>
        <v>2195658000</v>
      </c>
      <c r="G31" s="152" cm="1">
        <f t="array" ref="G31">SUM(_xlfn._xlws.FILTER(SP2D[Realisasi],SP2D[Jenis Belanja2]="Belanja Barang Operasional",0))</f>
        <v>1056379516</v>
      </c>
      <c r="H31" s="153">
        <f t="shared" si="8"/>
        <v>48.112206728005908</v>
      </c>
      <c r="I31" s="154">
        <f t="shared" si="9"/>
        <v>1139278484</v>
      </c>
      <c r="J31" s="153">
        <f t="shared" si="10"/>
        <v>51.887793271994084</v>
      </c>
    </row>
    <row r="32" spans="1:13">
      <c r="A32" s="155"/>
      <c r="B32" s="151" t="s">
        <v>4684</v>
      </c>
      <c r="C32" s="152" cm="1">
        <f t="array" ref="C32">SUM(_xlfn._xlws.FILTER(SP2D[DIPA_REVISI2],SP2D[Jenis Belanja2]="Belanja Barang Non Operasional",0))</f>
        <v>14011572000</v>
      </c>
      <c r="D32" s="152" cm="1">
        <f t="array" ref="D32">SUM(_xlfn._xlws.FILTER(SP2D[Blokir AA ke 1],SP2D[Jenis Belanja2]="Belanja Barang Non Operasional",0))</f>
        <v>0</v>
      </c>
      <c r="E32" s="152" cm="1">
        <f t="array" ref="E32">SUM(_xlfn._xlws.FILTER(SP2D[Blokir AA ke 2],SP2D[Jenis Belanja2]="Belanja Barang Non Operasional",0))</f>
        <v>2885626000</v>
      </c>
      <c r="F32" s="152" cm="1">
        <f t="array" ref="F32">SUM(_xlfn._xlws.FILTER(SP2D[DIPA_REVISI3],SP2D[Jenis Belanja2]="Belanja Barang Non Operasional",0))</f>
        <v>14011572000</v>
      </c>
      <c r="G32" s="152">
        <f>G11+G13+G14+G15+G17+G18+G20+G21+G8</f>
        <v>6673713159</v>
      </c>
      <c r="H32" s="153">
        <f t="shared" si="8"/>
        <v>47.630010101650264</v>
      </c>
      <c r="I32" s="154">
        <f t="shared" si="9"/>
        <v>7337858841</v>
      </c>
      <c r="J32" s="153">
        <f t="shared" si="10"/>
        <v>52.369989898349736</v>
      </c>
    </row>
    <row r="33" spans="1:12">
      <c r="A33" s="146">
        <v>2</v>
      </c>
      <c r="B33" s="147" t="s">
        <v>3875</v>
      </c>
      <c r="C33" s="148">
        <f>C10</f>
        <v>655934000</v>
      </c>
      <c r="D33" s="148">
        <f>D10</f>
        <v>0</v>
      </c>
      <c r="E33" s="148">
        <f>E10</f>
        <v>1734000</v>
      </c>
      <c r="F33" s="148">
        <f>F10</f>
        <v>655934000</v>
      </c>
      <c r="G33" s="148" cm="1">
        <f t="array" ref="G33">SUM(_xlfn._xlws.FILTER(SP2D[Realisasi],SP2D[Jenis Belanja2]="Belanja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91" t="s">
        <v>590</v>
      </c>
      <c r="B35" s="592"/>
      <c r="C35" s="157">
        <f>SUM(C30,C33)</f>
        <v>16863164000</v>
      </c>
      <c r="D35" s="157">
        <f t="shared" ref="D35:E35" si="11">SUM(D30,D33)</f>
        <v>100000000</v>
      </c>
      <c r="E35" s="157">
        <f t="shared" si="11"/>
        <v>2887360000</v>
      </c>
      <c r="F35" s="157">
        <f>SUM(F30,F33)</f>
        <v>16863164000</v>
      </c>
      <c r="G35" s="157">
        <f>SUM(G30,G33)</f>
        <v>8384292675</v>
      </c>
      <c r="H35" s="158">
        <f t="shared" si="8"/>
        <v>49.71957027162874</v>
      </c>
      <c r="I35" s="157">
        <f t="shared" si="9"/>
        <v>8478871325</v>
      </c>
      <c r="J35" s="158">
        <f t="shared" si="10"/>
        <v>50.28042972837126</v>
      </c>
    </row>
    <row r="36" spans="1:12">
      <c r="A36" s="591" t="s">
        <v>3876</v>
      </c>
      <c r="B36" s="592"/>
      <c r="C36" s="157"/>
      <c r="D36" s="157"/>
      <c r="E36" s="157"/>
      <c r="F36" s="157"/>
      <c r="G36" s="157"/>
      <c r="H36" s="158"/>
      <c r="I36" s="157"/>
      <c r="J36" s="158"/>
    </row>
    <row r="37" spans="1:12">
      <c r="A37" s="591" t="s">
        <v>3877</v>
      </c>
      <c r="B37" s="592"/>
      <c r="C37" s="157">
        <f>C35</f>
        <v>16863164000</v>
      </c>
      <c r="D37" s="601">
        <f>SUM(D35:E35)</f>
        <v>2987360000</v>
      </c>
      <c r="E37" s="602"/>
      <c r="F37" s="157">
        <f>F35</f>
        <v>16863164000</v>
      </c>
      <c r="G37" s="157">
        <f>G35-G36</f>
        <v>8384292675</v>
      </c>
      <c r="H37" s="158">
        <f t="shared" si="8"/>
        <v>49.71957027162874</v>
      </c>
      <c r="I37" s="157">
        <f t="shared" si="9"/>
        <v>8478871325</v>
      </c>
      <c r="J37" s="158">
        <f t="shared" si="10"/>
        <v>50.28042972837126</v>
      </c>
    </row>
    <row r="38" spans="1:12" s="279" customFormat="1">
      <c r="A38" s="314"/>
      <c r="B38" s="314"/>
      <c r="C38" s="315"/>
      <c r="D38" s="316"/>
      <c r="E38" s="316"/>
      <c r="F38" s="315"/>
      <c r="G38" s="315"/>
      <c r="H38" s="317"/>
      <c r="I38" s="315"/>
      <c r="J38" s="317"/>
      <c r="L38" s="265"/>
    </row>
    <row r="40" spans="1:12" ht="15.75">
      <c r="A40" s="327" t="s">
        <v>3883</v>
      </c>
    </row>
    <row r="41" spans="1:12">
      <c r="A41" s="589" t="s">
        <v>571</v>
      </c>
      <c r="B41" s="589" t="s">
        <v>500</v>
      </c>
      <c r="C41" s="589" t="s">
        <v>4682</v>
      </c>
      <c r="D41" s="589" t="s">
        <v>4679</v>
      </c>
      <c r="E41" s="589" t="s">
        <v>4681</v>
      </c>
      <c r="F41" s="589" t="s">
        <v>3731</v>
      </c>
      <c r="G41" s="590" t="s">
        <v>3732</v>
      </c>
      <c r="H41" s="590"/>
      <c r="I41" s="590" t="s">
        <v>3733</v>
      </c>
      <c r="J41" s="590"/>
    </row>
    <row r="42" spans="1:12">
      <c r="A42" s="589"/>
      <c r="B42" s="589"/>
      <c r="C42" s="589"/>
      <c r="D42" s="589"/>
      <c r="E42" s="589"/>
      <c r="F42" s="589"/>
      <c r="G42" s="312" t="s">
        <v>4691</v>
      </c>
      <c r="H42" s="312" t="s">
        <v>3729</v>
      </c>
      <c r="I42" s="312" t="s">
        <v>4691</v>
      </c>
      <c r="J42" s="312" t="s">
        <v>3729</v>
      </c>
    </row>
    <row r="43" spans="1:12">
      <c r="A43" s="569"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69"/>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9"/>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69"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69"/>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9"/>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69"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9"/>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9"/>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9"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69"/>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69"/>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87" t="s">
        <v>3735</v>
      </c>
      <c r="B55" s="587"/>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87" t="s">
        <v>4685</v>
      </c>
      <c r="B56" s="587"/>
      <c r="C56" s="310">
        <f>C55</f>
        <v>101811000</v>
      </c>
      <c r="D56" s="588">
        <f>SUM(D55:E55)</f>
        <v>0</v>
      </c>
      <c r="E56" s="588"/>
      <c r="F56" s="310">
        <f>F55</f>
        <v>96812000</v>
      </c>
      <c r="G56" s="122">
        <f>G55</f>
        <v>89176280</v>
      </c>
      <c r="H56" s="324">
        <f t="shared" si="12"/>
        <v>92.112837251580387</v>
      </c>
      <c r="I56" s="122">
        <f t="shared" si="13"/>
        <v>7635720</v>
      </c>
      <c r="J56" s="320">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Z28" sqref="Z28"/>
    </sheetView>
  </sheetViews>
  <sheetFormatPr defaultRowHeight="15"/>
  <sheetData>
    <row r="1" spans="2:16">
      <c r="B1" s="603" t="str">
        <f>'PERSUBBID - Gaji'!A1</f>
        <v>REALISASI TANPA GAJI (BERDASARKAN PAGU SETELAH BLOKIR)</v>
      </c>
      <c r="C1" s="603"/>
      <c r="D1" s="603"/>
      <c r="E1" s="603"/>
      <c r="F1" s="603"/>
      <c r="G1" s="603"/>
      <c r="H1" s="603"/>
      <c r="I1" s="603"/>
      <c r="J1" s="603"/>
      <c r="K1" s="603"/>
      <c r="L1" s="603"/>
      <c r="M1" s="603"/>
      <c r="N1" s="603"/>
      <c r="O1" s="603"/>
      <c r="P1" s="603"/>
    </row>
    <row r="2" spans="2:16" ht="15.75">
      <c r="B2" s="580" t="str">
        <f>'PERSUBBID - Gaji'!A2</f>
        <v>Berdasarkan DIPA Revisi 3 TA. 2022 (Tanggal 13 Juli 2022)</v>
      </c>
      <c r="C2" s="580"/>
      <c r="D2" s="580"/>
      <c r="E2" s="580"/>
      <c r="F2" s="580"/>
      <c r="G2" s="580"/>
      <c r="H2" s="580"/>
      <c r="I2" s="580"/>
      <c r="J2" s="580"/>
      <c r="K2" s="580"/>
      <c r="L2" s="580"/>
      <c r="M2" s="580"/>
      <c r="N2" s="580"/>
      <c r="O2" s="580"/>
      <c r="P2" s="580"/>
    </row>
    <row r="3" spans="2:16" ht="15.75">
      <c r="B3" s="580" t="str">
        <f>'PERSUBBID - Gaji'!A3</f>
        <v>SAMPAI DENGAN 1 SEPTEMBER 2022</v>
      </c>
      <c r="C3" s="580"/>
      <c r="D3" s="580"/>
      <c r="E3" s="580"/>
      <c r="F3" s="580"/>
      <c r="G3" s="580"/>
      <c r="H3" s="580"/>
      <c r="I3" s="580"/>
      <c r="J3" s="580"/>
      <c r="K3" s="580"/>
      <c r="L3" s="580"/>
      <c r="M3" s="580"/>
      <c r="N3" s="580"/>
      <c r="O3" s="580"/>
      <c r="P3" s="580"/>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86" t="str">
        <f>IF(L8=TRUE,"REALISASI DENGAN GAJI (BERDASARKAN PAGU SEBELUM BLOKIR)","REALISASI DENGAN GAJI (BERDASARKAN PAGU SETELAH BLOKIR)")</f>
        <v>REALISASI DENGAN GAJI (BERDASARKAN PAGU SETELAH BLOKIR)</v>
      </c>
      <c r="B1" s="586"/>
      <c r="C1" s="586"/>
      <c r="D1" s="586"/>
      <c r="E1" s="586"/>
      <c r="F1" s="586"/>
      <c r="G1" s="586"/>
      <c r="H1" s="586"/>
      <c r="I1" s="586"/>
      <c r="J1" s="586"/>
      <c r="L1" s="326"/>
    </row>
    <row r="2" spans="1:13" ht="15.75">
      <c r="A2" s="580" t="str">
        <f>'PER BULAN'!B5</f>
        <v>Berdasarkan DIPA Revisi 3 TA. 2022 (Tanggal 13 Juli 2022)</v>
      </c>
      <c r="B2" s="580"/>
      <c r="C2" s="580"/>
      <c r="D2" s="580"/>
      <c r="E2" s="580"/>
      <c r="F2" s="580"/>
      <c r="G2" s="580"/>
      <c r="H2" s="580"/>
      <c r="I2" s="580"/>
      <c r="J2" s="580"/>
    </row>
    <row r="3" spans="1:13" ht="15.75">
      <c r="A3" s="580" t="str">
        <f>'PER BULAN'!B6</f>
        <v>SAMPAI DENGAN 1 SEPTEMBER 2022</v>
      </c>
      <c r="B3" s="580"/>
      <c r="C3" s="580"/>
      <c r="D3" s="580"/>
      <c r="E3" s="580"/>
      <c r="F3" s="580"/>
      <c r="G3" s="580"/>
      <c r="H3" s="580"/>
      <c r="I3" s="580"/>
      <c r="J3" s="580"/>
    </row>
    <row r="4" spans="1:13">
      <c r="A4" s="300"/>
      <c r="B4" s="300"/>
      <c r="C4" s="300"/>
      <c r="D4" s="300"/>
      <c r="E4" s="300"/>
      <c r="F4" s="300"/>
      <c r="G4" s="300"/>
      <c r="H4" s="300"/>
      <c r="I4" s="300"/>
      <c r="J4" s="300"/>
    </row>
    <row r="5" spans="1:13" ht="15.75">
      <c r="A5" s="328" t="s">
        <v>3878</v>
      </c>
    </row>
    <row r="6" spans="1:13">
      <c r="A6" s="589" t="s">
        <v>571</v>
      </c>
      <c r="B6" s="589" t="s">
        <v>500</v>
      </c>
      <c r="C6" s="589" t="s">
        <v>4682</v>
      </c>
      <c r="D6" s="589" t="s">
        <v>4679</v>
      </c>
      <c r="E6" s="589" t="s">
        <v>4681</v>
      </c>
      <c r="F6" s="589" t="s">
        <v>4683</v>
      </c>
      <c r="G6" s="590" t="str">
        <f>IF($L$8=TRUE,"Realisasi vs Pagu+Blokir","Realisasi vs Pagu-Blokir")</f>
        <v>Realisasi vs Pagu-Blokir</v>
      </c>
      <c r="H6" s="590"/>
      <c r="I6" s="590" t="str">
        <f>IF($L$8=TRUE,"Sisa vs Pagu+Blokir","Sisa vs Pagu-Blokir")</f>
        <v>Sisa vs Pagu-Blokir</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8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1056379516</v>
      </c>
      <c r="H9" s="318">
        <f t="shared" ref="H9:H25" si="1">IFERROR(IF($L$8=TRUE,G9/C9*100,G9/F9*100),0)</f>
        <v>50.408011039969303</v>
      </c>
      <c r="I9" s="115">
        <f t="shared" ref="I9:I25" si="2">IF($L$8=TRUE,C9-G9,F9-G9)</f>
        <v>1039278484</v>
      </c>
      <c r="J9" s="202">
        <f t="shared" ref="J9:J25" si="3">IFERROR(IF($L$8=TRUE,I9/C9*100,I9/F9*100),0)</f>
        <v>49.59198896003069</v>
      </c>
      <c r="K9" s="329"/>
    </row>
    <row r="10" spans="1:13">
      <c r="A10" s="584"/>
      <c r="B10" s="139" t="s">
        <v>43</v>
      </c>
      <c r="C10" s="115" cm="1">
        <f t="array" ref="C10">SUM(_xlfn._xlws.FILTER(SP2D[DIPA_REVISI3],SP2D[Jenis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f t="shared" si="0"/>
        <v>654200000</v>
      </c>
      <c r="G10" s="115" cm="1">
        <f t="array" ref="G10">SUM(_xlfn._xlws.FILTER(SP2D[Realisasi],SP2D[Jenis Belanja2]="Belanja Modal",0))</f>
        <v>654200000</v>
      </c>
      <c r="H10" s="318">
        <f t="shared" si="1"/>
        <v>100</v>
      </c>
      <c r="I10" s="115">
        <f t="shared" si="2"/>
        <v>0</v>
      </c>
      <c r="J10" s="313">
        <f t="shared" si="3"/>
        <v>0</v>
      </c>
      <c r="K10" s="329"/>
    </row>
    <row r="11" spans="1:13">
      <c r="A11" s="58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8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4452198655</v>
      </c>
      <c r="H12" s="318">
        <f t="shared" ref="H12" si="4">IFERROR(IF($L$8=TRUE,G12/C12*100,G12/F12*100),0)</f>
        <v>72.334113045765534</v>
      </c>
      <c r="I12" s="115">
        <f t="shared" ref="I12" si="5">IF($L$8=TRUE,C12-G12,F12-G12)</f>
        <v>1702848345</v>
      </c>
      <c r="J12" s="202">
        <f t="shared" ref="J12" si="6">IFERROR(IF($L$8=TRUE,I12/C12*100,I12/F12*100),0)</f>
        <v>27.66588695423447</v>
      </c>
      <c r="K12" s="329"/>
    </row>
    <row r="13" spans="1:13">
      <c r="A13" s="585"/>
      <c r="B13" s="223" t="s">
        <v>4687</v>
      </c>
      <c r="C13" s="138">
        <f>SUM(C8:C12)</f>
        <v>10807010000</v>
      </c>
      <c r="D13" s="138">
        <f t="shared" ref="D13:G13" si="7">SUM(D8:D12)</f>
        <v>423949000</v>
      </c>
      <c r="E13" s="138">
        <f t="shared" si="7"/>
        <v>609552000</v>
      </c>
      <c r="F13" s="138">
        <f t="shared" si="7"/>
        <v>9773509000</v>
      </c>
      <c r="G13" s="138">
        <f t="shared" si="7"/>
        <v>6839791820</v>
      </c>
      <c r="H13" s="319">
        <f t="shared" si="1"/>
        <v>69.982969473911567</v>
      </c>
      <c r="I13" s="138">
        <f t="shared" si="2"/>
        <v>2933717180</v>
      </c>
      <c r="J13" s="203">
        <f t="shared" si="3"/>
        <v>30.01703052608843</v>
      </c>
      <c r="K13" s="329"/>
    </row>
    <row r="14" spans="1:13" ht="15" customHeight="1">
      <c r="A14" s="583"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84"/>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4949198748</v>
      </c>
      <c r="H15" s="318">
        <f t="shared" si="1"/>
        <v>57.666166594815024</v>
      </c>
      <c r="I15" s="115">
        <f t="shared" si="2"/>
        <v>3633301252</v>
      </c>
      <c r="J15" s="202">
        <f t="shared" si="3"/>
        <v>42.333833405184969</v>
      </c>
      <c r="K15" s="329"/>
      <c r="M15" s="161"/>
    </row>
    <row r="16" spans="1:13">
      <c r="A16" s="584"/>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85"/>
      <c r="B17" s="223" t="s">
        <v>4688</v>
      </c>
      <c r="C17" s="138">
        <f>SUM(C14:C16)</f>
        <v>9985150000</v>
      </c>
      <c r="D17" s="138">
        <f t="shared" ref="D17:E17" si="9">SUM(D14:D16)</f>
        <v>0</v>
      </c>
      <c r="E17" s="138">
        <f t="shared" si="9"/>
        <v>938934000</v>
      </c>
      <c r="F17" s="138">
        <f>SUM(F14:F16)</f>
        <v>9046216000</v>
      </c>
      <c r="G17" s="138">
        <f>SUM(G14:G16)</f>
        <v>5241820127</v>
      </c>
      <c r="H17" s="319">
        <f t="shared" si="1"/>
        <v>57.944892394786947</v>
      </c>
      <c r="I17" s="138">
        <f t="shared" si="2"/>
        <v>3804395873</v>
      </c>
      <c r="J17" s="203">
        <f t="shared" si="3"/>
        <v>42.055107605213053</v>
      </c>
      <c r="K17" s="329"/>
    </row>
    <row r="18" spans="1:13" ht="15" customHeight="1">
      <c r="A18" s="583"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158550590</v>
      </c>
      <c r="H18" s="318">
        <f t="shared" si="1"/>
        <v>76.370909318613144</v>
      </c>
      <c r="I18" s="115">
        <f t="shared" si="2"/>
        <v>49055410</v>
      </c>
      <c r="J18" s="202">
        <f t="shared" si="3"/>
        <v>23.62909068138686</v>
      </c>
      <c r="K18" s="329"/>
    </row>
    <row r="19" spans="1:13">
      <c r="A19" s="584"/>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108926585</v>
      </c>
      <c r="H19" s="318">
        <f t="shared" si="1"/>
        <v>66.111071660506298</v>
      </c>
      <c r="I19" s="115">
        <f t="shared" si="2"/>
        <v>55836415</v>
      </c>
      <c r="J19" s="202">
        <f t="shared" si="3"/>
        <v>33.888928339493695</v>
      </c>
      <c r="K19" s="329"/>
      <c r="M19" s="161"/>
    </row>
    <row r="20" spans="1:13">
      <c r="A20" s="585"/>
      <c r="B20" s="223" t="s">
        <v>4689</v>
      </c>
      <c r="C20" s="138">
        <f>SUM(C18:C19)</f>
        <v>1278600000</v>
      </c>
      <c r="D20" s="138">
        <f t="shared" ref="D20:E20" si="11">SUM(D18:D19)</f>
        <v>0</v>
      </c>
      <c r="E20" s="138">
        <f t="shared" si="11"/>
        <v>906231000</v>
      </c>
      <c r="F20" s="138">
        <f>SUM(F18:F19)</f>
        <v>372369000</v>
      </c>
      <c r="G20" s="138">
        <f>SUM(G18:G19)</f>
        <v>267477175</v>
      </c>
      <c r="H20" s="319">
        <f t="shared" si="1"/>
        <v>71.831214467369733</v>
      </c>
      <c r="I20" s="138">
        <f t="shared" si="2"/>
        <v>104891825</v>
      </c>
      <c r="J20" s="203">
        <f t="shared" si="3"/>
        <v>28.16878553263027</v>
      </c>
      <c r="K20" s="329"/>
    </row>
    <row r="21" spans="1:13" ht="15" customHeight="1">
      <c r="A21" s="583"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391052990</v>
      </c>
      <c r="H21" s="318">
        <f t="shared" si="1"/>
        <v>56.979890718344748</v>
      </c>
      <c r="I21" s="115">
        <f t="shared" si="2"/>
        <v>295247010</v>
      </c>
      <c r="J21" s="202">
        <f t="shared" si="3"/>
        <v>43.020109281655259</v>
      </c>
      <c r="K21" s="329"/>
    </row>
    <row r="22" spans="1:13">
      <c r="A22" s="584"/>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85"/>
      <c r="B23" s="223" t="s">
        <v>4690</v>
      </c>
      <c r="C23" s="138">
        <f>SUM(C21:C22)</f>
        <v>1271400000</v>
      </c>
      <c r="D23" s="138">
        <f t="shared" ref="D23:E23" si="13">SUM(D21:D22)</f>
        <v>0</v>
      </c>
      <c r="E23" s="138">
        <f t="shared" si="13"/>
        <v>432643000</v>
      </c>
      <c r="F23" s="138">
        <f>SUM(F21:F22)</f>
        <v>838757000</v>
      </c>
      <c r="G23" s="138">
        <f>SUM(G21:G22)</f>
        <v>487402208</v>
      </c>
      <c r="H23" s="319">
        <f t="shared" si="1"/>
        <v>58.11006143614896</v>
      </c>
      <c r="I23" s="138">
        <f t="shared" si="2"/>
        <v>351354792</v>
      </c>
      <c r="J23" s="203">
        <f t="shared" si="3"/>
        <v>41.889938563851032</v>
      </c>
      <c r="K23" s="329"/>
    </row>
    <row r="24" spans="1:13">
      <c r="A24" s="587" t="s">
        <v>3735</v>
      </c>
      <c r="B24" s="587"/>
      <c r="C24" s="122">
        <f>C13++C17+C20+C23</f>
        <v>23342160000</v>
      </c>
      <c r="D24" s="122">
        <f t="shared" ref="D24:E24" si="14">D13++D17+D20+D23</f>
        <v>423949000</v>
      </c>
      <c r="E24" s="122">
        <f t="shared" si="14"/>
        <v>2887360000</v>
      </c>
      <c r="F24" s="122">
        <f>F13++F17+F20+F23</f>
        <v>20030851000</v>
      </c>
      <c r="G24" s="122">
        <f>G13++G17+G20+G23</f>
        <v>12836491330</v>
      </c>
      <c r="H24" s="320">
        <f t="shared" si="1"/>
        <v>64.083604485900267</v>
      </c>
      <c r="I24" s="122">
        <f t="shared" si="2"/>
        <v>7194359670</v>
      </c>
      <c r="J24" s="204">
        <f t="shared" si="3"/>
        <v>35.916395514099726</v>
      </c>
      <c r="K24" s="329"/>
      <c r="M24" s="159"/>
    </row>
    <row r="25" spans="1:13">
      <c r="A25" s="595" t="s">
        <v>4685</v>
      </c>
      <c r="B25" s="596"/>
      <c r="C25" s="310">
        <f>C24</f>
        <v>23342160000</v>
      </c>
      <c r="D25" s="597">
        <f>SUM(D24,E24)</f>
        <v>3311309000</v>
      </c>
      <c r="E25" s="598"/>
      <c r="F25" s="310">
        <f>F24</f>
        <v>20030851000</v>
      </c>
      <c r="G25" s="122">
        <f>G24</f>
        <v>12836491330</v>
      </c>
      <c r="H25" s="320">
        <f t="shared" si="1"/>
        <v>64.083604485900267</v>
      </c>
      <c r="I25" s="122">
        <f t="shared" si="2"/>
        <v>7194359670</v>
      </c>
      <c r="J25" s="204">
        <f t="shared" si="3"/>
        <v>35.916395514099726</v>
      </c>
      <c r="K25" s="329"/>
      <c r="M25" s="161"/>
    </row>
    <row r="29" spans="1:13" ht="15.75">
      <c r="A29" s="328" t="s">
        <v>3885</v>
      </c>
    </row>
    <row r="30" spans="1:13" ht="14.45" customHeight="1">
      <c r="A30" s="593" t="s">
        <v>3871</v>
      </c>
      <c r="B30" s="593" t="s">
        <v>3872</v>
      </c>
      <c r="C30" s="593" t="s">
        <v>4682</v>
      </c>
      <c r="D30" s="599" t="s">
        <v>4679</v>
      </c>
      <c r="E30" s="599" t="s">
        <v>4681</v>
      </c>
      <c r="F30" s="593" t="s">
        <v>4683</v>
      </c>
      <c r="G30" s="590" t="str">
        <f>IF($L$8=TRUE,"Realisasi vs Pagu+Blokir","Realisasi vs Pagu-Blokir")</f>
        <v>Realisasi vs Pagu-Blokir</v>
      </c>
      <c r="H30" s="590"/>
      <c r="I30" s="590" t="str">
        <f>IF($L$8=TRUE,"Sisa vs Pagu+Blokir","Sisa vs Pagu-Blokir")</f>
        <v>Sisa vs Pagu-Blokir</v>
      </c>
      <c r="J30" s="590"/>
    </row>
    <row r="31" spans="1:13">
      <c r="A31" s="594"/>
      <c r="B31" s="594"/>
      <c r="C31" s="594"/>
      <c r="D31" s="600"/>
      <c r="E31" s="600"/>
      <c r="F31" s="594"/>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4452198655</v>
      </c>
      <c r="H32" s="149">
        <f t="shared" ref="H32" si="16">IFERROR(IF($L$8=TRUE,G32/C32*100,G32/F32*100),0)</f>
        <v>72.334113045765534</v>
      </c>
      <c r="I32" s="150">
        <f t="shared" ref="I32" si="17">IF($L$8=TRUE,C32-G32,F32-G32)</f>
        <v>1702848345</v>
      </c>
      <c r="J32" s="149">
        <f t="shared" ref="J32" si="18">IFERROR(IF($L$8=TRUE,I32/C32*100,I32/F32*100),0)</f>
        <v>27.66588695423447</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7730092675</v>
      </c>
      <c r="H33" s="149">
        <f t="shared" ref="H33:H40" si="20">IFERROR(IF($L$8=TRUE,G33/C33*100,G33/F33*100),0)</f>
        <v>58.465619413499304</v>
      </c>
      <c r="I33" s="150">
        <f t="shared" ref="I33:I40" si="21">IF($L$8=TRUE,C33-G33,F33-G33)</f>
        <v>5491511325</v>
      </c>
      <c r="J33" s="149">
        <f t="shared" ref="J33:J40" si="22">IFERROR(IF($L$8=TRUE,I33/C33*100,I33/F33*100),0)</f>
        <v>41.534380586500703</v>
      </c>
      <c r="K33" s="329"/>
    </row>
    <row r="34" spans="1:12">
      <c r="A34" s="155"/>
      <c r="B34" s="151" t="s">
        <v>3874</v>
      </c>
      <c r="C34" s="152" cm="1">
        <f t="array" ref="C34">SUM(_xlfn._xlws.FILTER(SP2D[DIPA_REVISI3],SP2D[Jenis Belanja2]="Belanja Barang Operasional",0))</f>
        <v>2195658000</v>
      </c>
      <c r="D34" s="152" cm="1">
        <f t="array" ref="D34">SUM(_xlfn._xlws.FILTER(SP2D[Blokir AA ke 1],SP2D[Jenis Belanja2]="Belanja Barang Operasional",0))</f>
        <v>100000000</v>
      </c>
      <c r="E34" s="152" cm="1">
        <f t="array" ref="E34">SUM(_xlfn._xlws.FILTER(SP2D[Blokir AA ke 2],SP2D[Jenis Belanja2]="Belanja Barang Operasional",0))</f>
        <v>0</v>
      </c>
      <c r="F34" s="152">
        <f t="shared" ref="F34:F35" si="23">C34-SUM(D34:E34)</f>
        <v>2095658000</v>
      </c>
      <c r="G34" s="152" cm="1">
        <f t="array" ref="G34">SUM(_xlfn._xlws.FILTER(SP2D[Realisasi],SP2D[Jenis Belanja2]="Belanja Barang Operasional",0))</f>
        <v>1056379516</v>
      </c>
      <c r="H34" s="153">
        <f t="shared" si="20"/>
        <v>50.408011039969303</v>
      </c>
      <c r="I34" s="154">
        <f t="shared" si="21"/>
        <v>1039278484</v>
      </c>
      <c r="J34" s="153">
        <f t="shared" si="22"/>
        <v>49.59198896003069</v>
      </c>
      <c r="K34" s="329"/>
    </row>
    <row r="35" spans="1:12">
      <c r="A35" s="155"/>
      <c r="B35" s="151" t="s">
        <v>4684</v>
      </c>
      <c r="C35" s="152" cm="1">
        <f t="array" ref="C35">SUM(_xlfn._xlws.FILTER(SP2D[DIPA_REVISI3],SP2D[Jenis Belanja2]="Belanja Barang Non Operasional",0))</f>
        <v>14011572000</v>
      </c>
      <c r="D35" s="152" cm="1">
        <f t="array" ref="D35">SUM(_xlfn._xlws.FILTER(SP2D[Blokir AA ke 1],SP2D[Jenis Belanja2]="Belanja Barang Non Operasional",0))</f>
        <v>0</v>
      </c>
      <c r="E35" s="152" cm="1">
        <f t="array" ref="E35">SUM(_xlfn._xlws.FILTER(SP2D[Blokir AA ke 2],SP2D[Jenis Belanja2]="Belanja Barang Non Operasional",0))</f>
        <v>2885626000</v>
      </c>
      <c r="F35" s="152">
        <f t="shared" si="23"/>
        <v>11125946000</v>
      </c>
      <c r="G35" s="152">
        <f>G11+G14+G15+G16+G18+G19+G21+G22+G8</f>
        <v>6673713159</v>
      </c>
      <c r="H35" s="153">
        <f t="shared" si="20"/>
        <v>59.983332284733358</v>
      </c>
      <c r="I35" s="154">
        <f t="shared" si="21"/>
        <v>4452232841</v>
      </c>
      <c r="J35" s="153">
        <f t="shared" si="22"/>
        <v>40.016667715266642</v>
      </c>
      <c r="K35" s="329"/>
    </row>
    <row r="36" spans="1:12">
      <c r="A36" s="146">
        <v>2</v>
      </c>
      <c r="B36" s="147" t="s">
        <v>3875</v>
      </c>
      <c r="C36" s="148">
        <f>C10</f>
        <v>655934000</v>
      </c>
      <c r="D36" s="148">
        <f>D10</f>
        <v>0</v>
      </c>
      <c r="E36" s="148">
        <f>E10</f>
        <v>1734000</v>
      </c>
      <c r="F36" s="148">
        <f>F10</f>
        <v>654200000</v>
      </c>
      <c r="G36" s="148" cm="1">
        <f t="array" ref="G36">SUM(_xlfn._xlws.FILTER(SP2D[Realisasi],SP2D[Jenis Belanja2]="Belanja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91" t="s">
        <v>590</v>
      </c>
      <c r="B38" s="592"/>
      <c r="C38" s="157">
        <f>SUM(C32,C33,C36)</f>
        <v>23342160000</v>
      </c>
      <c r="D38" s="157">
        <f t="shared" ref="D38:G38" si="24">SUM(D32,D33,D36)</f>
        <v>423949000</v>
      </c>
      <c r="E38" s="157">
        <f t="shared" si="24"/>
        <v>2887360000</v>
      </c>
      <c r="F38" s="157">
        <f t="shared" si="24"/>
        <v>20030851000</v>
      </c>
      <c r="G38" s="157">
        <f t="shared" si="24"/>
        <v>12836491330</v>
      </c>
      <c r="H38" s="158">
        <f t="shared" si="20"/>
        <v>64.083604485900267</v>
      </c>
      <c r="I38" s="157">
        <f t="shared" si="21"/>
        <v>7194359670</v>
      </c>
      <c r="J38" s="158">
        <f t="shared" si="22"/>
        <v>35.916395514099726</v>
      </c>
      <c r="K38" s="329"/>
    </row>
    <row r="39" spans="1:12">
      <c r="A39" s="591" t="s">
        <v>3876</v>
      </c>
      <c r="B39" s="592"/>
      <c r="C39" s="157"/>
      <c r="D39" s="157"/>
      <c r="E39" s="157"/>
      <c r="F39" s="157"/>
      <c r="G39" s="157"/>
      <c r="H39" s="158"/>
      <c r="I39" s="157"/>
      <c r="J39" s="158"/>
      <c r="K39" s="329"/>
    </row>
    <row r="40" spans="1:12">
      <c r="A40" s="591" t="s">
        <v>3877</v>
      </c>
      <c r="B40" s="592"/>
      <c r="C40" s="157">
        <f>C38</f>
        <v>23342160000</v>
      </c>
      <c r="D40" s="601">
        <f>SUM(D38:E38)</f>
        <v>3311309000</v>
      </c>
      <c r="E40" s="602"/>
      <c r="F40" s="157">
        <f>F38</f>
        <v>20030851000</v>
      </c>
      <c r="G40" s="157">
        <f>G38-G39</f>
        <v>12836491330</v>
      </c>
      <c r="H40" s="158">
        <f t="shared" si="20"/>
        <v>64.083604485900267</v>
      </c>
      <c r="I40" s="157">
        <f t="shared" si="21"/>
        <v>7194359670</v>
      </c>
      <c r="J40" s="158">
        <f t="shared" si="22"/>
        <v>35.916395514099726</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89" t="s">
        <v>571</v>
      </c>
      <c r="B45" s="589" t="s">
        <v>500</v>
      </c>
      <c r="C45" s="589" t="s">
        <v>4682</v>
      </c>
      <c r="D45" s="589" t="s">
        <v>4679</v>
      </c>
      <c r="E45" s="589" t="s">
        <v>4681</v>
      </c>
      <c r="F45" s="589" t="s">
        <v>4683</v>
      </c>
      <c r="G45" s="590" t="str">
        <f>IF($L$8=TRUE,"Realisasi vs Pagu+Blokir","Realisasi vs Pagu-Blokir")</f>
        <v>Realisasi vs Pagu-Blokir</v>
      </c>
      <c r="H45" s="590"/>
      <c r="I45" s="590" t="str">
        <f>IF($L$8=TRUE,"Sisa vs Pagu+Blokir","Sisa vs Pagu-Blokir")</f>
        <v>Sisa vs Pagu-Blokir</v>
      </c>
      <c r="J45" s="590"/>
    </row>
    <row r="46" spans="1:12">
      <c r="A46" s="589"/>
      <c r="B46" s="589"/>
      <c r="C46" s="589"/>
      <c r="D46" s="589"/>
      <c r="E46" s="589"/>
      <c r="F46" s="589"/>
      <c r="G46" s="312" t="s">
        <v>4691</v>
      </c>
      <c r="H46" s="312" t="s">
        <v>3729</v>
      </c>
      <c r="I46" s="312" t="s">
        <v>4691</v>
      </c>
      <c r="J46" s="312" t="s">
        <v>3729</v>
      </c>
    </row>
    <row r="47" spans="1:12">
      <c r="A47" s="569"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69"/>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9"/>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69"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69"/>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9"/>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69"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9"/>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9"/>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9"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69"/>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69"/>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87" t="s">
        <v>3735</v>
      </c>
      <c r="B59" s="587"/>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87" t="s">
        <v>4685</v>
      </c>
      <c r="B60" s="587"/>
      <c r="C60" s="310">
        <f>C59</f>
        <v>96812000</v>
      </c>
      <c r="D60" s="588">
        <f>SUM(D59:E59)</f>
        <v>0</v>
      </c>
      <c r="E60" s="588"/>
      <c r="F60" s="310">
        <f>F59</f>
        <v>96812000</v>
      </c>
      <c r="G60" s="122">
        <f>G59</f>
        <v>89176280</v>
      </c>
      <c r="H60" s="324">
        <f t="shared" si="26"/>
        <v>92.112837251580387</v>
      </c>
      <c r="I60" s="122">
        <f t="shared" si="27"/>
        <v>7635720</v>
      </c>
      <c r="J60" s="320">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9" t="str">
        <f>IF(L8=TRUE,"REALISASI DENGAN GAJI (BERDASARKAN PAGU SEBELUM BLOKIR)","REALISASI DENGAN GAJI (BERDASARKAN PAGU SETELAH BLOKIR)")</f>
        <v>REALISASI DENGAN GAJI (BERDASARKAN PAGU SETELAH BLOKIR)</v>
      </c>
      <c r="B1" s="579"/>
      <c r="C1" s="579"/>
      <c r="D1" s="579"/>
      <c r="E1" s="579"/>
      <c r="F1" s="579"/>
      <c r="G1" s="579"/>
      <c r="H1" s="579"/>
      <c r="I1" s="579"/>
      <c r="J1" s="579"/>
      <c r="L1" s="326"/>
    </row>
    <row r="2" spans="1:13" ht="15.75">
      <c r="A2" s="580" t="str">
        <f>'PER BULAN'!B5</f>
        <v>Berdasarkan DIPA Revisi 3 TA. 2022 (Tanggal 13 Juli 2022)</v>
      </c>
      <c r="B2" s="580"/>
      <c r="C2" s="580"/>
      <c r="D2" s="580"/>
      <c r="E2" s="580"/>
      <c r="F2" s="580"/>
      <c r="G2" s="580"/>
      <c r="H2" s="580"/>
      <c r="I2" s="580"/>
      <c r="J2" s="580"/>
    </row>
    <row r="3" spans="1:13" ht="15.75">
      <c r="A3" s="580" t="str">
        <f>'PER BULAN'!B6</f>
        <v>SAMPAI DENGAN 1 SEPTEMBER 2022</v>
      </c>
      <c r="B3" s="580"/>
      <c r="C3" s="580"/>
      <c r="D3" s="580"/>
      <c r="E3" s="580"/>
      <c r="F3" s="580"/>
      <c r="G3" s="580"/>
      <c r="H3" s="580"/>
      <c r="I3" s="580"/>
      <c r="J3" s="580"/>
    </row>
    <row r="4" spans="1:13">
      <c r="A4" s="331"/>
      <c r="B4" s="331"/>
      <c r="C4" s="331"/>
      <c r="D4" s="331"/>
      <c r="E4" s="331"/>
      <c r="F4" s="331"/>
      <c r="G4" s="331"/>
      <c r="H4" s="331"/>
      <c r="I4" s="331"/>
      <c r="J4" s="331"/>
    </row>
    <row r="5" spans="1:13" ht="15.75">
      <c r="A5" s="328" t="s">
        <v>3878</v>
      </c>
    </row>
    <row r="6" spans="1:13">
      <c r="A6" s="589" t="s">
        <v>571</v>
      </c>
      <c r="B6" s="589" t="s">
        <v>500</v>
      </c>
      <c r="C6" s="589" t="s">
        <v>4682</v>
      </c>
      <c r="D6" s="589" t="s">
        <v>4679</v>
      </c>
      <c r="E6" s="589" t="s">
        <v>4681</v>
      </c>
      <c r="F6" s="589" t="s">
        <v>3731</v>
      </c>
      <c r="G6" s="590" t="s">
        <v>3732</v>
      </c>
      <c r="H6" s="590"/>
      <c r="I6" s="590" t="s">
        <v>3733</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8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1056379516</v>
      </c>
      <c r="H9" s="318">
        <f t="shared" ref="H9:H23" si="0">IFERROR(IF($L$8=TRUE,G9/C9*100,G9/F9*100),0)</f>
        <v>48.112206728005908</v>
      </c>
      <c r="I9" s="115">
        <f t="shared" ref="I9:I25" si="1">IF($L$8=TRUE,C9-G9,F9-G9)</f>
        <v>1139278484</v>
      </c>
      <c r="J9" s="202">
        <f t="shared" ref="J9:J25" si="2">IFERROR(IF($L$8=TRUE,I9/C9*100,I9/F9*100),0)</f>
        <v>51.887793271994084</v>
      </c>
      <c r="K9" s="329"/>
    </row>
    <row r="10" spans="1:13">
      <c r="A10" s="584"/>
      <c r="B10" s="139" t="s">
        <v>43</v>
      </c>
      <c r="C10" s="115" cm="1">
        <f t="array" ref="C10">SUM(_xlfn._xlws.FILTER(SP2D[DIPA_REVISI2],SP2D[Jenis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cm="1">
        <f t="array" ref="F10">SUM(_xlfn._xlws.FILTER(SP2D[DIPA_REVISI3],SP2D[Jenis Belanja2]="Belanja Modal",0))</f>
        <v>655934000</v>
      </c>
      <c r="G10" s="115" cm="1">
        <f t="array" ref="G10">SUM(_xlfn._xlws.FILTER(SP2D[Realisasi],SP2D[Jenis Belanja2]="Belanja Modal",0))</f>
        <v>654200000</v>
      </c>
      <c r="H10" s="318">
        <f t="shared" si="0"/>
        <v>99.735644134928208</v>
      </c>
      <c r="I10" s="115">
        <f t="shared" si="1"/>
        <v>1734000</v>
      </c>
      <c r="J10" s="313">
        <f t="shared" si="2"/>
        <v>0.26435586507179076</v>
      </c>
      <c r="K10" s="329"/>
    </row>
    <row r="11" spans="1:13">
      <c r="A11" s="58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8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4452198655</v>
      </c>
      <c r="H12" s="318">
        <f t="shared" si="0"/>
        <v>72.334113045765534</v>
      </c>
      <c r="I12" s="115">
        <f t="shared" si="1"/>
        <v>1702848345</v>
      </c>
      <c r="J12" s="202">
        <f t="shared" si="2"/>
        <v>27.66588695423447</v>
      </c>
      <c r="K12" s="329"/>
    </row>
    <row r="13" spans="1:13">
      <c r="A13" s="585"/>
      <c r="B13" s="223" t="s">
        <v>4687</v>
      </c>
      <c r="C13" s="138">
        <f>SUM(C8:C12)</f>
        <v>10807010000</v>
      </c>
      <c r="D13" s="138">
        <f t="shared" ref="D13:G13" si="3">SUM(D8:D12)</f>
        <v>423949000</v>
      </c>
      <c r="E13" s="138">
        <f t="shared" si="3"/>
        <v>609552000</v>
      </c>
      <c r="F13" s="138">
        <f t="shared" si="3"/>
        <v>10483061000</v>
      </c>
      <c r="G13" s="138">
        <f t="shared" si="3"/>
        <v>6839791820</v>
      </c>
      <c r="H13" s="319">
        <f t="shared" si="0"/>
        <v>65.246132021935196</v>
      </c>
      <c r="I13" s="138">
        <f t="shared" si="1"/>
        <v>3643269180</v>
      </c>
      <c r="J13" s="203">
        <f t="shared" si="2"/>
        <v>34.753867978064804</v>
      </c>
      <c r="K13" s="329"/>
    </row>
    <row r="14" spans="1:13" ht="15" customHeight="1">
      <c r="A14" s="583"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84"/>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4949198748</v>
      </c>
      <c r="H15" s="318">
        <f t="shared" si="0"/>
        <v>57.666166594815024</v>
      </c>
      <c r="I15" s="115">
        <f t="shared" si="1"/>
        <v>3633301252</v>
      </c>
      <c r="J15" s="202">
        <f t="shared" si="2"/>
        <v>42.333833405184969</v>
      </c>
      <c r="K15" s="329"/>
      <c r="M15" s="161"/>
    </row>
    <row r="16" spans="1:13">
      <c r="A16" s="584"/>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85"/>
      <c r="B17" s="223" t="s">
        <v>4688</v>
      </c>
      <c r="C17" s="138">
        <f>SUM(C14:C16)</f>
        <v>9985150000</v>
      </c>
      <c r="D17" s="138">
        <f t="shared" ref="D17:E17" si="4">SUM(D14:D16)</f>
        <v>0</v>
      </c>
      <c r="E17" s="138">
        <f t="shared" si="4"/>
        <v>938934000</v>
      </c>
      <c r="F17" s="138">
        <f>SUM(F14:F16)</f>
        <v>9985150000</v>
      </c>
      <c r="G17" s="138">
        <f>SUM(G14:G16)</f>
        <v>5241820127</v>
      </c>
      <c r="H17" s="319">
        <f t="shared" si="0"/>
        <v>52.496158064726117</v>
      </c>
      <c r="I17" s="138">
        <f t="shared" si="1"/>
        <v>4743329873</v>
      </c>
      <c r="J17" s="203">
        <f t="shared" si="2"/>
        <v>47.503841935273883</v>
      </c>
      <c r="K17" s="329"/>
    </row>
    <row r="18" spans="1:13" ht="15" customHeight="1">
      <c r="A18" s="583"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158550590</v>
      </c>
      <c r="H18" s="318">
        <f t="shared" si="0"/>
        <v>33.442436194895592</v>
      </c>
      <c r="I18" s="115">
        <f t="shared" si="1"/>
        <v>315549410</v>
      </c>
      <c r="J18" s="202">
        <f t="shared" si="2"/>
        <v>66.557563805104408</v>
      </c>
      <c r="K18" s="329"/>
    </row>
    <row r="19" spans="1:13">
      <c r="A19" s="584"/>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108926585</v>
      </c>
      <c r="H19" s="318">
        <f t="shared" si="0"/>
        <v>13.539662523306401</v>
      </c>
      <c r="I19" s="115">
        <f t="shared" si="1"/>
        <v>695573415</v>
      </c>
      <c r="J19" s="202">
        <f t="shared" si="2"/>
        <v>86.460337476693596</v>
      </c>
      <c r="K19" s="329"/>
      <c r="M19" s="161"/>
    </row>
    <row r="20" spans="1:13">
      <c r="A20" s="585"/>
      <c r="B20" s="223" t="s">
        <v>4689</v>
      </c>
      <c r="C20" s="138">
        <f>SUM(C18:C19)</f>
        <v>1278600000</v>
      </c>
      <c r="D20" s="138">
        <f t="shared" ref="D20:E20" si="5">SUM(D18:D19)</f>
        <v>0</v>
      </c>
      <c r="E20" s="138">
        <f t="shared" si="5"/>
        <v>906231000</v>
      </c>
      <c r="F20" s="138">
        <f>SUM(F18:F19)</f>
        <v>1278600000</v>
      </c>
      <c r="G20" s="138">
        <f>SUM(G18:G19)</f>
        <v>267477175</v>
      </c>
      <c r="H20" s="319">
        <f t="shared" si="0"/>
        <v>20.919535038323168</v>
      </c>
      <c r="I20" s="138">
        <f t="shared" si="1"/>
        <v>1011122825</v>
      </c>
      <c r="J20" s="203">
        <f t="shared" si="2"/>
        <v>79.080464961676839</v>
      </c>
      <c r="K20" s="329"/>
    </row>
    <row r="21" spans="1:13" ht="15" customHeight="1">
      <c r="A21" s="583"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391052990</v>
      </c>
      <c r="H21" s="318">
        <f t="shared" si="0"/>
        <v>56.979890718344748</v>
      </c>
      <c r="I21" s="115">
        <f t="shared" si="1"/>
        <v>295247010</v>
      </c>
      <c r="J21" s="202">
        <f t="shared" si="2"/>
        <v>43.020109281655259</v>
      </c>
      <c r="K21" s="329"/>
    </row>
    <row r="22" spans="1:13">
      <c r="A22" s="584"/>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85"/>
      <c r="B23" s="223" t="s">
        <v>4690</v>
      </c>
      <c r="C23" s="138">
        <f>SUM(C21:C22)</f>
        <v>1271400000</v>
      </c>
      <c r="D23" s="138">
        <f t="shared" ref="D23:E23" si="6">SUM(D21:D22)</f>
        <v>0</v>
      </c>
      <c r="E23" s="138">
        <f t="shared" si="6"/>
        <v>432643000</v>
      </c>
      <c r="F23" s="138">
        <f>SUM(F21:F22)</f>
        <v>1271400000</v>
      </c>
      <c r="G23" s="138">
        <f>SUM(G21:G22)</f>
        <v>487402208</v>
      </c>
      <c r="H23" s="319">
        <f t="shared" si="0"/>
        <v>38.335866603743909</v>
      </c>
      <c r="I23" s="138">
        <f t="shared" si="1"/>
        <v>783997792</v>
      </c>
      <c r="J23" s="203">
        <f t="shared" si="2"/>
        <v>61.664133396256091</v>
      </c>
      <c r="K23" s="329"/>
    </row>
    <row r="24" spans="1:13">
      <c r="A24" s="587" t="s">
        <v>3735</v>
      </c>
      <c r="B24" s="587"/>
      <c r="C24" s="122">
        <f>C13++C17+C20+C23</f>
        <v>23342160000</v>
      </c>
      <c r="D24" s="122">
        <f t="shared" ref="D24:E24" si="7">D13++D17+D20+D23</f>
        <v>423949000</v>
      </c>
      <c r="E24" s="122">
        <f t="shared" si="7"/>
        <v>2887360000</v>
      </c>
      <c r="F24" s="122">
        <f>F13++F17+F20+F23</f>
        <v>23018211000</v>
      </c>
      <c r="G24" s="122">
        <f>G13++G17+G20+G23</f>
        <v>12836491330</v>
      </c>
      <c r="H24" s="320">
        <f>IFERROR(IF($L$8=TRUE,G24/C24*100,G24/F24*100),0)</f>
        <v>55.766676784742309</v>
      </c>
      <c r="I24" s="122">
        <f t="shared" si="1"/>
        <v>10181719670</v>
      </c>
      <c r="J24" s="204">
        <f t="shared" si="2"/>
        <v>44.233323215257691</v>
      </c>
      <c r="K24" s="329"/>
      <c r="M24" s="159"/>
    </row>
    <row r="25" spans="1:13">
      <c r="A25" s="595" t="s">
        <v>4685</v>
      </c>
      <c r="B25" s="596"/>
      <c r="C25" s="310">
        <f>C24</f>
        <v>23342160000</v>
      </c>
      <c r="D25" s="597">
        <f>SUM(D24,E24)</f>
        <v>3311309000</v>
      </c>
      <c r="E25" s="598"/>
      <c r="F25" s="310">
        <f>F24</f>
        <v>23018211000</v>
      </c>
      <c r="G25" s="122">
        <f>G24</f>
        <v>12836491330</v>
      </c>
      <c r="H25" s="320">
        <f>IFERROR(IF($L$8=TRUE,G25/C25*100,G25/F25*100),0)</f>
        <v>55.766676784742309</v>
      </c>
      <c r="I25" s="122">
        <f t="shared" si="1"/>
        <v>10181719670</v>
      </c>
      <c r="J25" s="204">
        <f t="shared" si="2"/>
        <v>44.233323215257691</v>
      </c>
      <c r="K25" s="329"/>
      <c r="M25" s="161"/>
    </row>
    <row r="28" spans="1:13">
      <c r="M28" s="349"/>
    </row>
    <row r="29" spans="1:13" ht="15.75">
      <c r="A29" s="328" t="s">
        <v>3885</v>
      </c>
    </row>
    <row r="30" spans="1:13" ht="14.45" customHeight="1">
      <c r="A30" s="593" t="s">
        <v>3871</v>
      </c>
      <c r="B30" s="593" t="s">
        <v>3872</v>
      </c>
      <c r="C30" s="593" t="s">
        <v>4682</v>
      </c>
      <c r="D30" s="599" t="s">
        <v>4679</v>
      </c>
      <c r="E30" s="599" t="s">
        <v>4681</v>
      </c>
      <c r="F30" s="589" t="s">
        <v>3731</v>
      </c>
      <c r="G30" s="590" t="s">
        <v>3732</v>
      </c>
      <c r="H30" s="590"/>
      <c r="I30" s="590" t="s">
        <v>3733</v>
      </c>
      <c r="J30" s="590"/>
    </row>
    <row r="31" spans="1:13">
      <c r="A31" s="594"/>
      <c r="B31" s="594"/>
      <c r="C31" s="594"/>
      <c r="D31" s="600"/>
      <c r="E31" s="600"/>
      <c r="F31" s="589"/>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4452198655</v>
      </c>
      <c r="H32" s="149">
        <f t="shared" ref="H32:H40" si="9">IFERROR(IF($L$8=TRUE,G32/C32*100,G32/F32*100),0)</f>
        <v>72.334113045765534</v>
      </c>
      <c r="I32" s="150">
        <f t="shared" ref="I32:I40" si="10">IF($L$8=TRUE,C32-G32,F32-G32)</f>
        <v>1702848345</v>
      </c>
      <c r="J32" s="149">
        <f t="shared" ref="J32:J40" si="11">IFERROR(IF($L$8=TRUE,I32/C32*100,I32/F32*100),0)</f>
        <v>27.66588695423447</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7730092675</v>
      </c>
      <c r="H33" s="149">
        <f t="shared" si="9"/>
        <v>47.695335199167282</v>
      </c>
      <c r="I33" s="150">
        <f t="shared" si="10"/>
        <v>8477137325</v>
      </c>
      <c r="J33" s="149">
        <f t="shared" si="11"/>
        <v>52.304664800832711</v>
      </c>
      <c r="K33" s="329"/>
    </row>
    <row r="34" spans="1:12">
      <c r="A34" s="155"/>
      <c r="B34" s="151" t="s">
        <v>3874</v>
      </c>
      <c r="C34" s="152" cm="1">
        <f t="array" ref="C34">SUM(_xlfn._xlws.FILTER(SP2D[DIPA_REVISI2],SP2D[Jenis Belanja2]="Belanja Barang Operasional",0))</f>
        <v>2195658000</v>
      </c>
      <c r="D34" s="152" cm="1">
        <f t="array" ref="D34">SUM(_xlfn._xlws.FILTER(SP2D[Blokir AA ke 1],SP2D[Jenis Belanja2]="Belanja Barang Operasional",0))</f>
        <v>100000000</v>
      </c>
      <c r="E34" s="152" cm="1">
        <f t="array" ref="E34">SUM(_xlfn._xlws.FILTER(SP2D[Blokir AA ke 2],SP2D[Jenis Belanja2]="Belanja Barang Operasional",0))</f>
        <v>0</v>
      </c>
      <c r="F34" s="152" cm="1">
        <f t="array" ref="F34">SUM(_xlfn._xlws.FILTER(SP2D[DIPA_REVISI3],SP2D[Jenis Belanja2]="Belanja Barang Operasional",0))</f>
        <v>2195658000</v>
      </c>
      <c r="G34" s="152" cm="1">
        <f t="array" ref="G34">SUM(_xlfn._xlws.FILTER(SP2D[Realisasi],SP2D[Jenis Belanja2]="Belanja Barang Operasional",0))</f>
        <v>1056379516</v>
      </c>
      <c r="H34" s="153">
        <f t="shared" si="9"/>
        <v>48.112206728005908</v>
      </c>
      <c r="I34" s="154">
        <f t="shared" si="10"/>
        <v>1139278484</v>
      </c>
      <c r="J34" s="153">
        <f t="shared" si="11"/>
        <v>51.887793271994084</v>
      </c>
      <c r="K34" s="329"/>
    </row>
    <row r="35" spans="1:12">
      <c r="A35" s="155"/>
      <c r="B35" s="151" t="s">
        <v>4684</v>
      </c>
      <c r="C35" s="152" cm="1">
        <f t="array" ref="C35">SUM(_xlfn._xlws.FILTER(SP2D[DIPA_REVISI2],SP2D[Jenis Belanja2]="Belanja Barang Non Operasional",0))</f>
        <v>14011572000</v>
      </c>
      <c r="D35" s="152" cm="1">
        <f t="array" ref="D35">SUM(_xlfn._xlws.FILTER(SP2D[Blokir AA ke 1],SP2D[Jenis Belanja2]="Belanja Barang Non Operasional",0))</f>
        <v>0</v>
      </c>
      <c r="E35" s="152" cm="1">
        <f t="array" ref="E35">SUM(_xlfn._xlws.FILTER(SP2D[Blokir AA ke 2],SP2D[Jenis Belanja2]="Belanja Barang Non Operasional",0))</f>
        <v>2885626000</v>
      </c>
      <c r="F35" s="152" cm="1">
        <f t="array" ref="F35">SUM(_xlfn._xlws.FILTER(SP2D[DIPA_REVISI3],SP2D[Jenis Belanja2]="Belanja Barang Non Operasional",0))</f>
        <v>14011572000</v>
      </c>
      <c r="G35" s="152">
        <f>G11+G14+G15+G16+G18+G19+G21+G22+G8</f>
        <v>6673713159</v>
      </c>
      <c r="H35" s="153">
        <f t="shared" si="9"/>
        <v>47.630010101650264</v>
      </c>
      <c r="I35" s="154">
        <f t="shared" si="10"/>
        <v>7337858841</v>
      </c>
      <c r="J35" s="153">
        <f t="shared" si="11"/>
        <v>52.369989898349736</v>
      </c>
      <c r="K35" s="329"/>
    </row>
    <row r="36" spans="1:12">
      <c r="A36" s="146">
        <v>2</v>
      </c>
      <c r="B36" s="147" t="s">
        <v>3875</v>
      </c>
      <c r="C36" s="148">
        <f>C10</f>
        <v>655934000</v>
      </c>
      <c r="D36" s="148">
        <f>D10</f>
        <v>0</v>
      </c>
      <c r="E36" s="148">
        <f>E10</f>
        <v>1734000</v>
      </c>
      <c r="F36" s="148">
        <f>F10</f>
        <v>655934000</v>
      </c>
      <c r="G36" s="148" cm="1">
        <f t="array" ref="G36">SUM(_xlfn._xlws.FILTER(SP2D[Realisasi],SP2D[Jenis Belanja2]="Belanja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91" t="s">
        <v>590</v>
      </c>
      <c r="B38" s="592"/>
      <c r="C38" s="157">
        <f>SUM(C32,C33,C36)</f>
        <v>23342160000</v>
      </c>
      <c r="D38" s="157">
        <f t="shared" ref="D38:G38" si="13">SUM(D32,D33,D36)</f>
        <v>423949000</v>
      </c>
      <c r="E38" s="157">
        <f t="shared" si="13"/>
        <v>2887360000</v>
      </c>
      <c r="F38" s="157">
        <f t="shared" si="13"/>
        <v>23018211000</v>
      </c>
      <c r="G38" s="157">
        <f t="shared" si="13"/>
        <v>12836491330</v>
      </c>
      <c r="H38" s="158">
        <f t="shared" si="9"/>
        <v>55.766676784742309</v>
      </c>
      <c r="I38" s="157">
        <f t="shared" si="10"/>
        <v>10181719670</v>
      </c>
      <c r="J38" s="158">
        <f t="shared" si="11"/>
        <v>44.233323215257691</v>
      </c>
      <c r="K38" s="329"/>
    </row>
    <row r="39" spans="1:12">
      <c r="A39" s="591" t="s">
        <v>3876</v>
      </c>
      <c r="B39" s="592"/>
      <c r="C39" s="157"/>
      <c r="D39" s="157"/>
      <c r="E39" s="157"/>
      <c r="F39" s="157"/>
      <c r="G39" s="157"/>
      <c r="H39" s="158"/>
      <c r="I39" s="157"/>
      <c r="J39" s="158"/>
      <c r="K39" s="329"/>
    </row>
    <row r="40" spans="1:12">
      <c r="A40" s="591" t="s">
        <v>3877</v>
      </c>
      <c r="B40" s="592"/>
      <c r="C40" s="157">
        <f>C38</f>
        <v>23342160000</v>
      </c>
      <c r="D40" s="601">
        <f>SUM(D38:E38)</f>
        <v>3311309000</v>
      </c>
      <c r="E40" s="602"/>
      <c r="F40" s="157">
        <f>F38</f>
        <v>23018211000</v>
      </c>
      <c r="G40" s="157">
        <f>G38-G39</f>
        <v>12836491330</v>
      </c>
      <c r="H40" s="158">
        <f t="shared" si="9"/>
        <v>55.766676784742309</v>
      </c>
      <c r="I40" s="157">
        <f t="shared" si="10"/>
        <v>10181719670</v>
      </c>
      <c r="J40" s="158">
        <f t="shared" si="11"/>
        <v>44.233323215257691</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89" t="s">
        <v>571</v>
      </c>
      <c r="B45" s="589" t="s">
        <v>500</v>
      </c>
      <c r="C45" s="589" t="s">
        <v>4682</v>
      </c>
      <c r="D45" s="589" t="s">
        <v>4679</v>
      </c>
      <c r="E45" s="589" t="s">
        <v>4681</v>
      </c>
      <c r="F45" s="589" t="s">
        <v>3731</v>
      </c>
      <c r="G45" s="590" t="s">
        <v>3732</v>
      </c>
      <c r="H45" s="590"/>
      <c r="I45" s="590" t="s">
        <v>3733</v>
      </c>
      <c r="J45" s="590"/>
    </row>
    <row r="46" spans="1:12">
      <c r="A46" s="589"/>
      <c r="B46" s="589"/>
      <c r="C46" s="589"/>
      <c r="D46" s="589"/>
      <c r="E46" s="589"/>
      <c r="F46" s="589"/>
      <c r="G46" s="312" t="s">
        <v>4691</v>
      </c>
      <c r="H46" s="312" t="s">
        <v>3729</v>
      </c>
      <c r="I46" s="312" t="s">
        <v>4691</v>
      </c>
      <c r="J46" s="312" t="s">
        <v>3729</v>
      </c>
    </row>
    <row r="47" spans="1:12">
      <c r="A47" s="569"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69"/>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9"/>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69"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69"/>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9"/>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69"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9"/>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9"/>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9"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69"/>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69"/>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87" t="s">
        <v>3735</v>
      </c>
      <c r="B59" s="587"/>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87" t="s">
        <v>4685</v>
      </c>
      <c r="B60" s="587"/>
      <c r="C60" s="310">
        <f>C59</f>
        <v>101811000</v>
      </c>
      <c r="D60" s="588">
        <f>SUM(D59:E59)</f>
        <v>0</v>
      </c>
      <c r="E60" s="588"/>
      <c r="F60" s="310">
        <f>F59</f>
        <v>96812000</v>
      </c>
      <c r="G60" s="122">
        <f>G59</f>
        <v>89176280</v>
      </c>
      <c r="H60" s="324">
        <f t="shared" si="14"/>
        <v>92.112837251580387</v>
      </c>
      <c r="I60" s="122">
        <f t="shared" si="15"/>
        <v>7635720</v>
      </c>
      <c r="J60" s="320">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603" t="str">
        <f>'PERSUBBID - Gaji'!A1</f>
        <v>REALISASI TANPA GAJI (BERDASARKAN PAGU SETELAH BLOKIR)</v>
      </c>
      <c r="C1" s="603"/>
      <c r="D1" s="603"/>
      <c r="E1" s="603"/>
      <c r="F1" s="603"/>
      <c r="G1" s="603"/>
      <c r="H1" s="603"/>
      <c r="I1" s="603"/>
      <c r="J1" s="603"/>
      <c r="K1" s="603"/>
      <c r="L1" s="603"/>
      <c r="M1" s="603"/>
      <c r="N1" s="603"/>
      <c r="O1" s="603"/>
      <c r="P1" s="603"/>
    </row>
    <row r="2" spans="2:16" ht="15.75">
      <c r="B2" s="580" t="str">
        <f>'PERSUBBID - Gaji'!A2</f>
        <v>Berdasarkan DIPA Revisi 3 TA. 2022 (Tanggal 13 Juli 2022)</v>
      </c>
      <c r="C2" s="580"/>
      <c r="D2" s="580"/>
      <c r="E2" s="580"/>
      <c r="F2" s="580"/>
      <c r="G2" s="580"/>
      <c r="H2" s="580"/>
      <c r="I2" s="580"/>
      <c r="J2" s="580"/>
      <c r="K2" s="580"/>
      <c r="L2" s="580"/>
      <c r="M2" s="580"/>
      <c r="N2" s="580"/>
      <c r="O2" s="580"/>
      <c r="P2" s="580"/>
    </row>
    <row r="3" spans="2:16" ht="15.75">
      <c r="B3" s="580" t="str">
        <f>'PERSUBBID - Gaji'!A3</f>
        <v>SAMPAI DENGAN 1 SEPTEMBER 2022</v>
      </c>
      <c r="C3" s="580"/>
      <c r="D3" s="580"/>
      <c r="E3" s="580"/>
      <c r="F3" s="580"/>
      <c r="G3" s="580"/>
      <c r="H3" s="580"/>
      <c r="I3" s="580"/>
      <c r="J3" s="580"/>
      <c r="K3" s="580"/>
      <c r="L3" s="580"/>
      <c r="M3" s="580"/>
      <c r="N3" s="580"/>
      <c r="O3" s="580"/>
      <c r="P3" s="58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42</vt:i4>
      </vt:variant>
    </vt:vector>
  </HeadingPairs>
  <TitlesOfParts>
    <vt:vector size="65" baseType="lpstr">
      <vt:lpstr>DIPA4_PUSDIK (2)</vt:lpstr>
      <vt:lpstr>DIPA Revisi 3</vt:lpstr>
      <vt:lpstr>SP2D ON</vt:lpstr>
      <vt:lpstr>Pagu Per Jenis Akun2</vt:lpstr>
      <vt:lpstr>Pagu Per Jenis Akun</vt:lpstr>
      <vt:lpstr>Sisa Per Jenis Akun</vt:lpstr>
      <vt:lpstr>PERAKUN</vt:lpstr>
      <vt:lpstr>GUP TUP</vt:lpstr>
      <vt:lpstr>Sheet1</vt:lpstr>
      <vt:lpstr>SP2D</vt:lpstr>
      <vt:lpstr>SP2D Gaji</vt:lpstr>
      <vt:lpstr>PER BULAN</vt:lpstr>
      <vt:lpstr>Real SPAN vs SAKTI (Tanpa Gaji)</vt:lpstr>
      <vt:lpstr>Real SPAN vs SAKTI (Plus Gaji)</vt:lpstr>
      <vt:lpstr>Real Per Jenis Belanja</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'Pagu Per Jenis Akun'!Print_Area</vt:lpstr>
      <vt:lpstr>'Pagu Per Jenis Akun2'!Print_Area</vt:lpstr>
      <vt:lpstr>'PER BULAN'!Print_Area</vt:lpstr>
      <vt:lpstr>PERAKUN!Print_Area</vt:lpstr>
      <vt:lpstr>'PERSUBBID - Gaji'!Print_Area</vt:lpstr>
      <vt:lpstr>'PERSUBBID - Gaji Non Blokir'!Print_Area</vt:lpstr>
      <vt:lpstr>'PERSUBBID + GAJI'!Print_Area</vt:lpstr>
      <vt:lpstr>'PERSUBBID + GAJI Non Blokir'!Print_Area</vt:lpstr>
      <vt:lpstr>'Real Per Jenis Belanja'!Print_Area</vt:lpstr>
      <vt:lpstr>'Real SPAN vs SAKTI (Plus Gaji)'!Print_Area</vt:lpstr>
      <vt:lpstr>'Real SPAN vs SAKTI (Tanpa Gaji)'!Print_Area</vt:lpstr>
      <vt:lpstr>'Sisa Per Jenis Akun'!Print_Area</vt:lpstr>
      <vt:lpstr>'SP2D ON'!Print_Area</vt:lpstr>
      <vt:lpstr>'TANPA GAJI'!Print_Area</vt:lpstr>
      <vt:lpstr>'DIPA Revisi 3'!Print_Titles</vt:lpstr>
      <vt:lpstr>'DIPA4_PUSDIK (2)'!Print_Titles</vt:lpstr>
      <vt:lpstr>'Pagu Per Jenis Akun'!Print_Titles</vt:lpstr>
      <vt:lpstr>'Pagu Per Jenis Akun2'!Print_Titles</vt:lpstr>
      <vt:lpstr>'PER BULAN'!Print_Titles</vt:lpstr>
      <vt:lpstr>PERAKUN!Print_Titles</vt:lpstr>
      <vt:lpstr>'Sisa Per Jenis 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2022-09-01T02:43:13Z</cp:lastPrinted>
  <dcterms:created xsi:type="dcterms:W3CDTF">2021-07-27T04:05:22Z</dcterms:created>
  <dcterms:modified xsi:type="dcterms:W3CDTF">2022-09-01T02:56:00Z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