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14882322-D341-436A-B72E-D2F47902DB88}" xr6:coauthVersionLast="47" xr6:coauthVersionMax="47" xr10:uidLastSave="{00000000-0000-0000-0000-000000000000}"/>
  <bookViews>
    <workbookView xWindow="-120" yWindow="-120" windowWidth="29040" windowHeight="15840" tabRatio="872" firstSheet="1" activeTab="3"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4" i="23"/>
  <c r="O7" i="23"/>
  <c r="O6" i="23"/>
  <c r="O5" i="23"/>
  <c r="D45" i="22"/>
  <c r="C42" i="22"/>
  <c r="C45" i="22" s="1"/>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F43" i="22" l="1"/>
  <c r="E43" i="22"/>
  <c r="E45" i="22" s="1"/>
  <c r="BE152" i="16"/>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0" i="23" l="1"/>
  <c r="O3" i="23"/>
  <c r="L8" i="23" s="1"/>
  <c r="Q4" i="23"/>
  <c r="BE196" i="13"/>
  <c r="BE148" i="13"/>
  <c r="BE147" i="13" s="1"/>
  <c r="BE146" i="13" s="1"/>
  <c r="BE155" i="13"/>
  <c r="O11"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L7" i="23" l="1"/>
  <c r="L6" i="23"/>
  <c r="BD196" i="13"/>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<sst xmlns="http://schemas.openxmlformats.org/spreadsheetml/2006/main" count="120405" uniqueCount="7778">
  <si>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</si>
  <si>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</si>
  <si>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</si>
  <si>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</si>
  <si>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</si>
  <si>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</si>
  <si>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</si>
  <si>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</si>
  <si>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</si>
  <si>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</si>
  <si>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</si>
  <si>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</si>
  <si>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</si>
  <si>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</si>
  <si>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</si>
  <si>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</si>
  <si>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</si>
  <si>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</si>
  <si>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</si>
  <si>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</si>
  <si>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</si>
  <si>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</si>
  <si>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</si>
  <si>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</si>
  <si>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</si>
  <si>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</si>
  <si>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</si>
  <si>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</si>
  <si>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</si>
  <si>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</si>
  <si>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</si>
  <si>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</si>
  <si>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</si>
  <si>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</si>
  <si>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</si>
  <si>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</si>
  <si>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</si>
  <si>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</si>
  <si>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</si>
  <si>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</si>
  <si>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</si>
  <si>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</si>
  <si>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</si>
  <si>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</si>
  <si>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</si>
  <si>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</si>
  <si>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</si>
  <si>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</si>
  <si>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</si>
  <si>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</si>
  <si>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</si>
  <si>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</si>
  <si>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</si>
  <si>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</si>
  <si>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</si>
  <si>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</si>
  <si>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</si>
  <si>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</si>
  <si>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</si>
  <si>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</si>
  <si>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</si>
  <si>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</si>
  <si>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</si>
  <si>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</si>
  <si>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</si>
  <si>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</si>
  <si>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</si>
  <si>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</si>
  <si>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</si>
  <si>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</si>
  <si>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</si>
  <si>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</si>
  <si>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</si>
  <si>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</si>
  <si>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</si>
  <si>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</si>
  <si>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</si>
  <si>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</si>
  <si>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</si>
  <si>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</si>
  <si>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</si>
  <si>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</si>
  <si>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</si>
  <si>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</si>
  <si>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</si>
  <si>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</si>
  <si>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</si>
  <si>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</si>
  <si>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</si>
  <si>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</si>
  <si>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</si>
  <si>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</si>
  <si>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</si>
  <si>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</si>
  <si>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</si>
  <si>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</si>
  <si>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</si>
  <si>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</si>
  <si>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</si>
  <si>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</si>
  <si>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</si>
  <si>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</si>
  <si>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</si>
  <si>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</si>
  <si>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</si>
  <si>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</si>
  <si>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</si>
  <si>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</si>
  <si>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</si>
  <si>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</si>
  <si>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</si>
  <si>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</si>
  <si>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</si>
  <si>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</si>
  <si>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</si>
  <si>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</si>
  <si>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</si>
  <si>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</si>
  <si>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</si>
  <si>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</si>
  <si>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</si>
  <si>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</si>
  <si>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</si>
  <si>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</si>
  <si>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</si>
  <si>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</si>
  <si>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</si>
  <si>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</si>
  <si>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</si>
  <si>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</si>
  <si>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</si>
  <si>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</si>
  <si>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</si>
  <si>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</si>
  <si>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</si>
  <si>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</si>
  <si>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</si>
  <si>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</si>
  <si>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</si>
  <si>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</si>
  <si>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</si>
  <si>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</si>
  <si>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</si>
  <si>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</si>
  <si>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</si>
  <si>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</si>
  <si>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</si>
  <si>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</si>
  <si>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</si>
  <si>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</si>
  <si>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</si>
  <si>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</si>
  <si>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</si>
  <si>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</si>
  <si>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</si>
  <si>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</si>
  <si>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</si>
  <si>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</si>
  <si>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</si>
  <si>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</si>
  <si>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</si>
  <si>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</si>
  <si>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</si>
  <si>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</si>
  <si>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</si>
  <si>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</si>
  <si>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</si>
  <si>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</si>
  <si>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</si>
  <si>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</si>
  <si>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</si>
  <si>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</si>
  <si>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</si>
  <si>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</si>
  <si>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</si>
  <si>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</si>
  <si>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</si>
  <si>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</si>
  <si>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</si>
  <si>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</si>
  <si>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</si>
  <si>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</si>
  <si>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</si>
  <si>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</si>
  <si>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</si>
  <si>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</si>
  <si>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</si>
  <si>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</si>
  <si>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</si>
  <si>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</si>
  <si>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</si>
  <si>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</si>
  <si>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</si>
  <si>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</si>
  <si>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</si>
  <si>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</si>
  <si>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</si>
  <si>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</si>
  <si>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</si>
  <si>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</si>
  <si>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</si>
  <si>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</si>
  <si>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</si>
  <si>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</si>
  <si>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</si>
  <si>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</si>
  <si>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</si>
  <si>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</si>
  <si>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</si>
  <si>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</si>
  <si>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</si>
  <si>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</si>
  <si>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</si>
  <si>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</si>
  <si>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</si>
  <si>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</si>
  <si>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</si>
  <si>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</si>
  <si>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</si>
  <si>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</si>
  <si>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</si>
  <si>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</si>
  <si>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</si>
  <si>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</si>
  <si>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</si>
  <si>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</si>
  <si>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</si>
  <si>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</si>
  <si>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</si>
  <si>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</si>
  <si>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</si>
  <si>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</si>
  <si>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</si>
  <si>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</si>
  <si>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</si>
  <si>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</si>
  <si>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</si>
  <si>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</si>
  <si>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</si>
  <si>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</si>
  <si>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</si>
  <si>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</si>
  <si>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</si>
  <si>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</si>
  <si>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</si>
  <si>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</si>
  <si>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</si>
  <si>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</si>
  <si>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</si>
  <si>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</si>
  <si>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</si>
  <si>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</si>
  <si>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</si>
  <si>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</si>
  <si>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</si>
  <si>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</si>
  <si>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</si>
  <si>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</si>
  <si>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</si>
  <si>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</si>
  <si>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</si>
  <si>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</si>
  <si>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</si>
  <si>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</si>
  <si>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</si>
  <si>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</si>
  <si>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</si>
  <si>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</si>
  <si>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</si>
  <si>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</si>
  <si>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</si>
  <si>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</si>
  <si>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</si>
  <si>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</si>
  <si>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</si>
  <si>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</si>
  <si>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</si>
  <si>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</si>
  <si>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</si>
  <si>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</si>
  <si>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</si>
  <si>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</si>
  <si>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</si>
  <si>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</si>
  <si>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</si>
  <si>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</si>
  <si>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</si>
  <si>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</si>
  <si>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</si>
  <si>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</si>
  <si>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</si>
  <si>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</si>
  <si>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</si>
  <si>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</si>
  <si>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</si>
  <si>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</si>
  <si>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</si>
  <si>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</si>
  <si>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</si>
  <si>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</si>
  <si>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</si>
  <si>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</si>
  <si>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</si>
  <si>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</si>
  <si>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</si>
  <si>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</si>
  <si>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</si>
  <si>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</si>
  <si>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</si>
  <si>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</si>
  <si>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</si>
  <si>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</si>
  <si>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</si>
  <si>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</si>
  <si>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</si>
  <si>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</si>
  <si>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</si>
  <si>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</si>
  <si>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</si>
  <si>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</si>
  <si>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</si>
  <si>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</si>
  <si>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</si>
  <si>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</si>
  <si>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</si>
  <si>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</si>
  <si>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</si>
  <si>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</si>
  <si>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</si>
  <si>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</si>
  <si>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</si>
  <si>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</si>
  <si>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</si>
  <si>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</si>
  <si>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</si>
  <si>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</si>
  <si>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</si>
  <si>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</si>
  <si>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</si>
  <si>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</si>
  <si>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</si>
  <si>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</si>
  <si>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</si>
  <si>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</si>
  <si>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</si>
  <si>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</si>
  <si>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</si>
  <si>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</si>
  <si>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</si>
  <si>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</si>
  <si>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</si>
  <si>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</si>
  <si>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</si>
  <si>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</si>
  <si>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</si>
  <si>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</si>
  <si>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</si>
  <si>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</si>
  <si>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</si>
  <si>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</si>
  <si>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</si>
  <si>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</si>
  <si>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</si>
  <si>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</si>
  <si>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</si>
  <si>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</si>
  <si>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</si>
  <si>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</si>
  <si>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</si>
  <si>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</si>
  <si>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</si>
  <si>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</si>
  <si>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</si>
  <si>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</si>
  <si>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</si>
  <si>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</si>
  <si>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</si>
  <si>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</si>
  <si>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</si>
  <si>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</si>
  <si>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</si>
  <si>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</si>
  <si>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</si>
  <si>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</si>
  <si>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</si>
  <si>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</si>
  <si>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</si>
  <si>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</si>
  <si>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</si>
  <si>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</si>
  <si>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</si>
  <si>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</si>
  <si>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</si>
  <si>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</si>
  <si>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</si>
  <si>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</si>
  <si>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</si>
  <si>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</si>
  <si>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</si>
  <si>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</si>
  <si>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</si>
  <si>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</si>
  <si>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</si>
  <si>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</si>
  <si>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</si>
  <si>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</si>
  <si>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</si>
  <si>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</si>
  <si>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</si>
  <si>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</si>
  <si>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</si>
  <si>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</si>
  <si>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</si>
  <si>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</si>
  <si>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</si>
  <si>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</si>
  <si>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</si>
  <si>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</si>
  <si>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</si>
  <si>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</si>
  <si>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</si>
  <si>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</si>
  <si>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</si>
  <si>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</si>
  <si>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</si>
  <si>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</si>
  <si>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</si>
  <si>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</si>
  <si>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</si>
  <si>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</si>
  <si>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</si>
  <si>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</si>
  <si>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</si>
  <si>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</si>
  <si>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</si>
  <si>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</si>
  <si>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</si>
  <si>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</si>
  <si>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</si>
  <si>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</si>
  <si>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</si>
  <si>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</si>
  <si>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</si>
  <si>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</si>
  <si>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</si>
  <si>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</si>
  <si>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</si>
  <si>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</si>
  <si>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</si>
  <si>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</si>
  <si>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</si>
  <si>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</si>
  <si>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</si>
  <si>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</si>
  <si>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</si>
  <si>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</si>
  <si>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</si>
  <si>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</si>
  <si>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</si>
  <si>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</si>
  <si>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</si>
  <si>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</si>
  <si>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</si>
  <si>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</si>
  <si>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</si>
  <si>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</si>
  <si>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</si>
  <si>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</si>
  <si>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</si>
  <si>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</si>
  <si>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</si>
  <si>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</si>
  <si>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</si>
  <si>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</si>
  <si>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</si>
  <si>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</si>
  <si>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</si>
  <si>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</si>
  <si>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</si>
  <si>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</si>
  <si>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</si>
  <si>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</si>
  <si>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</si>
  <si>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</si>
  <si>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</si>
  <si>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</si>
  <si>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</si>
  <si>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</si>
  <si>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</si>
  <si>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</si>
  <si>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</si>
  <si>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</si>
  <si>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</si>
  <si>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</si>
  <si>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</si>
  <si>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</si>
  <si>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</si>
  <si>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</si>
  <si>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</si>
  <si>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</si>
  <si>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</si>
  <si>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</si>
  <si>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</si>
  <si>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</si>
  <si>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</si>
  <si>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</si>
  <si>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</si>
  <si>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</si>
  <si>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</si>
  <si>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</si>
  <si>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</si>
  <si>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</si>
  <si>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</si>
  <si>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</si>
  <si>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</si>
  <si>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</si>
  <si>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</si>
  <si>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</si>
  <si>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</si>
  <si>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</si>
  <si>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</si>
  <si>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</si>
  <si>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</si>
  <si>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</si>
  <si>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</si>
  <si>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</si>
  <si>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</si>
  <si>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</si>
  <si>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</si>
  <si>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</si>
  <si>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</si>
  <si>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</si>
  <si>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</si>
  <si>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</si>
  <si>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</si>
  <si>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</si>
  <si>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</si>
  <si>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</si>
  <si>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</si>
  <si>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</si>
  <si>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</si>
  <si>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</si>
  <si>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</si>
  <si>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</si>
  <si>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</si>
  <si>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</si>
  <si>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</si>
  <si>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</si>
  <si>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</si>
  <si>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</si>
  <si>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</si>
  <si>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</si>
  <si>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</si>
  <si>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</si>
  <si>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</si>
  <si>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</si>
  <si>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</si>
  <si>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</si>
  <si>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</si>
  <si>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</si>
  <si>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</si>
  <si>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</si>
  <si>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</si>
  <si>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</si>
  <si>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</si>
  <si>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</si>
  <si>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</si>
  <si>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</si>
  <si>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</si>
  <si>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</si>
  <si>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</si>
  <si>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</si>
  <si>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</si>
  <si>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</si>
  <si>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</si>
  <si>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</si>
  <si>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</si>
  <si>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</si>
  <si>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</si>
  <si>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</si>
  <si>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</si>
  <si>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</si>
  <si>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</si>
  <si>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</si>
  <si>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</si>
  <si>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</si>
  <si>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</si>
  <si>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</si>
  <si>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</si>
  <si>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</si>
  <si>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</si>
  <si>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</si>
  <si>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</si>
  <si>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</si>
  <si>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</si>
  <si>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</si>
  <si>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</si>
  <si>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</si>
  <si>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</si>
  <si>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</si>
  <si>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</si>
  <si>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</si>
  <si>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</si>
  <si>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</si>
  <si>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</si>
  <si>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</si>
  <si>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</si>
  <si>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</si>
  <si>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</si>
  <si>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</si>
  <si>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</si>
  <si>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</si>
  <si>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</si>
  <si>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</si>
  <si>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</si>
  <si>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</si>
  <si>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</si>
  <si>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</si>
  <si>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</si>
  <si>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</si>
  <si>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</si>
  <si>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</si>
  <si>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</si>
  <si>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</si>
  <si>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</si>
  <si>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</si>
  <si>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</si>
  <si>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</si>
  <si>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</si>
  <si>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</si>
  <si>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</si>
  <si>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</si>
  <si>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</si>
  <si>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</si>
  <si>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</si>
  <si>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</si>
  <si>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</si>
  <si>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</si>
  <si>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</si>
  <si>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</si>
  <si>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</si>
  <si>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</si>
  <si>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</si>
  <si>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</si>
  <si>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</si>
  <si>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</si>
  <si>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</si>
  <si>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</si>
  <si>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</si>
  <si>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</si>
  <si>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</si>
  <si>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</si>
  <si>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</si>
  <si>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</si>
  <si>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</si>
  <si>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</si>
  <si>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</si>
  <si>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</si>
  <si>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</si>
  <si>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</si>
  <si>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</si>
  <si>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</si>
  <si>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</si>
  <si>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</si>
  <si>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</si>
  <si>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</si>
  <si>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</si>
  <si>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</si>
  <si>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</si>
  <si>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</si>
  <si>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</si>
  <si>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</si>
  <si>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</si>
  <si>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</si>
  <si>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</si>
  <si>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</si>
  <si>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</si>
  <si>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</si>
  <si>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</si>
  <si>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</si>
  <si>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</si>
  <si>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</si>
  <si>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</si>
  <si>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</si>
  <si>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</si>
  <si>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</si>
  <si>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</si>
  <si>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</si>
  <si>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</si>
  <si>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</si>
  <si>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</si>
  <si>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</si>
  <si>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</si>
  <si>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</si>
  <si>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</si>
  <si>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</si>
  <si>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</si>
  <si>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</si>
  <si>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</si>
  <si>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</si>
  <si>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</si>
  <si>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</si>
  <si>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</si>
  <si>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</si>
  <si>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</si>
  <si>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</si>
  <si>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</si>
  <si>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</si>
  <si>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</si>
  <si>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</si>
  <si>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</si>
  <si>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</si>
  <si>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</si>
  <si>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</si>
  <si>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</si>
  <si>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</si>
  <si>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</si>
  <si>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</si>
  <si>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</si>
  <si>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</si>
  <si>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</si>
  <si>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</si>
  <si>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</si>
  <si>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</si>
  <si>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</si>
  <si>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</si>
  <si>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</si>
  <si>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</si>
  <si>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</si>
  <si>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</si>
  <si>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</si>
  <si>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</si>
  <si>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</si>
  <si>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</si>
  <si>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</si>
  <si>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</si>
  <si>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</si>
  <si>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</si>
  <si>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</si>
  <si>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</si>
  <si>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</si>
  <si>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</si>
  <si>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</si>
  <si>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</si>
  <si>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</si>
  <si>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</si>
  <si>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</si>
  <si>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</si>
  <si>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</si>
  <si>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</si>
  <si>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</si>
  <si>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</si>
  <si>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</si>
  <si>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</si>
  <si>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</si>
  <si>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</si>
  <si>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</si>
  <si>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</si>
  <si>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</si>
  <si>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</si>
  <si>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</si>
  <si>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</si>
  <si>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</si>
  <si>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</si>
  <si>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</si>
  <si>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</si>
  <si>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</si>
  <si>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</si>
  <si>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</si>
  <si>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</si>
  <si>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</si>
  <si>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</si>
  <si>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</si>
  <si>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</si>
  <si>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</si>
  <si>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</si>
  <si>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</si>
  <si>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</si>
  <si>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</si>
  <si>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</si>
  <si>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</si>
  <si>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</si>
  <si>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</si>
  <si>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</si>
  <si>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</si>
  <si>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</si>
  <si>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</si>
  <si>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</si>
  <si>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</si>
  <si>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</si>
  <si>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</si>
  <si>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</si>
  <si>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</si>
  <si>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</si>
  <si>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</si>
  <si>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</si>
  <si>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</si>
  <si>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</si>
  <si>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</si>
  <si>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</si>
  <si>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</si>
  <si>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</si>
  <si>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</si>
  <si>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</si>
  <si>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</si>
  <si>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</si>
  <si>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</si>
  <si>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</si>
  <si>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</si>
  <si>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</si>
  <si>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</si>
  <si>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</si>
  <si>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</si>
  <si>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</si>
  <si>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</si>
  <si>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</si>
  <si>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</si>
  <si>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</si>
  <si>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</si>
  <si>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</si>
  <si>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</si>
  <si>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</si>
  <si>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</si>
  <si>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</si>
  <si>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</si>
  <si>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</si>
  <si>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</si>
  <si>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</si>
  <si>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</si>
  <si>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</si>
  <si>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</si>
  <si>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</si>
  <si>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</si>
  <si>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</si>
  <si>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</si>
  <si>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</si>
  <si>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</si>
  <si>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</si>
  <si>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</si>
  <si>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</si>
  <si>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</si>
  <si>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</si>
  <si>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</si>
  <si>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</si>
  <si>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</si>
  <si>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</si>
  <si>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</si>
  <si>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</si>
  <si>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</si>
  <si>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</si>
  <si>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</si>
  <si>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</si>
  <si>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</si>
  <si>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</si>
  <si>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</si>
  <si>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</si>
  <si>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</si>
  <si>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</si>
  <si>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</si>
  <si>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</si>
  <si>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</si>
  <si>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</si>
  <si>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</si>
  <si>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</si>
  <si>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</si>
  <si>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</si>
  <si>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</si>
  <si>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</si>
  <si>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</si>
  <si>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</si>
  <si>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</si>
  <si>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</si>
  <si>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</si>
  <si>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</si>
  <si>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</si>
  <si>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</si>
  <si>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</si>
  <si>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</si>
  <si>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</si>
  <si>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</si>
  <si>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</si>
  <si>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</si>
  <si>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</si>
  <si>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</si>
  <si>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</si>
  <si>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</si>
  <si>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</si>
  <si>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</si>
  <si>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</si>
  <si>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</si>
  <si>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</si>
  <si>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</si>
  <si>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</si>
  <si>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</si>
  <si>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</si>
  <si>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</si>
  <si>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</si>
  <si>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</si>
  <si>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</si>
  <si>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</si>
  <si>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</si>
  <si>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</si>
  <si>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</si>
  <si>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</si>
  <si>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</si>
  <si>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</si>
  <si>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</si>
  <si>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</si>
  <si>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</si>
  <si>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</si>
  <si>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</si>
  <si>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</si>
  <si>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</si>
  <si>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</si>
  <si>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</si>
  <si>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</si>
  <si>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</si>
  <si>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</si>
  <si>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</si>
  <si>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</si>
  <si>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</si>
  <si>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</si>
  <si>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</si>
  <si>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</si>
  <si>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</si>
  <si>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</si>
  <si>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</si>
  <si>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</si>
  <si>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</si>
  <si>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</si>
  <si>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</si>
  <si>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</si>
  <si>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</si>
  <si>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</si>
  <si>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</si>
  <si>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</si>
  <si>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</si>
  <si>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</si>
  <si>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</si>
  <si>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</si>
  <si>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</si>
  <si>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</si>
  <si>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</si>
  <si>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</si>
  <si>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</si>
  <si>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</si>
  <si>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</si>
  <si>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</si>
  <si>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</si>
  <si>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</si>
  <si>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</si>
  <si>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</si>
  <si>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</si>
  <si>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</si>
  <si>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</si>
  <si>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</si>
  <si>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</si>
  <si>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</si>
  <si>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</si>
  <si>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</si>
  <si>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</si>
  <si>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</si>
  <si>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</si>
  <si>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</si>
  <si>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</si>
  <si>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</si>
  <si>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</si>
  <si>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</si>
  <si>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</si>
  <si>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</si>
  <si>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</si>
  <si>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</si>
  <si>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</si>
  <si>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</si>
  <si>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</si>
  <si>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</si>
  <si>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</si>
  <si>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</si>
  <si>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</si>
  <si>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</si>
  <si>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</si>
  <si>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</si>
  <si>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</si>
  <si>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</si>
  <si>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</si>
  <si>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</si>
  <si>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</si>
  <si>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</si>
  <si>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</si>
  <si>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</si>
  <si>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</si>
  <si>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</si>
  <si>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</si>
  <si>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</si>
  <si>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</si>
  <si>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</si>
  <si>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</si>
  <si>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</si>
  <si>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</si>
  <si>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</si>
  <si>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</si>
  <si>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</si>
  <si>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</si>
  <si>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</si>
  <si>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</si>
  <si>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</si>
  <si>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</si>
  <si>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</si>
  <si>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</si>
  <si>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</si>
  <si>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</si>
  <si>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</si>
  <si>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</si>
  <si>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</si>
  <si>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</si>
  <si>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</si>
  <si>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</si>
  <si>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</si>
  <si>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</si>
  <si>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</si>
  <si>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</si>
  <si>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</si>
  <si>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</si>
  <si>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</si>
  <si>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</si>
  <si>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</si>
  <si>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</si>
  <si>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</si>
  <si>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</si>
  <si>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</si>
  <si>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</si>
  <si>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</si>
  <si>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</si>
  <si>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</si>
  <si>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</si>
  <si>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</si>
  <si>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</si>
  <si>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</si>
  <si>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</si>
  <si>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</si>
  <si>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</si>
  <si>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</si>
  <si>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</si>
  <si>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</si>
  <si>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</si>
  <si>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</si>
  <si>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</si>
  <si>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</si>
  <si>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</si>
  <si>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</si>
  <si>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</si>
  <si>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</si>
  <si>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</si>
  <si>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</si>
  <si>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</si>
  <si>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</si>
  <si>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</si>
  <si>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</si>
  <si>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</si>
  <si>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</si>
  <si>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</si>
  <si>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</si>
  <si>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</si>
  <si>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</si>
  <si>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</si>
  <si>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</si>
  <si>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</si>
  <si>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</si>
  <si>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</si>
  <si>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</si>
  <si>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</si>
  <si>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</si>
  <si>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</si>
  <si>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</si>
  <si>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</si>
  <si>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</si>
  <si>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</si>
  <si>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</si>
  <si>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</si>
  <si>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</si>
  <si>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</si>
  <si>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</si>
  <si>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</si>
  <si>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</si>
  <si>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</si>
  <si>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</si>
  <si>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</si>
  <si>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</si>
  <si>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</si>
  <si>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</si>
  <si>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</si>
  <si>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</si>
  <si>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</si>
  <si>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</si>
  <si>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</si>
  <si>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</si>
  <si>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</si>
  <si>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</si>
  <si>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</si>
  <si>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</si>
  <si>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</si>
  <si>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</si>
  <si>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</si>
  <si>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</si>
  <si>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</si>
  <si>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</si>
  <si>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</si>
  <si>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</si>
  <si>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</si>
  <si>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</si>
  <si>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</si>
  <si>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</si>
  <si>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</si>
  <si>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</si>
  <si>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</si>
  <si>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</si>
  <si>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</si>
  <si>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</si>
  <si>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</si>
  <si>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</si>
  <si>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</si>
  <si>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</si>
  <si>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</si>
  <si>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</si>
  <si>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</si>
  <si>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</si>
  <si>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</si>
  <si>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</si>
  <si>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</si>
  <si>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</si>
  <si>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</si>
  <si>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</si>
  <si>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</si>
  <si>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</si>
  <si>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</si>
  <si>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</si>
  <si>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</si>
  <si>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</si>
  <si>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</si>
  <si>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</si>
  <si>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</si>
  <si>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</si>
  <si>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</si>
  <si>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</si>
  <si>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</si>
  <si>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</si>
  <si>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</si>
  <si>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</si>
  <si>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</si>
  <si>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</si>
  <si>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</si>
  <si>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</si>
  <si>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</si>
  <si>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</si>
  <si>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</si>
  <si>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</si>
  <si>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</si>
  <si>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</si>
  <si>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</si>
  <si>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</si>
  <si>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</si>
  <si>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</si>
  <si>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</si>
  <si>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</si>
  <si>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</si>
  <si>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</si>
  <si>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</si>
  <si>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</si>
  <si>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</si>
  <si>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</si>
  <si>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</si>
  <si>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</si>
  <si>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</si>
  <si>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</si>
  <si>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</si>
  <si>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</si>
  <si>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</si>
  <si>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</si>
  <si>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</si>
  <si>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</si>
  <si>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</si>
  <si>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</si>
  <si>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</si>
  <si>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</si>
  <si>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</si>
  <si>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</si>
  <si>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</si>
  <si>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</si>
  <si>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</si>
  <si>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</si>
  <si>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</si>
  <si>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</si>
  <si>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</si>
  <si>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</si>
  <si>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</si>
  <si>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</si>
  <si>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</si>
  <si>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</si>
  <si>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</si>
  <si>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</si>
  <si>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</si>
  <si>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</si>
  <si>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</si>
  <si>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</si>
  <si>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</si>
  <si>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</si>
  <si>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</si>
  <si>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</si>
  <si>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</si>
  <si>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</si>
  <si>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</si>
  <si>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</si>
  <si>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</si>
  <si>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</si>
  <si>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</si>
  <si>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</si>
  <si>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</si>
  <si>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</si>
  <si>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</si>
  <si>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</si>
  <si>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</si>
  <si>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</si>
  <si>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</si>
  <si>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</si>
  <si>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</si>
  <si>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</si>
  <si>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</si>
  <si>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</si>
  <si>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</si>
  <si>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</si>
  <si>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</si>
  <si>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</si>
  <si>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</si>
  <si>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</si>
  <si>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</si>
  <si>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</si>
  <si>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</si>
  <si>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</si>
  <si>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</si>
  <si>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</si>
  <si>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</si>
  <si>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</si>
  <si>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</si>
  <si>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</si>
  <si>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</si>
  <si>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</si>
  <si>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</si>
  <si>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</si>
  <si>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</si>
  <si>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</si>
  <si>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</si>
  <si>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</si>
  <si>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</si>
  <si>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</si>
  <si>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</si>
  <si>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</si>
  <si>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</si>
  <si>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</si>
  <si>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</si>
  <si>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</si>
  <si>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</si>
  <si>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</si>
  <si>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</si>
  <si>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</si>
  <si>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</si>
  <si>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</si>
  <si>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</si>
  <si>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</si>
  <si>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</si>
  <si>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</si>
  <si>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</si>
  <si>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</si>
  <si>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</si>
  <si>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</si>
  <si>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</si>
  <si>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</si>
  <si>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</si>
  <si>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</si>
  <si>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</si>
  <si>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</si>
  <si>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</si>
  <si>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</si>
  <si>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</si>
  <si>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</si>
  <si>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</si>
  <si>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</si>
  <si>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</si>
  <si>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</si>
  <si>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</si>
  <si>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</si>
  <si>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</si>
  <si>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</si>
  <si>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</si>
  <si>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</si>
  <si>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</si>
  <si>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</si>
  <si>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</si>
  <si>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</si>
  <si>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</si>
  <si>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</si>
  <si>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</si>
  <si>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</si>
  <si>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</si>
  <si>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</si>
  <si>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</si>
  <si>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</si>
  <si>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</si>
  <si>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</si>
  <si>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</si>
  <si>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</si>
  <si>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</si>
  <si>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</si>
  <si>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</si>
  <si>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</si>
  <si>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</si>
  <si>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</si>
  <si>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</si>
  <si>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</si>
  <si>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</si>
  <si>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</si>
  <si>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</si>
  <si>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</si>
  <si>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</si>
  <si>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</si>
  <si>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</si>
  <si>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</si>
  <si>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</si>
  <si>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</si>
  <si>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</si>
  <si>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</si>
  <si>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</si>
  <si>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</si>
  <si>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</si>
  <si>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</si>
  <si>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</si>
  <si>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</si>
  <si>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</si>
  <si>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</si>
  <si>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</si>
  <si>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</si>
  <si>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</si>
  <si>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</si>
  <si>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</si>
  <si>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</si>
  <si>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</si>
  <si>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</si>
  <si>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</si>
  <si>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</si>
  <si>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</si>
  <si>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</si>
  <si>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</si>
  <si>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</si>
  <si>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</si>
  <si>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</si>
  <si>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</si>
  <si>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</si>
  <si>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</si>
  <si>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</si>
  <si>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</si>
  <si>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</si>
  <si>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</si>
  <si>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</si>
  <si>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</si>
  <si>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</si>
  <si>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</si>
  <si>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</si>
  <si>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</si>
  <si>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</si>
  <si>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</si>
  <si>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</si>
  <si>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</si>
  <si>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</si>
  <si>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</si>
  <si>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</si>
  <si>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</si>
  <si>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</si>
  <si>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</si>
  <si>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</si>
  <si>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</si>
  <si>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</si>
  <si>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</si>
  <si>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</si>
  <si>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</si>
  <si>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</si>
  <si>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</si>
  <si>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</si>
  <si>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</si>
  <si>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</si>
  <si>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</si>
  <si>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</si>
  <si>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</si>
  <si>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</si>
  <si>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</si>
  <si>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</si>
  <si>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</si>
  <si>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</si>
  <si>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</si>
  <si>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</si>
  <si>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</si>
  <si>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</si>
  <si>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</si>
  <si>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</si>
  <si>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</si>
  <si>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</si>
  <si>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</si>
  <si>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</si>
  <si>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</si>
  <si>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</si>
  <si>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</si>
  <si>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</si>
  <si>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</si>
  <si>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</si>
  <si>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</si>
  <si>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</si>
  <si>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</si>
  <si>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</si>
  <si>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</si>
  <si>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</si>
  <si>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</si>
  <si>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</si>
  <si>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</si>
  <si>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</si>
  <si>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</si>
  <si>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</si>
  <si>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</si>
  <si>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</si>
  <si>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</si>
  <si>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</si>
  <si>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</si>
  <si>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</si>
  <si>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</si>
  <si>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</si>
  <si>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</si>
  <si>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</si>
  <si>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</si>
  <si>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</si>
  <si>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</si>
  <si>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</si>
  <si>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</si>
  <si>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</si>
  <si>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</si>
  <si>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</si>
  <si>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</si>
  <si>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</si>
  <si>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</si>
  <si>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</si>
  <si>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</si>
  <si>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</si>
  <si>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</si>
  <si>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</si>
  <si>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</si>
  <si>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</si>
  <si>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</si>
  <si>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</si>
  <si>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</si>
  <si>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</si>
  <si>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</si>
  <si>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</si>
  <si>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</si>
  <si>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</si>
  <si>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</si>
  <si>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</si>
  <si>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</si>
  <si>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</si>
  <si>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</si>
  <si>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</si>
  <si>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</si>
  <si>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</si>
  <si>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</si>
  <si>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</si>
  <si>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</si>
  <si>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</si>
  <si>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</si>
  <si>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</si>
  <si>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</si>
  <si>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</si>
  <si>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</si>
  <si>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</si>
  <si>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</si>
  <si>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</si>
  <si>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</si>
  <si>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</si>
  <si>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</si>
  <si>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</si>
  <si>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</si>
  <si>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</si>
  <si>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</si>
  <si>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</si>
  <si>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</si>
  <si>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</si>
  <si>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</si>
  <si>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</si>
  <si>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</si>
  <si>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</si>
  <si>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</si>
  <si>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</si>
  <si>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</si>
  <si>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</si>
  <si>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</si>
  <si>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</si>
  <si>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</si>
  <si>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</si>
  <si>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</si>
  <si>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</si>
  <si>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</si>
  <si>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</si>
  <si>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</si>
  <si>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</si>
  <si>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</si>
  <si>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</si>
  <si>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</si>
  <si>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</si>
  <si>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</si>
  <si>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</si>
  <si>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</si>
  <si>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</si>
  <si>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</si>
  <si>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</si>
  <si>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</si>
  <si>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</si>
  <si>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</si>
  <si>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</si>
  <si>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</si>
  <si>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</si>
  <si>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</si>
  <si>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</si>
  <si>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</si>
  <si>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</si>
  <si>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</si>
  <si>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</si>
  <si>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</si>
  <si>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</si>
  <si>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</si>
  <si>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</si>
  <si>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</si>
  <si>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</si>
  <si>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</si>
  <si>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</si>
  <si>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</si>
  <si>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</si>
  <si>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</si>
  <si>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</si>
  <si>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</si>
  <si>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</si>
  <si>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</si>
  <si>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</si>
  <si>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</si>
  <si>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</si>
  <si>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</si>
  <si>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</si>
  <si>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</si>
  <si>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</si>
  <si>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</si>
  <si>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</si>
  <si>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</si>
  <si>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</si>
  <si>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</si>
  <si>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</si>
  <si>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</si>
  <si>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</si>
  <si>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</si>
  <si>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</si>
  <si>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</si>
  <si>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</si>
  <si>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</si>
  <si>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</si>
  <si>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</si>
  <si>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</si>
  <si>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</si>
  <si>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</si>
  <si>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</si>
  <si>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</si>
  <si>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</si>
  <si>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</si>
  <si>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</si>
  <si>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</si>
  <si>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</si>
  <si>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</si>
  <si>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</si>
  <si>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</si>
  <si>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</si>
  <si>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</si>
  <si>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</si>
  <si>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</si>
  <si>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</si>
  <si>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</si>
  <si>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</si>
  <si>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</si>
  <si>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</si>
  <si>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</si>
  <si>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</si>
  <si>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</si>
  <si>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</si>
  <si>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</si>
  <si>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</si>
  <si>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</si>
  <si>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</si>
  <si>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</si>
  <si>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</si>
  <si>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</si>
  <si>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</si>
  <si>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</si>
  <si>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</si>
  <si>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</si>
  <si>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</si>
  <si>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</si>
  <si>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</si>
  <si>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</si>
  <si>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</si>
  <si>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</si>
  <si>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</si>
  <si>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</si>
  <si>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</si>
  <si>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</si>
  <si>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</si>
  <si>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</si>
  <si>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</si>
  <si>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</si>
  <si>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</si>
  <si>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</si>
  <si>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</si>
  <si>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</si>
  <si>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</si>
  <si>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</si>
  <si>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</si>
  <si>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</si>
  <si>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</si>
  <si>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</si>
  <si>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</si>
  <si>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</si>
  <si>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</si>
  <si>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</si>
  <si>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</si>
  <si>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</si>
  <si>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</si>
  <si>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</si>
  <si>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</si>
  <si>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</si>
  <si>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</si>
  <si>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</si>
  <si>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</si>
  <si>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</si>
  <si>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</si>
  <si>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</si>
  <si>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</si>
  <si>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</si>
  <si>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</si>
  <si>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</si>
  <si>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</si>
  <si>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</si>
  <si>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</si>
  <si>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</si>
  <si>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</si>
  <si>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</si>
  <si>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</si>
  <si>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</si>
  <si>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</si>
  <si>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</si>
  <si>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</si>
  <si>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</si>
  <si>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</si>
  <si>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</si>
  <si>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</si>
  <si>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</si>
  <si>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</si>
  <si>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</si>
  <si>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</si>
  <si>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</si>
  <si>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</si>
  <si>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</si>
  <si>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</si>
  <si>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</si>
  <si>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</si>
  <si>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</si>
  <si>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</si>
  <si>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</si>
  <si>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</si>
  <si>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</si>
  <si>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</si>
  <si>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</si>
  <si>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</si>
  <si>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</si>
  <si>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</si>
  <si>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</si>
  <si>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</si>
  <si>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</si>
  <si>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</si>
  <si>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</si>
  <si>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</si>
  <si>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</si>
  <si>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</si>
  <si>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</si>
  <si>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</si>
  <si>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</si>
  <si>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</si>
  <si>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</si>
  <si>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</si>
  <si>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</si>
  <si>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</si>
  <si>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</si>
  <si>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</si>
  <si>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</si>
  <si>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</si>
  <si>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</si>
  <si>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</si>
  <si>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</si>
  <si>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</si>
  <si>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</si>
  <si>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</si>
  <si>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</si>
  <si>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</si>
  <si>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</si>
  <si>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</si>
  <si>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</si>
  <si>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</si>
  <si>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</si>
  <si>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</si>
  <si>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</si>
  <si>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</si>
  <si>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</si>
  <si>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</si>
  <si>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</si>
  <si>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</si>
  <si>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</si>
  <si>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</si>
  <si>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</si>
  <si>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</si>
  <si>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</si>
  <si>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</si>
  <si>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</si>
  <si>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</si>
  <si>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</si>
  <si>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</si>
  <si>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</si>
  <si>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</si>
  <si>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</si>
  <si>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</si>
  <si>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</si>
  <si>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</si>
  <si>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</si>
  <si>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</si>
  <si>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</si>
  <si>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</si>
  <si>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</si>
  <si>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</si>
  <si>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</si>
  <si>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</si>
  <si>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</si>
  <si>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</si>
  <si>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</si>
  <si>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</si>
  <si>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</si>
  <si>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</si>
  <si>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</si>
  <si>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</si>
  <si>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</si>
  <si>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</si>
  <si>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</si>
  <si>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</si>
  <si>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</si>
  <si>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</si>
  <si>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</si>
  <si>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</si>
  <si>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</si>
  <si>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</si>
  <si>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</si>
  <si>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</si>
  <si>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</si>
  <si>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</si>
  <si>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</si>
  <si>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</si>
  <si>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</si>
  <si>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</si>
  <si>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</si>
  <si>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</si>
  <si>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</si>
  <si>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</si>
  <si>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</si>
  <si>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</si>
  <si>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</si>
  <si>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</si>
  <si>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</si>
  <si>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</si>
  <si>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</si>
  <si>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</si>
  <si>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</si>
  <si>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</si>
  <si>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</si>
  <si>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</si>
  <si>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</si>
  <si>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</si>
  <si>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</si>
  <si>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</si>
  <si>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</si>
  <si>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</si>
  <si>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</si>
  <si>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</si>
  <si>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</si>
  <si>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</si>
  <si>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</si>
  <si>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</si>
  <si>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</si>
  <si>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</si>
  <si>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</si>
  <si>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</si>
  <si>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</si>
  <si>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</si>
  <si>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</si>
  <si>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</si>
  <si>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</si>
  <si>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</si>
  <si>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</si>
  <si>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</si>
  <si>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</si>
  <si>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</si>
  <si>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</si>
  <si>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</si>
  <si>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</si>
  <si>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</si>
  <si>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</si>
  <si>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</si>
  <si>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</si>
  <si>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</si>
  <si>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</si>
  <si>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</si>
  <si>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</si>
  <si>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</si>
  <si>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</si>
  <si>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</si>
  <si>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</si>
  <si>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</si>
  <si>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</si>
  <si>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</si>
  <si>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</si>
  <si>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</si>
  <si>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</si>
  <si>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</si>
  <si>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</si>
  <si>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</si>
  <si>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</si>
  <si>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</si>
  <si>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</si>
  <si>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</si>
  <si>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</si>
  <si>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</si>
  <si>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</si>
  <si>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</si>
  <si>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</si>
  <si>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</si>
  <si>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</si>
  <si>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</si>
  <si>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</si>
  <si>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</si>
  <si>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</si>
  <si>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</si>
  <si>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</si>
  <si>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</si>
  <si>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</si>
  <si>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</si>
  <si>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</si>
  <si>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</si>
  <si>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</si>
  <si>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</si>
  <si>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</si>
  <si>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</si>
  <si>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</si>
  <si>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</si>
  <si>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</si>
  <si>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</si>
  <si>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</si>
  <si>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</si>
  <si>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</si>
  <si>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</si>
  <si>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</si>
  <si>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</si>
  <si>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</si>
  <si>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</si>
  <si>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</si>
  <si>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</si>
  <si>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</si>
  <si>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</si>
  <si>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</si>
  <si>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</si>
  <si>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</si>
  <si>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</si>
  <si>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</si>
  <si>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</si>
  <si>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</si>
  <si>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</si>
  <si>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</si>
  <si>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</si>
  <si>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</si>
  <si>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</si>
  <si>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</si>
  <si>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</si>
  <si>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</si>
  <si>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</si>
  <si>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</si>
  <si>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</si>
  <si>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</si>
  <si>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</si>
  <si>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</si>
  <si>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</si>
  <si>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</si>
  <si>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</si>
  <si>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</si>
  <si>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</si>
  <si>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</si>
  <si>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</si>
  <si>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</si>
  <si>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</si>
  <si>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</si>
  <si>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</si>
  <si>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</si>
  <si>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</si>
  <si>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</si>
  <si>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</si>
  <si>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</si>
  <si>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</si>
  <si>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</si>
  <si>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</si>
  <si>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</si>
  <si>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</si>
  <si>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</si>
  <si>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</si>
  <si>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</si>
  <si>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</si>
  <si>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</si>
  <si>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</si>
  <si>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</si>
  <si>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</si>
  <si>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</si>
  <si>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</si>
  <si>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</si>
  <si>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</si>
  <si>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</si>
  <si>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</si>
  <si>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</si>
  <si>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</si>
  <si>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</si>
  <si>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</si>
  <si>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</si>
  <si>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</si>
  <si>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</si>
  <si>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</si>
  <si>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</si>
  <si>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</si>
  <si>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</si>
  <si>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</si>
  <si>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</si>
  <si>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</si>
  <si>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</si>
  <si>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</si>
  <si>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</si>
  <si>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</si>
  <si>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</si>
  <si>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</si>
  <si>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</si>
  <si>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</si>
  <si>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</si>
  <si>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</si>
  <si>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</si>
  <si>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</si>
  <si>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</si>
  <si>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</si>
  <si>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</si>
  <si>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</si>
  <si>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</si>
  <si>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</si>
  <si>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</si>
  <si>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</si>
  <si>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</si>
  <si>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</si>
  <si>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</si>
  <si>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</si>
  <si>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</si>
  <si>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</si>
  <si>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</si>
  <si>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</si>
  <si>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</si>
  <si>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</si>
  <si>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</si>
  <si>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</si>
  <si>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</si>
  <si>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</si>
  <si>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</si>
  <si>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</si>
  <si>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</si>
  <si>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</si>
  <si>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</si>
  <si>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</si>
  <si>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</si>
  <si>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</si>
  <si>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</si>
  <si>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</si>
  <si>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</si>
  <si>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</si>
  <si>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</si>
  <si>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</si>
  <si>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</si>
  <si>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</si>
  <si>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</si>
  <si>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</si>
  <si>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</si>
  <si>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</si>
  <si>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</si>
  <si>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</si>
  <si>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</si>
  <si>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</si>
  <si>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</si>
  <si>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</si>
  <si>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</si>
  <si>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</si>
  <si>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</si>
  <si>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</si>
  <si>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</si>
  <si>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</si>
  <si>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</si>
  <si>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</si>
  <si>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</si>
  <si>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</si>
  <si>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</si>
  <si>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</si>
  <si>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</si>
  <si>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</si>
  <si>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</si>
  <si>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</si>
  <si>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</si>
  <si>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</si>
  <si>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</si>
  <si>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</si>
  <si>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</si>
  <si>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</si>
  <si>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</si>
  <si>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</si>
  <si>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</si>
  <si>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</si>
  <si>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</si>
  <si>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</si>
  <si>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</si>
  <si>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</si>
  <si>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</si>
  <si>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</si>
  <si>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</si>
  <si>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</si>
  <si>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</si>
  <si>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</si>
  <si>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</si>
  <si>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</si>
  <si>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</si>
  <si>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</si>
  <si>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</si>
  <si>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</si>
  <si>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</si>
  <si>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</si>
  <si>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</si>
  <si>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</si>
  <si>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</si>
  <si>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</si>
  <si>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</si>
  <si>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</si>
  <si>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</si>
  <si>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</si>
  <si>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</si>
  <si>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</si>
  <si>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</si>
  <si>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</si>
  <si>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</si>
  <si>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</si>
  <si>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</si>
  <si>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</si>
  <si>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</si>
  <si>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</si>
  <si>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</si>
  <si>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</si>
  <si>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</si>
  <si>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</si>
  <si>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</si>
  <si>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</si>
  <si>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</si>
  <si>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</si>
  <si>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</si>
  <si>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</si>
  <si>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</si>
  <si>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</si>
  <si>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</si>
  <si>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</si>
  <si>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</si>
  <si>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</si>
  <si>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</si>
  <si>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</si>
  <si>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</si>
  <si>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</si>
  <si>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</si>
  <si>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</si>
  <si>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</si>
  <si>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</si>
  <si>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</si>
  <si>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</si>
  <si>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</si>
  <si>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</si>
  <si>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</si>
  <si>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</si>
  <si>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</si>
  <si>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</si>
  <si>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</si>
  <si>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</si>
  <si>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</si>
  <si>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</si>
  <si>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</si>
  <si>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</si>
  <si>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</si>
  <si>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</si>
  <si>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</si>
  <si>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</si>
  <si>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</si>
  <si>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</si>
  <si>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</si>
  <si>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</si>
  <si>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</si>
  <si>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</si>
  <si>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</si>
  <si>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</si>
  <si>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</si>
  <si>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</si>
  <si>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</si>
  <si>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</si>
  <si>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</si>
  <si>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</si>
  <si>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</si>
  <si>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</si>
  <si>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</si>
  <si>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</si>
  <si>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</si>
  <si>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</si>
  <si>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</si>
  <si>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</si>
  <si>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</si>
  <si>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</si>
  <si>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</si>
  <si>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</si>
  <si>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</si>
  <si>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</si>
  <si>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</si>
  <si>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</si>
  <si>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</si>
  <si>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</si>
  <si>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</si>
  <si>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</si>
  <si>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</si>
  <si>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</si>
  <si>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</si>
  <si>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</si>
  <si>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</si>
  <si>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</si>
  <si>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</si>
  <si>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</si>
  <si>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</si>
  <si>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</si>
  <si>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</si>
  <si>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</si>
  <si>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</si>
  <si>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</si>
  <si>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</si>
  <si>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</si>
  <si>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</si>
  <si>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</si>
  <si>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</si>
  <si>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</si>
  <si>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</si>
  <si>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</si>
  <si>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</si>
  <si>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</si>
  <si>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</si>
  <si>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</si>
  <si>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</si>
  <si>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</si>
  <si>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</si>
  <si>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</si>
  <si>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</si>
  <si>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</si>
  <si>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</si>
  <si>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</si>
  <si>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</si>
  <si>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</si>
  <si>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</si>
  <si>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</si>
  <si>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</si>
  <si>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</si>
  <si>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</si>
  <si>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</si>
  <si>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</si>
  <si>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</si>
  <si>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</si>
  <si>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</si>
  <si>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</si>
  <si>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</si>
  <si>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</si>
  <si>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</si>
  <si>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</si>
  <si>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</si>
  <si>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</si>
  <si>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</si>
  <si>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</si>
  <si>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</si>
  <si>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</si>
  <si>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</si>
  <si>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</si>
  <si>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</si>
  <si>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</si>
  <si>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</si>
  <si>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</si>
  <si>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</si>
  <si>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</si>
  <si>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</si>
  <si>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</si>
  <si>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</si>
  <si>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</si>
  <si>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</si>
  <si>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</si>
  <si>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</si>
  <si>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</si>
  <si>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</si>
  <si>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</si>
  <si>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</si>
  <si>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</si>
  <si>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</si>
  <si>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</si>
  <si>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</si>
  <si>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</si>
  <si>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</si>
  <si>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</si>
  <si>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</si>
  <si>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</si>
  <si>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</si>
  <si>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</si>
  <si>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</si>
  <si>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</si>
  <si>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</si>
  <si>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</si>
  <si>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</si>
  <si>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</si>
  <si>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</si>
  <si>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</si>
  <si>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</si>
  <si>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</si>
  <si>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</si>
  <si>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</si>
  <si>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</si>
  <si>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</si>
  <si>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</si>
  <si>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</si>
  <si>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</si>
  <si>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</si>
  <si>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</si>
  <si>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</si>
  <si>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</si>
  <si>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</si>
  <si>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</si>
  <si>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</si>
  <si>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</si>
  <si>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</si>
  <si>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</si>
  <si>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</si>
  <si>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</si>
  <si>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</si>
  <si>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</si>
  <si>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</si>
  <si>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</si>
  <si>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</si>
  <si>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</si>
  <si>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</si>
  <si>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</si>
  <si>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</si>
  <si>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</si>
  <si>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</si>
  <si>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</si>
  <si>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</si>
  <si>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</si>
  <si>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</si>
  <si>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</si>
  <si>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</si>
  <si>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</si>
  <si>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</si>
  <si>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</si>
  <si>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</si>
  <si>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</si>
  <si>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</si>
  <si>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</si>
  <si>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</si>
  <si>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</si>
  <si>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</si>
  <si>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</si>
  <si>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</si>
  <si>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</si>
  <si>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</si>
  <si>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</si>
  <si>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</si>
  <si>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</si>
  <si>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</si>
  <si>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</si>
  <si>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</si>
  <si>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</si>
  <si>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</si>
  <si>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</si>
  <si>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</si>
  <si>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</si>
  <si>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</si>
  <si>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</si>
  <si>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</si>
  <si>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</si>
  <si>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</si>
  <si>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</si>
  <si>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</si>
  <si>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</si>
  <si>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</si>
  <si>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</si>
  <si>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</si>
  <si>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</si>
  <si>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</si>
  <si>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</si>
  <si>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</si>
  <si>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</si>
  <si>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</si>
  <si>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</si>
  <si>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</si>
  <si>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</si>
  <si>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</si>
  <si>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</si>
  <si>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</si>
  <si>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</si>
  <si>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</si>
  <si>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</si>
  <si>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</si>
  <si>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</si>
  <si>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</si>
  <si>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</si>
  <si>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</si>
  <si>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</si>
  <si>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</si>
  <si>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</si>
  <si>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</si>
  <si>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</si>
  <si>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</si>
  <si>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</si>
  <si>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</si>
  <si>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</si>
  <si>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</si>
  <si>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</si>
  <si>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</si>
  <si>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</si>
  <si>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</si>
  <si>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</si>
  <si>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</si>
  <si>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</si>
  <si>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</si>
  <si>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</si>
  <si>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</si>
  <si>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</si>
  <si>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</si>
  <si>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</si>
  <si>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</si>
  <si>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</si>
  <si>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</si>
  <si>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</si>
  <si>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</si>
  <si>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</si>
  <si>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</si>
  <si>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</si>
  <si>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</si>
  <si>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</si>
  <si>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</si>
  <si>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</si>
  <si>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</si>
  <si>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</si>
  <si>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</si>
  <si>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</si>
  <si>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</si>
  <si>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</si>
  <si>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</si>
  <si>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</si>
  <si>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</si>
  <si>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</si>
  <si>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</si>
  <si>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</si>
  <si>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</si>
  <si>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</si>
  <si>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</si>
  <si>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</si>
  <si>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</si>
  <si>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</si>
  <si>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</si>
  <si>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</si>
  <si>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</si>
  <si>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</si>
  <si>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</si>
  <si>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</si>
  <si>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</si>
  <si>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</si>
  <si>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</si>
  <si>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</si>
  <si>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</si>
  <si>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</si>
  <si>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</si>
  <si>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</si>
  <si>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</si>
  <si>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</si>
  <si>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</si>
  <si>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</si>
  <si>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</si>
  <si>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</si>
  <si>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</si>
  <si>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</si>
  <si>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</si>
  <si>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</si>
  <si>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</si>
  <si>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</si>
  <si>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</si>
  <si>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</si>
  <si>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</si>
  <si>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</si>
  <si>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</si>
  <si>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</si>
  <si>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</si>
  <si>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</si>
  <si>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</si>
  <si>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</si>
  <si>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</si>
  <si>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</si>
  <si>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</si>
  <si>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</si>
  <si>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</si>
  <si>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</si>
  <si>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</si>
  <si>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</si>
  <si>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</si>
  <si>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</si>
  <si>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</si>
  <si>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</si>
  <si>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</si>
  <si>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</si>
  <si>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</si>
  <si>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</si>
  <si>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</si>
  <si>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</si>
  <si>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</si>
  <si>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</si>
  <si>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</si>
  <si>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</si>
  <si>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</si>
  <si>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</si>
  <si>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</si>
  <si>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</si>
  <si>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</si>
  <si>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</si>
  <si>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</si>
  <si>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</si>
  <si>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</si>
  <si>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</si>
  <si>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</si>
  <si>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</si>
  <si>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</si>
  <si>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</si>
  <si>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</si>
  <si>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</si>
  <si>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</si>
  <si>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</si>
  <si>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</si>
  <si>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</si>
  <si>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</si>
  <si>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</si>
  <si>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</si>
  <si>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</si>
  <si>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</si>
  <si>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</si>
  <si>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</si>
  <si>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</si>
  <si>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</si>
  <si>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</si>
  <si>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</si>
  <si>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</si>
  <si>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</si>
  <si>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</si>
  <si>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</si>
  <si>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</si>
  <si>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</si>
  <si>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</si>
  <si>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</si>
  <si>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</si>
  <si>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</si>
  <si>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</si>
  <si>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</si>
  <si>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</si>
  <si>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</si>
  <si>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</si>
  <si>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</si>
  <si>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</si>
  <si>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</si>
  <si>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</si>
  <si>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</si>
  <si>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</si>
  <si>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</si>
  <si>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</si>
  <si>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</si>
  <si>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</si>
  <si>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</si>
  <si>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</si>
  <si>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</si>
  <si>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</si>
  <si>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</si>
  <si>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</si>
  <si>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</si>
  <si>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</si>
  <si>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</si>
  <si>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</si>
  <si>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</si>
  <si>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</si>
  <si>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</si>
  <si>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</si>
  <si>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</si>
  <si>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</si>
  <si>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</si>
  <si>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</si>
  <si>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</si>
  <si>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</si>
  <si>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</si>
  <si>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</si>
  <si>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</si>
  <si>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</si>
  <si>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</si>
  <si>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</si>
  <si>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</si>
  <si>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</si>
  <si>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</si>
  <si>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</si>
  <si>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</si>
  <si>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</si>
  <si>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</si>
  <si>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</si>
  <si>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</si>
  <si>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</si>
  <si>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</si>
  <si>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</si>
  <si>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</si>
  <si>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</si>
  <si>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</si>
  <si>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</si>
  <si>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</si>
  <si>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</si>
  <si>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</si>
  <si>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</si>
  <si>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</si>
  <si>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</si>
  <si>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</si>
  <si>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</si>
  <si>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</si>
  <si>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</si>
  <si>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</si>
  <si>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</si>
  <si>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</si>
  <si>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</si>
  <si>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</si>
  <si>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</si>
  <si>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</si>
  <si>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</si>
  <si>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</si>
  <si>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</si>
  <si>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</si>
  <si>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</si>
  <si>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</si>
  <si>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</si>
  <si>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</si>
  <si>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</si>
  <si>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</si>
  <si>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</si>
  <si>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</si>
  <si>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</si>
  <si>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</si>
  <si>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</si>
  <si>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</si>
  <si>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</si>
  <si>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</si>
  <si>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</si>
  <si>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</si>
  <si>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</si>
  <si>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</si>
  <si>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</si>
  <si>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</si>
  <si>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</si>
  <si>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</si>
  <si>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</si>
  <si>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</si>
  <si>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</si>
  <si>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</si>
  <si>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</si>
  <si>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</si>
  <si>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</si>
  <si>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</si>
  <si>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</si>
  <si>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</si>
  <si>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</si>
  <si>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</si>
  <si>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</si>
  <si>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</si>
  <si>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</si>
  <si>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</si>
  <si>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</si>
  <si>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</si>
  <si>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</si>
  <si>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</si>
  <si>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</si>
  <si>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</si>
  <si>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</si>
  <si>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</si>
  <si>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</si>
  <si>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</si>
  <si>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</si>
  <si>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</si>
  <si>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</si>
  <si>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</si>
  <si>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</si>
  <si>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</si>
  <si>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</si>
  <si>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</si>
  <si>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</si>
  <si>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</si>
  <si>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</si>
  <si>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</si>
  <si>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</si>
  <si>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</si>
  <si>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</si>
  <si>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</si>
  <si>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</si>
  <si>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</si>
  <si>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</si>
  <si>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</si>
  <si>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</si>
  <si>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</si>
  <si>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</si>
  <si>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</si>
  <si>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</si>
  <si>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</si>
  <si>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</si>
  <si>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</si>
  <si>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</si>
  <si>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</si>
  <si>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</si>
  <si>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</si>
  <si>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</si>
  <si>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</si>
  <si>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</si>
  <si>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</si>
  <si>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</si>
  <si>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</si>
  <si>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</si>
  <si>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</si>
  <si>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</si>
  <si>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</si>
  <si>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</si>
  <si>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</si>
  <si>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</si>
  <si>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</si>
  <si>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</si>
  <si>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</si>
  <si>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</si>
  <si>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</si>
  <si>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</si>
  <si>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</si>
  <si>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</si>
  <si>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</si>
  <si>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</si>
  <si>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</si>
  <si>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</si>
  <si>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</si>
  <si>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</si>
  <si>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</si>
  <si>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</si>
  <si>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</si>
  <si>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</si>
  <si>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</si>
  <si>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</si>
  <si>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</si>
  <si>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</si>
  <si>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</si>
  <si>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</si>
  <si>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</si>
  <si>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</si>
  <si>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</si>
  <si>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</si>
  <si>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</si>
  <si>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</si>
  <si>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</si>
  <si>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</si>
  <si>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</si>
  <si>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</si>
  <si>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</si>
  <si>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</si>
  <si>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</si>
  <si>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</si>
  <si>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</si>
  <si>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</si>
  <si>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</si>
  <si>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</si>
  <si>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</si>
  <si>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</si>
  <si>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</si>
  <si>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</si>
  <si>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</si>
  <si>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</si>
  <si>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</si>
  <si>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</si>
  <si>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</si>
  <si>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</si>
  <si>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</si>
  <si>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</si>
  <si>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</si>
  <si>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</si>
  <si>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</si>
  <si>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</si>
  <si>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</si>
  <si>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</si>
  <si>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</si>
  <si>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</si>
  <si>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</si>
  <si>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</si>
  <si>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</si>
  <si>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</si>
  <si>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</si>
  <si>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</si>
  <si>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</si>
  <si>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</si>
  <si>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</si>
  <si>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</si>
  <si>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</si>
  <si>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</si>
  <si>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</si>
  <si>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</si>
  <si>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</si>
  <si>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</si>
  <si>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</si>
  <si>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</si>
  <si>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</si>
  <si>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</si>
  <si>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</si>
  <si>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</si>
  <si>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</si>
  <si>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</si>
  <si>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</si>
  <si>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</si>
  <si>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</si>
  <si>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</si>
  <si>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</si>
  <si>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</si>
  <si>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</si>
  <si>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</si>
  <si>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</si>
  <si>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</si>
  <si>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</si>
  <si>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</si>
  <si>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</si>
  <si>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</si>
  <si>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</si>
  <si>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</si>
  <si>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</si>
  <si>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</si>
  <si>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</si>
  <si>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</si>
  <si>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</si>
  <si>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</si>
  <si>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</si>
  <si>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</si>
  <si>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</si>
  <si>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</si>
  <si>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</si>
  <si>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</si>
  <si>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</si>
  <si>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</si>
  <si>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</si>
  <si>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</si>
  <si>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</si>
  <si>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</si>
  <si>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</si>
  <si>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</si>
  <si>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</si>
  <si>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</si>
  <si>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</si>
  <si>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</si>
  <si>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</si>
  <si>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</si>
  <si>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</si>
  <si>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</si>
  <si>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</si>
  <si>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</si>
  <si>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</si>
  <si>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</si>
  <si>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</si>
  <si>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</si>
  <si>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</si>
  <si>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</si>
  <si>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</si>
  <si>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</si>
  <si>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</si>
  <si>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</si>
  <si>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</si>
  <si>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</si>
  <si>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</si>
  <si>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</si>
  <si>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</si>
  <si>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</si>
  <si>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</si>
  <si>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</si>
  <si>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</si>
  <si>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</si>
  <si>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</si>
  <si>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</si>
  <si>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</si>
  <si>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</si>
  <si>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</si>
  <si>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</si>
  <si>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</si>
  <si>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</si>
  <si>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</si>
  <si>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</si>
  <si>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</si>
  <si>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</si>
  <si>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</si>
  <si>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</si>
  <si>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</si>
  <si>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</si>
  <si>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</si>
  <si>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</si>
  <si>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</si>
  <si>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</si>
  <si>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</si>
  <si>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</si>
  <si>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</si>
  <si>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</si>
  <si>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</si>
  <si>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</si>
  <si>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</si>
  <si>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</si>
  <si>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</si>
  <si>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</si>
  <si>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</si>
  <si>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</si>
  <si>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</si>
  <si>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</si>
  <si>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</si>
  <si>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</si>
  <si>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</si>
  <si>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</si>
  <si>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</si>
  <si>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</si>
  <si>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</si>
  <si>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</si>
  <si>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</si>
  <si>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</si>
  <si>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</si>
  <si>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</si>
  <si>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</si>
  <si>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</si>
  <si>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</si>
  <si>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</si>
  <si>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</si>
  <si>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</si>
  <si>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</si>
  <si>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</si>
  <si>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</si>
  <si>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</si>
  <si>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</si>
  <si>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</si>
  <si>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</si>
  <si>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</si>
  <si>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</si>
  <si>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</si>
  <si>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</si>
  <si>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</si>
  <si>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</si>
  <si>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</si>
  <si>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</si>
  <si>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</si>
  <si>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</si>
  <si>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</si>
  <si>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</si>
  <si>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</si>
  <si>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</si>
  <si>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</si>
  <si>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</si>
  <si>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</si>
  <si>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</si>
  <si>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</si>
  <si>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</si>
  <si>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</si>
  <si>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</si>
  <si>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</si>
  <si>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</si>
  <si>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</si>
  <si>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</si>
  <si>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</si>
  <si>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</si>
  <si>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</si>
  <si>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</si>
  <si>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</si>
  <si>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</si>
  <si>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</si>
  <si>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</si>
  <si>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</si>
  <si>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</si>
  <si>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</si>
  <si>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</si>
  <si>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</si>
  <si>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</si>
  <si>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</si>
  <si>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</si>
  <si>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</si>
  <si>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</si>
  <si>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</si>
  <si>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</si>
  <si>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</si>
  <si>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</si>
  <si>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</si>
  <si>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</si>
  <si>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</si>
  <si>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</si>
  <si>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</si>
  <si>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</si>
  <si>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</si>
  <si>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</si>
  <si>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</si>
  <si>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</si>
  <si>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</si>
  <si>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</si>
  <si>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</si>
  <si>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</si>
  <si>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</si>
  <si>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</si>
  <si>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</si>
  <si>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</si>
  <si>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</si>
  <si>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</si>
  <si>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</si>
  <si>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</si>
  <si>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</si>
  <si>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</si>
  <si>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</si>
  <si>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</si>
  <si>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</si>
  <si>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</si>
  <si>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</si>
  <si>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</si>
  <si>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</si>
  <si>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</si>
  <si>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</si>
  <si>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</si>
  <si>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</si>
  <si>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</si>
  <si>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</si>
  <si>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</si>
  <si>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</si>
  <si>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</si>
  <si>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</si>
  <si>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</si>
  <si>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</si>
  <si>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</si>
  <si>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</si>
  <si>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</si>
  <si>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</si>
  <si>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</si>
  <si>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</si>
  <si>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</si>
  <si>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</si>
  <si>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</si>
  <si>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</si>
  <si>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</si>
  <si>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</si>
  <si>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</si>
  <si>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</si>
  <si>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</si>
  <si>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</si>
  <si>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</si>
  <si>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</si>
  <si>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</si>
  <si>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</si>
  <si>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</si>
  <si>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</si>
  <si>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</si>
  <si>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</si>
  <si>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</si>
  <si>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</si>
  <si>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</si>
  <si>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</si>
  <si>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</si>
  <si>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</si>
  <si>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</si>
  <si>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</si>
  <si>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</si>
  <si>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</si>
  <si>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</si>
  <si>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</si>
  <si>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</si>
  <si>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</si>
  <si>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</si>
  <si>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</si>
  <si>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</si>
  <si>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</si>
  <si>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</si>
  <si>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</si>
  <si>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</si>
  <si>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</si>
  <si>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</si>
  <si>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</si>
  <si>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</si>
  <si>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</si>
  <si>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</si>
  <si>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</si>
  <si>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</si>
  <si>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</si>
  <si>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</si>
  <si>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</si>
  <si>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</si>
  <si>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</si>
  <si>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</si>
  <si>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</si>
  <si>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</si>
  <si>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</si>
  <si>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</si>
  <si>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</si>
  <si>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</si>
  <si>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</si>
  <si>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</si>
  <si>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</si>
  <si>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</si>
  <si>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</si>
  <si>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</si>
  <si>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</si>
  <si>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</si>
  <si>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</si>
  <si>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</si>
  <si>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</si>
  <si>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</si>
  <si>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</si>
  <si>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</si>
  <si>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</si>
  <si>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</si>
  <si>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</si>
  <si>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</si>
  <si>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</si>
  <si>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</si>
  <si>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</si>
  <si>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</si>
  <si>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</si>
  <si>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</si>
  <si>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</si>
  <si>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</si>
  <si>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</si>
  <si>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</si>
  <si>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</si>
  <si>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</si>
  <si>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</si>
  <si>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</si>
  <si>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</si>
  <si>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</si>
  <si>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</si>
  <si>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</si>
  <si>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</si>
  <si>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</si>
  <si>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</si>
  <si>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</si>
  <si>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</si>
  <si>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</si>
  <si>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</si>
  <si>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</si>
  <si>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</si>
  <si>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</si>
  <si>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</si>
  <si>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</si>
  <si>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</si>
  <si>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</si>
  <si>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</si>
  <si>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</si>
  <si>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</si>
  <si>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</si>
  <si>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</si>
  <si>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</si>
  <si>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</si>
  <si>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</si>
  <si>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</si>
  <si>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</si>
  <si>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</si>
  <si>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</si>
  <si>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</si>
  <si>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</si>
  <si>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</si>
  <si>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</si>
  <si>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</si>
  <si>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</si>
  <si>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</si>
  <si>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</si>
  <si>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</si>
  <si>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</si>
  <si>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</si>
  <si>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</si>
  <si>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</si>
  <si>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</si>
  <si>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</si>
  <si>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</si>
  <si>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</si>
  <si>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</si>
  <si>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</si>
  <si>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</si>
  <si>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</si>
  <si>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</si>
  <si>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</si>
  <si>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</si>
  <si>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</si>
  <si>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</si>
  <si>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</si>
  <si>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</si>
  <si>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</si>
  <si>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</si>
  <si>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</si>
  <si>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</si>
  <si>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</si>
  <si>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</si>
  <si>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</si>
  <si>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</si>
  <si>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</si>
  <si>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</si>
  <si>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</si>
  <si>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</si>
  <si>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</si>
  <si>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</si>
  <si>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</si>
  <si>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</si>
  <si>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</si>
  <si>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</si>
  <si>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</si>
  <si>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</si>
  <si>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</si>
  <si>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</si>
  <si>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</si>
  <si>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</si>
  <si>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</si>
  <si>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</si>
  <si>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</si>
  <si>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</si>
  <si>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</si>
  <si>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</si>
  <si>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</si>
  <si>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</si>
  <si>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</si>
  <si>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</si>
  <si>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</si>
  <si>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</si>
  <si>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</si>
  <si>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</si>
  <si>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</si>
  <si>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</si>
  <si>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</si>
  <si>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</si>
  <si>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</si>
  <si>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</si>
  <si>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</si>
  <si>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</si>
  <si>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</si>
  <si>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</si>
  <si>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</si>
  <si>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</si>
  <si>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</si>
  <si>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</si>
  <si>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</si>
  <si>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</si>
  <si>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</si>
  <si>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</si>
  <si>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</si>
  <si>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</si>
  <si>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</si>
  <si>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</si>
  <si>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</si>
  <si>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</si>
  <si>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</si>
  <si>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</si>
  <si>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</si>
  <si>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</si>
  <si>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</si>
  <si>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</si>
  <si>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</si>
  <si>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</si>
  <si>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</si>
  <si>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</si>
  <si>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</si>
  <si>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</si>
  <si>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</si>
  <si>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</si>
  <si>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</si>
  <si>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</si>
  <si>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</si>
  <si>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</si>
  <si>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</si>
  <si>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</si>
  <si>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</si>
  <si>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</si>
  <si>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</si>
  <si>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</si>
  <si>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</si>
  <si>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</si>
  <si>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</si>
  <si>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</si>
  <si>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</si>
  <si>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</si>
  <si>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</si>
  <si>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</si>
  <si>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</si>
  <si>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</si>
  <si>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</si>
  <si>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</si>
  <si>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</si>
  <si>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</si>
  <si>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</si>
  <si>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</si>
  <si>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</si>
  <si>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</si>
  <si>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</si>
  <si>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</si>
  <si>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</si>
  <si>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</si>
  <si>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</si>
  <si>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</si>
  <si>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</si>
  <si>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</si>
  <si>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</si>
  <si>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</si>
  <si>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</si>
  <si>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</si>
  <si>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</si>
  <si>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</si>
  <si>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</si>
  <si>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</si>
  <si>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</si>
  <si>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</si>
  <si>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</si>
  <si>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</si>
  <si>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</si>
  <si>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</si>
  <si>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</si>
  <si>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</si>
  <si>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</si>
  <si>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</si>
  <si>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</si>
  <si>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</si>
  <si>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</si>
  <si>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</si>
  <si>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</si>
  <si>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</si>
  <si>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</si>
  <si>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</si>
  <si>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</si>
  <si>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</si>
  <si>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</si>
  <si>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</si>
  <si>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</si>
  <si>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</si>
  <si>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</si>
  <si>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</si>
  <si>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</si>
  <si>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</si>
  <si>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</si>
  <si>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</si>
  <si>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</si>
  <si>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</si>
  <si>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</si>
  <si>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</si>
  <si>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</si>
  <si>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</si>
  <si>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</si>
  <si>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</si>
  <si>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</si>
  <si>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</si>
  <si>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</si>
  <si>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</si>
  <si>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</si>
  <si>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</si>
  <si>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</si>
  <si>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</si>
  <si>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</si>
  <si>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</si>
  <si>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</si>
  <si>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</si>
  <si>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</si>
  <si>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</si>
  <si>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</si>
  <si>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</si>
  <si>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</si>
  <si>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</si>
  <si>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</si>
  <si>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</si>
  <si>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</si>
  <si>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</si>
  <si>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</si>
  <si>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</si>
  <si>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</si>
  <si>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</si>
  <si>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</si>
  <si>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</si>
  <si>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</si>
  <si>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</si>
  <si>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</si>
  <si>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</si>
  <si>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</si>
  <si>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</si>
  <si>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</si>
  <si>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</si>
  <si>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</si>
  <si>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</si>
  <si>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</si>
  <si>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</si>
  <si>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</si>
  <si>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</si>
  <si>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</si>
  <si>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</si>
  <si>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</si>
  <si>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</si>
  <si>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</si>
  <si>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</si>
  <si>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</si>
  <si>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</si>
  <si>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</si>
  <si>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</si>
  <si>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</si>
  <si>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</si>
  <si>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</si>
  <si>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</si>
  <si>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</si>
  <si>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</si>
  <si>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</si>
  <si>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</si>
  <si>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</si>
  <si>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</si>
  <si>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</si>
  <si>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</si>
  <si>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</si>
  <si>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</si>
  <si>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</si>
  <si>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</si>
  <si>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</si>
  <si>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</si>
  <si>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</si>
  <si>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</si>
  <si>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</si>
  <si>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</si>
  <si>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</si>
  <si>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</si>
  <si>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</si>
  <si>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</si>
  <si>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</si>
  <si>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</si>
  <si>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</si>
  <si>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</si>
  <si>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</si>
  <si>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</si>
  <si>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</si>
  <si>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</si>
  <si>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</si>
  <si>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</si>
  <si>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</si>
  <si>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</si>
  <si>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</si>
  <si>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</si>
  <si>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</si>
  <si>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</si>
  <si>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</si>
  <si>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</si>
  <si>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</si>
  <si>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</si>
  <si>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</si>
  <si>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</si>
  <si>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</si>
  <si>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</si>
  <si>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</si>
  <si>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</si>
  <si>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</si>
  <si>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</si>
  <si>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</si>
  <si>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</si>
  <si>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</si>
  <si>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</si>
  <si>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</si>
  <si>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</si>
  <si>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</si>
  <si>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</si>
  <si>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</si>
  <si>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</si>
  <si>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</si>
  <si>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</si>
  <si>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</si>
  <si>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</si>
  <si>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</si>
  <si>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</si>
  <si>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</si>
  <si>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</si>
  <si>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</si>
  <si>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</si>
  <si>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</si>
  <si>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</si>
  <si>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</si>
  <si>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</si>
  <si>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</si>
  <si>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</si>
  <si>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</si>
  <si>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</si>
  <si>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</si>
  <si>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</si>
  <si>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</si>
  <si>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</si>
  <si>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</si>
  <si>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</si>
  <si>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</si>
  <si>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</si>
  <si>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</si>
  <si>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</si>
  <si>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</si>
  <si>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</si>
  <si>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</si>
  <si>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</si>
  <si>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</si>
  <si>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</si>
  <si>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</si>
  <si>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</si>
  <si>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</si>
  <si>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</si>
  <si>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</si>
  <si>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</si>
  <si>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</si>
  <si>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</si>
  <si>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</si>
  <si>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</si>
  <si>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</si>
  <si>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</si>
  <si>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</si>
  <si>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</si>
  <si>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</si>
  <si>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</si>
  <si>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</si>
  <si>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</si>
  <si>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</si>
  <si>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</si>
  <si>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</si>
  <si>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</si>
  <si>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</si>
  <si>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</si>
  <si>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</si>
  <si>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</si>
  <si>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</si>
  <si>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</si>
  <si>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</si>
  <si>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</si>
  <si>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</si>
  <si>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</si>
  <si>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</si>
  <si>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</si>
  <si>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</si>
  <si>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</si>
  <si>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</si>
  <si>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</si>
  <si>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</si>
  <si>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</si>
  <si>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</si>
  <si>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</si>
  <si>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</si>
  <si>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</si>
  <si>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</si>
  <si>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</si>
  <si>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</si>
  <si>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</si>
  <si>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</si>
  <si>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</si>
  <si>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</si>
  <si>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</si>
  <si>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</si>
  <si>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</si>
  <si>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</si>
  <si>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</si>
  <si>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</si>
  <si>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</si>
  <si>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</si>
  <si>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</si>
  <si>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</si>
  <si>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</si>
  <si>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</si>
  <si>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</si>
  <si>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</si>
  <si>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</si>
  <si>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</si>
  <si>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</si>
  <si>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</si>
  <si>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</si>
  <si>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</si>
  <si>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</si>
  <si>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</si>
  <si>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</si>
  <si>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</si>
  <si>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</si>
  <si>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</si>
  <si>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</si>
  <si>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</si>
  <si>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</si>
  <si>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</si>
  <si>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</si>
  <si>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</si>
  <si>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</si>
  <si>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</si>
  <si>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</si>
  <si>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</si>
  <si>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</si>
  <si>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</si>
  <si>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</si>
  <si>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</si>
  <si>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</si>
  <si>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</si>
  <si>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</si>
  <si>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</si>
  <si>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</si>
  <si>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</si>
  <si>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</si>
  <si>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</si>
  <si>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</si>
  <si>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</si>
  <si>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</si>
  <si>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</si>
  <si>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</si>
  <si>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</si>
  <si>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</si>
  <si>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</si>
  <si>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</si>
  <si>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</si>
  <si>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</si>
  <si>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</si>
  <si>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</si>
  <si>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</si>
  <si>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</si>
  <si>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</si>
  <si>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</si>
  <si>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</si>
  <si>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</si>
  <si>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</si>
  <si>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</si>
  <si>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</si>
  <si>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</si>
  <si>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</si>
  <si>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</si>
  <si>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</si>
  <si>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</si>
  <si>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</si>
  <si>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</si>
  <si>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</si>
  <si>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</si>
  <si>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</si>
  <si>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</si>
  <si>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</si>
  <si>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</si>
  <si>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</si>
  <si>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</si>
  <si>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</si>
  <si>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</si>
  <si>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</si>
  <si>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</si>
  <si>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</si>
  <si>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</si>
  <si>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</si>
  <si>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</si>
  <si>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</si>
  <si>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</si>
  <si>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</si>
  <si>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</si>
  <si>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</si>
  <si>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</si>
  <si>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</si>
  <si>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</si>
  <si>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</si>
  <si>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</si>
  <si>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</si>
  <si>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</si>
  <si>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</si>
  <si>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</si>
  <si>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</si>
  <si>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</si>
  <si>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</si>
  <si>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</si>
  <si>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</si>
  <si>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</si>
  <si>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</si>
  <si>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</si>
  <si>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</si>
  <si>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</si>
  <si>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</si>
  <si>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</si>
  <si>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</si>
  <si>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</si>
  <si>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</si>
  <si>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</si>
  <si>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</si>
  <si>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</si>
  <si>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</si>
  <si>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</si>
  <si>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</si>
  <si>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</si>
  <si>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</si>
  <si>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</si>
  <si>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</si>
  <si>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</si>
  <si>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</si>
  <si>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</si>
  <si>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</si>
  <si>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</si>
  <si>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</si>
  <si>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</si>
  <si>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</si>
  <si>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</si>
  <si>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</si>
  <si>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</si>
  <si>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</si>
  <si>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</si>
  <si>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</si>
  <si>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</si>
  <si>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</si>
  <si>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</si>
  <si>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</si>
  <si>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</si>
  <si>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</si>
  <si>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</si>
  <si>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</si>
  <si>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</si>
  <si>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</si>
  <si>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</si>
  <si>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</si>
  <si>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</si>
  <si>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</si>
  <si>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</si>
  <si>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</si>
  <si>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</si>
  <si>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</si>
  <si>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</si>
  <si>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</si>
  <si>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</si>
  <si>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</si>
  <si>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</si>
  <si>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</si>
  <si>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</si>
  <si>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</si>
  <si>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</si>
  <si>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</si>
  <si>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</si>
  <si>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</si>
  <si>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</si>
  <si>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</si>
  <si>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</si>
  <si>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</si>
  <si>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</si>
  <si>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</si>
  <si>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</si>
  <si>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</si>
  <si>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</si>
  <si>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</si>
  <si>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</si>
  <si>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</si>
  <si>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</si>
  <si>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</si>
  <si>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</si>
  <si>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</si>
  <si>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</si>
  <si>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</si>
  <si>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</si>
  <si>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</si>
  <si>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</si>
  <si>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</si>
  <si>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</si>
  <si>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</si>
  <si>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</si>
  <si>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</si>
  <si>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</si>
  <si>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</si>
  <si>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</si>
  <si>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</si>
  <si>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</si>
  <si>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</si>
  <si>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</si>
  <si>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</si>
  <si>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</si>
  <si>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</si>
  <si>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</si>
  <si>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</si>
  <si>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</si>
  <si>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</si>
  <si>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</si>
  <si>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</si>
  <si>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</si>
  <si>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</si>
  <si>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</si>
  <si>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</si>
  <si>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</si>
  <si>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</si>
  <si>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</si>
  <si>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</si>
  <si>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</si>
  <si>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</si>
  <si>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</si>
  <si>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</si>
  <si>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</si>
  <si>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</si>
  <si>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</si>
  <si>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</si>
  <si>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</si>
  <si>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</si>
  <si>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</si>
  <si>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</si>
  <si>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</si>
  <si>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</si>
  <si>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</si>
  <si>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</si>
  <si>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</si>
  <si>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</si>
  <si>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</si>
  <si>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</si>
  <si>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</si>
  <si>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</si>
  <si>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</si>
  <si>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</si>
  <si>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</si>
  <si>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</si>
  <si>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</si>
  <si>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</si>
  <si>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</si>
  <si>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</si>
  <si>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</si>
  <si>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</si>
  <si>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</si>
  <si>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</si>
  <si>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</si>
  <si>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</si>
  <si>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</si>
  <si>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</si>
  <si>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</si>
  <si>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</si>
  <si>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</si>
  <si>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</si>
  <si>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</si>
  <si>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</si>
  <si>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</si>
  <si>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</si>
  <si>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</si>
  <si>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</si>
  <si>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</si>
  <si>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</si>
  <si>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</si>
  <si>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</si>
  <si>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</si>
  <si>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</si>
  <si>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</si>
  <si>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</si>
  <si>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</si>
  <si>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</si>
  <si>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</si>
  <si>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</si>
  <si>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</si>
  <si>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</si>
  <si>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</si>
  <si>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</si>
  <si>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</si>
  <si>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</si>
  <si>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</si>
  <si>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</si>
  <si>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</si>
  <si>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</si>
  <si>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</si>
  <si>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</si>
  <si>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</si>
  <si>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</si>
  <si>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</si>
  <si>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</si>
  <si>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</si>
  <si>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</si>
  <si>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</si>
  <si>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</si>
  <si>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</si>
  <si>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</si>
  <si>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</si>
  <si>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</si>
  <si>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</si>
  <si>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</si>
  <si>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</si>
  <si>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</si>
  <si>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</si>
  <si>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</si>
  <si>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</si>
  <si>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</si>
  <si>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</si>
  <si>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</si>
  <si>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</si>
  <si>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</si>
  <si>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</si>
  <si>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</si>
  <si>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</si>
  <si>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</si>
  <si>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</si>
  <si>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</si>
  <si>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</si>
  <si>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</si>
  <si>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</si>
  <si>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</si>
  <si>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</si>
  <si>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</si>
  <si>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</si>
  <si>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</si>
  <si>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</si>
  <si>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</si>
  <si>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</si>
  <si>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</si>
  <si>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</si>
  <si>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</si>
  <si>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</si>
  <si>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</si>
  <si>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</si>
  <si>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</si>
  <si>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</si>
  <si>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</si>
  <si>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</si>
  <si>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</si>
  <si>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</si>
  <si>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</si>
  <si>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</si>
  <si>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</si>
  <si>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</si>
  <si>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</si>
  <si>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</si>
  <si>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</si>
  <si>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</si>
  <si>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</si>
  <si>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</si>
  <si>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</si>
  <si>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</si>
  <si>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</si>
  <si>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</si>
  <si>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</si>
  <si>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</si>
  <si>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</si>
  <si>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</si>
  <si>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</si>
  <si>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</si>
  <si>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</si>
  <si>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</si>
  <si>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</si>
  <si>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</si>
  <si>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</si>
  <si>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</si>
  <si>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</si>
  <si>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</si>
  <si>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</si>
  <si>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</si>
  <si>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</si>
  <si>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</si>
  <si>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</si>
  <si>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</si>
  <si>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</si>
  <si>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</si>
  <si>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</si>
  <si>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</si>
  <si>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</si>
  <si>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</si>
  <si>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</si>
  <si>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</si>
  <si>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</si>
  <si>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</si>
  <si>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</si>
  <si>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</si>
  <si>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</si>
  <si>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</si>
  <si>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</si>
  <si>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</si>
  <si>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</si>
  <si>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</si>
  <si>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</si>
  <si>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</si>
  <si>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</si>
  <si>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</si>
  <si>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</si>
  <si>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</si>
  <si>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</si>
  <si>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</si>
  <si>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</si>
  <si>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</si>
  <si>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</si>
  <si>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</si>
  <si>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</si>
  <si>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</si>
  <si>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</si>
  <si>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</si>
  <si>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</si>
  <si>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</si>
  <si>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</si>
  <si>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</si>
  <si>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</si>
  <si>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</si>
  <si>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</si>
  <si>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</si>
  <si>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</si>
  <si>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</si>
  <si>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</si>
  <si>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</si>
  <si>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</si>
  <si>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</si>
  <si>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</si>
  <si>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</si>
  <si>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</si>
  <si>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</si>
  <si>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</si>
  <si>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</si>
  <si>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</si>
  <si>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</si>
  <si>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</si>
  <si>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</si>
  <si>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</si>
  <si>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</si>
  <si>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</si>
  <si>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</si>
  <si>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</si>
  <si>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</si>
  <si>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</si>
  <si>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</si>
  <si>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</si>
  <si>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</si>
  <si>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</si>
  <si>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</si>
  <si>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</si>
  <si>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</si>
  <si>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</si>
  <si>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</si>
  <si>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</si>
  <si>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</si>
  <si>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</si>
  <si>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</si>
  <si>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</si>
  <si>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</si>
  <si>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</si>
  <si>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</si>
  <si>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</si>
  <si>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</si>
  <si>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</si>
  <si>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</si>
  <si>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</si>
  <si>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</si>
  <si>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</si>
  <si>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</si>
  <si>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</si>
  <si>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</si>
  <si>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</si>
  <si>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</si>
  <si>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</si>
  <si>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</si>
  <si>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</si>
  <si>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</si>
  <si>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</si>
  <si>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</si>
  <si>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</si>
  <si>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</si>
  <si>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</si>
  <si>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</si>
  <si>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</si>
  <si>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</si>
  <si>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</si>
  <si>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</si>
  <si>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</si>
  <si>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</si>
  <si>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</si>
  <si>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</si>
  <si>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</si>
  <si>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</si>
  <si>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</si>
  <si>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</si>
  <si>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</si>
  <si>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</si>
  <si>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</si>
  <si>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</si>
  <si>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</si>
  <si>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</si>
  <si>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</si>
  <si>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</si>
  <si>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</si>
  <si>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</si>
  <si>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</si>
  <si>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</si>
  <si>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</si>
  <si>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</si>
  <si>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</si>
  <si>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</si>
  <si>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</si>
  <si>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</si>
  <si>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</si>
  <si>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</si>
  <si>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</si>
  <si>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</si>
  <si>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</si>
  <si>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</si>
  <si>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</si>
  <si>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</si>
  <si>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</si>
  <si>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</si>
  <si>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</si>
  <si>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</si>
  <si>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</si>
  <si>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</si>
  <si>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</si>
  <si>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</si>
  <si>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</si>
  <si>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</si>
  <si>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</si>
  <si>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</si>
  <si>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</si>
  <si>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</si>
  <si>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</si>
  <si>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</si>
  <si>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</si>
  <si>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</si>
  <si>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</si>
  <si>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</si>
  <si>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</si>
  <si>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</si>
  <si>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</si>
  <si>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</si>
  <si>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</si>
  <si>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</si>
  <si>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</si>
  <si>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</si>
  <si>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</si>
  <si>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</si>
  <si>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</si>
  <si>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</si>
  <si>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</si>
  <si>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</si>
  <si>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</si>
  <si>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</si>
  <si>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</si>
  <si>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</si>
  <si>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</si>
  <si>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</si>
  <si>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</si>
  <si>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</si>
  <si>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</si>
  <si>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</si>
  <si>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</si>
  <si>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</si>
  <si>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</si>
  <si>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</si>
  <si>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</si>
  <si>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</si>
  <si>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</si>
  <si>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</si>
  <si>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</si>
  <si>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</si>
  <si>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</si>
  <si>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</si>
  <si>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</si>
  <si>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</si>
  <si>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</si>
  <si>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</si>
  <si>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</si>
  <si>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</si>
  <si>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</si>
  <si>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</si>
  <si>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</si>
  <si>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</si>
  <si>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</si>
  <si>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</si>
  <si>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</si>
  <si>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</si>
  <si>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</si>
  <si>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</si>
  <si>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</si>
  <si>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</si>
  <si>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</si>
  <si>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</si>
  <si>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</si>
  <si>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</si>
  <si>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</si>
  <si>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</si>
  <si>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</si>
  <si>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</si>
  <si>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</si>
  <si>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</si>
  <si>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</si>
  <si>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</si>
  <si>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</si>
  <si>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</si>
  <si>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</si>
  <si>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</si>
  <si>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</si>
  <si>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</si>
  <si>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</si>
  <si>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</si>
  <si>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</si>
  <si>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</si>
  <si>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</si>
  <si>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</si>
  <si>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</si>
  <si>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</si>
  <si>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</si>
  <si>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</si>
  <si>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</si>
  <si>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</si>
  <si>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</si>
  <si>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</si>
  <si>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</si>
  <si>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</si>
  <si>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</si>
  <si>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</si>
  <si>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</si>
  <si>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</si>
  <si>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</si>
  <si>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</si>
  <si>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</si>
  <si>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</si>
  <si>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</si>
  <si>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</si>
  <si>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</si>
  <si>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</si>
  <si>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</si>
  <si>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</si>
  <si>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</si>
  <si>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</si>
  <si>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</si>
  <si>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</si>
  <si>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</si>
  <si>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</si>
  <si>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</si>
  <si>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</si>
  <si>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</si>
  <si>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</si>
  <si>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</si>
  <si>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</si>
  <si>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</si>
  <si>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</si>
  <si>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</si>
  <si>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</si>
  <si>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</si>
  <si>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</si>
  <si>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</si>
  <si>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</si>
  <si>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</si>
  <si>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</si>
  <si>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</si>
  <si>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</si>
  <si>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</si>
  <si>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</si>
  <si>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</si>
  <si>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</si>
  <si>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</si>
  <si>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</si>
  <si>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</si>
  <si>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</si>
  <si>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</si>
  <si>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</si>
  <si>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</si>
  <si>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</si>
  <si>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</si>
  <si>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</si>
  <si>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</si>
  <si>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</si>
  <si>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</si>
  <si>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</si>
  <si>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</si>
  <si>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</si>
  <si>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</si>
  <si>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</si>
  <si>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</si>
  <si>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</si>
  <si>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</si>
  <si>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</si>
  <si>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</si>
  <si>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</si>
  <si>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</si>
  <si>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</si>
  <si>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</si>
  <si>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</si>
  <si>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</si>
  <si>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</si>
  <si>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</si>
  <si>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</si>
  <si>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</si>
  <si>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</si>
  <si>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</si>
  <si>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</si>
  <si>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</si>
  <si>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</si>
  <si>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</si>
  <si>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</si>
  <si>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</si>
  <si>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</si>
  <si>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</si>
  <si>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</si>
  <si>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</si>
  <si>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</si>
  <si>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</si>
  <si>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</si>
  <si>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</si>
  <si>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</si>
  <si>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</si>
  <si>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</si>
  <si>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</si>
  <si>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</si>
  <si>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</si>
  <si>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</si>
  <si>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</si>
  <si>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</si>
  <si>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</si>
  <si>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</si>
  <si>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</si>
  <si>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</si>
  <si>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</si>
  <si>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</si>
  <si>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</si>
  <si>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</si>
  <si>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</si>
  <si>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</si>
  <si>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</si>
  <si>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</si>
  <si>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</si>
  <si>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</si>
  <si>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</si>
  <si>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</si>
  <si>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</si>
  <si>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</si>
  <si>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</si>
  <si>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</si>
  <si>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</si>
  <si>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</si>
  <si>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</si>
  <si>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</si>
  <si>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</si>
  <si>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</si>
  <si>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</si>
  <si>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</si>
  <si>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</si>
  <si>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</si>
  <si>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</si>
  <si>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</si>
  <si>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</si>
  <si>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</si>
  <si>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</si>
  <si>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</si>
  <si>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</si>
  <si>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</si>
  <si>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</si>
  <si>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</si>
  <si>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</si>
  <si>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</si>
  <si>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</si>
  <si>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</si>
  <si>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</si>
  <si>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</si>
  <si>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</si>
  <si>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</si>
  <si>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</si>
  <si>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</si>
  <si>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</si>
  <si>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</si>
  <si>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</si>
  <si>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</si>
  <si>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</si>
  <si>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</si>
  <si>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</si>
  <si>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</si>
  <si>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</si>
  <si>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</si>
  <si>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</si>
  <si>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</si>
  <si>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</si>
  <si>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</si>
  <si>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</si>
  <si>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</si>
  <si>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</si>
  <si>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</si>
  <si>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</si>
  <si>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</si>
  <si>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</si>
  <si>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</si>
  <si>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</si>
  <si>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</si>
  <si>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</si>
  <si>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</si>
  <si>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</si>
  <si>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</si>
  <si>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</si>
  <si>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</si>
  <si>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</si>
  <si>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</si>
  <si>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</si>
  <si>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</si>
  <si>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</si>
  <si>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</si>
  <si>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</si>
  <si>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</si>
  <si>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</si>
  <si>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</si>
  <si>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</si>
  <si>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</si>
  <si>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</si>
  <si>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</si>
  <si>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</si>
  <si>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</si>
  <si>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</si>
  <si>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</si>
  <si>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</si>
  <si>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</si>
  <si>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</si>
  <si>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</si>
  <si>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</si>
  <si>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</si>
  <si>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</si>
  <si>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</si>
  <si>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</si>
  <si>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</si>
  <si>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</si>
  <si>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</si>
  <si>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</si>
  <si>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</si>
  <si>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</si>
  <si>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</si>
  <si>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</si>
  <si>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</si>
  <si>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</si>
  <si>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</si>
  <si>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</si>
  <si>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</si>
  <si>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</si>
  <si>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</si>
  <si>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</si>
  <si>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</si>
  <si>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</si>
  <si>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</si>
  <si>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</si>
  <si>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</si>
  <si>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</si>
  <si>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</si>
  <si>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</si>
  <si>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</si>
  <si>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</si>
  <si>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</si>
  <si>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</si>
  <si>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</si>
  <si>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</si>
  <si>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</si>
  <si>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</si>
  <si>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</si>
  <si>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</si>
  <si>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</si>
  <si>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</si>
  <si>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</si>
  <si>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</si>
  <si>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</si>
  <si>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</si>
  <si>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</si>
  <si>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</si>
  <si>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</si>
  <si>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</si>
  <si>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</si>
  <si>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</si>
  <si>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</si>
  <si>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</si>
  <si>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</si>
  <si>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</si>
  <si>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</si>
  <si>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</si>
  <si>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</si>
  <si>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</si>
  <si>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</si>
  <si>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</si>
  <si>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</si>
  <si>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</si>
  <si>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</si>
  <si>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</si>
  <si>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</si>
  <si>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</si>
  <si>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</si>
  <si>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</si>
  <si>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</si>
  <si>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</si>
  <si>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</si>
  <si>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</si>
  <si>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</si>
  <si>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</si>
  <si>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</si>
  <si>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</si>
  <si>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</si>
  <si>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</si>
  <si>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</si>
  <si>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</si>
  <si>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</si>
  <si>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</si>
  <si>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</si>
  <si>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</si>
  <si>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</si>
  <si>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</si>
  <si>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</si>
  <si>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</si>
  <si>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</si>
  <si>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</si>
  <si>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</si>
  <si>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</si>
  <si>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</si>
  <si>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</si>
  <si>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</si>
  <si>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</si>
  <si>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</si>
  <si>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</si>
  <si>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</si>
  <si>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</si>
  <si>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</si>
  <si>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</si>
  <si>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</si>
  <si>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</si>
  <si>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</si>
  <si>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</si>
  <si>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</si>
  <si>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</si>
  <si>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</si>
  <si>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</si>
  <si>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</si>
  <si>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</si>
  <si>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</si>
  <si>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</si>
  <si>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</si>
  <si>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</si>
  <si>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</si>
  <si>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</si>
  <si>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</si>
  <si>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</si>
  <si>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</si>
  <si>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</si>
  <si>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</si>
  <si>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</si>
  <si>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</si>
  <si>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</si>
  <si>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</si>
  <si>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</si>
  <si>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</si>
  <si>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</si>
  <si>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</si>
  <si>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</si>
  <si>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</si>
  <si>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</si>
  <si>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</si>
  <si>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</si>
  <si>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</si>
  <si>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</si>
  <si>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</si>
  <si>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</si>
  <si>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</si>
  <si>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</si>
  <si>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</si>
  <si>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</si>
  <si>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</si>
  <si>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</si>
  <si>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</si>
  <si>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</si>
  <si>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</si>
  <si>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</si>
  <si>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</si>
  <si>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</si>
  <si>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</si>
  <si>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</si>
  <si>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</si>
  <si>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</si>
  <si>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</si>
  <si>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</si>
  <si>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</si>
  <si>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</si>
  <si>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</si>
  <si>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</si>
  <si>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</si>
  <si>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</si>
  <si>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</si>
  <si>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</si>
  <si>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</si>
  <si>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</si>
  <si>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</si>
  <si>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</si>
  <si>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</si>
  <si>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</si>
  <si>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</si>
  <si>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</si>
  <si>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</si>
  <si>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</si>
  <si>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</si>
  <si>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</si>
  <si>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</si>
  <si>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</si>
  <si>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</si>
  <si>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</si>
  <si>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</si>
  <si>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</si>
  <si>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</si>
  <si>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</si>
  <si>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</si>
  <si>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</si>
  <si>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</si>
  <si>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</si>
  <si>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</si>
  <si>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</si>
  <si>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</si>
  <si>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</si>
  <si>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</si>
  <si>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</si>
  <si>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</si>
  <si>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</si>
  <si>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</si>
  <si>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</si>
  <si>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</si>
  <si>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</si>
  <si>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</si>
  <si>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</si>
  <si>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</si>
  <si>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</si>
  <si>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</si>
  <si>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</si>
  <si>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</si>
  <si>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</si>
  <si>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</si>
  <si>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</si>
  <si>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</si>
  <si>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</si>
  <si>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</si>
  <si>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</si>
  <si>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</si>
  <si>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</si>
  <si>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</si>
  <si>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</si>
  <si>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</si>
  <si>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</si>
  <si>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</si>
  <si>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</si>
  <si>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</si>
  <si>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</si>
  <si>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</si>
  <si>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</si>
  <si>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</si>
  <si>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</si>
  <si>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</si>
  <si>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</si>
  <si>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</si>
  <si>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</si>
  <si>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</si>
  <si>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</si>
  <si>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</si>
  <si>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</si>
  <si>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</si>
  <si>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</si>
  <si>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</si>
  <si>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</si>
  <si>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</si>
  <si>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</si>
  <si>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</si>
  <si>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</si>
  <si>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</si>
  <si>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</si>
  <si>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</si>
  <si>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</si>
  <si>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</si>
  <si>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</si>
  <si>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</si>
  <si>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</si>
  <si>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</si>
  <si>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</si>
  <si>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</si>
  <si>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</si>
  <si>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</si>
  <si>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</si>
  <si>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</si>
  <si>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</si>
  <si>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</si>
  <si>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</si>
  <si>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</si>
  <si>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</si>
  <si>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</si>
  <si>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</si>
  <si>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</si>
  <si>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</si>
  <si>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</si>
  <si>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</si>
  <si>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</si>
  <si>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</si>
  <si>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</si>
  <si>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</si>
  <si>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</si>
  <si>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</si>
  <si>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</si>
  <si>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</si>
  <si>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</si>
  <si>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</si>
  <si>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</si>
  <si>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</si>
  <si>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</si>
  <si>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</si>
  <si>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</si>
  <si>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</si>
  <si>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</si>
  <si>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</si>
  <si>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</si>
  <si>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</si>
  <si>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</si>
  <si>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</si>
  <si>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</si>
  <si>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</si>
  <si>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</si>
  <si>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</si>
  <si>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</si>
  <si>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</si>
  <si>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</si>
  <si>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</si>
  <si>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</si>
  <si>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</si>
  <si>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</si>
  <si>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</si>
  <si>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</si>
  <si>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</si>
  <si>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</si>
  <si>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</si>
  <si>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</si>
  <si>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</si>
  <si>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</si>
  <si>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</si>
  <si>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</si>
  <si>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</si>
  <si>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</si>
  <si>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</si>
  <si>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</si>
  <si>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</si>
  <si>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</si>
  <si>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</si>
  <si>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</si>
  <si>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</si>
  <si>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</si>
  <si>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</si>
  <si>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</si>
  <si>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</si>
  <si>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</si>
  <si>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</si>
  <si>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</si>
  <si>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</si>
  <si>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</si>
  <si>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</si>
  <si>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</si>
  <si>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</si>
  <si>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</si>
  <si>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</si>
  <si>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</si>
  <si>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</si>
  <si>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</si>
  <si>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</si>
  <si>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</si>
  <si>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</si>
  <si>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</si>
  <si>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</si>
  <si>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</si>
  <si>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</si>
  <si>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</si>
  <si>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</si>
  <si>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</si>
  <si>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</si>
  <si>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</si>
  <si>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</si>
  <si>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</si>
  <si>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</si>
  <si>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</si>
  <si>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</si>
  <si>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</si>
  <si>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</si>
  <si>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</si>
  <si>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</si>
  <si>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</si>
  <si>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</si>
  <si>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</si>
  <si>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</si>
  <si>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</si>
  <si>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</si>
  <si>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</si>
  <si>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</si>
  <si>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</si>
  <si>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</si>
  <si>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</si>
  <si>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</si>
  <si>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</si>
  <si>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</si>
  <si>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</si>
  <si>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</si>
  <si>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</si>
  <si>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</si>
  <si>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</si>
  <si>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</si>
  <si>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</si>
  <si>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</si>
  <si>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</si>
  <si>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</si>
  <si>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</si>
  <si>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</si>
  <si>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</si>
  <si>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</si>
  <si>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</si>
  <si>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</si>
  <si>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</si>
  <si>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</si>
  <si>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</si>
  <si>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</si>
  <si>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</si>
  <si>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</si>
  <si>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</si>
  <si>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</si>
  <si>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</si>
  <si>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</si>
  <si>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</si>
  <si>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</si>
  <si>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</si>
  <si>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</si>
  <si>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</si>
  <si>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</si>
  <si>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</si>
  <si>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</si>
  <si>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</si>
  <si>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</si>
  <si>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</si>
  <si>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</si>
  <si>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</si>
  <si>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</si>
  <si>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</si>
  <si>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</si>
  <si>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</si>
  <si>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</si>
  <si>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</si>
  <si>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</si>
  <si>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</si>
  <si>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</si>
  <si>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</si>
  <si>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</si>
  <si>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</si>
  <si>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</si>
  <si>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</si>
  <si>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</si>
  <si>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</si>
  <si>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</si>
  <si>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</si>
  <si>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</si>
  <si>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</si>
  <si>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</si>
  <si>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</si>
  <si>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</si>
  <si>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</si>
  <si>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</si>
  <si>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</si>
  <si>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</si>
  <si>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</si>
  <si>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</si>
  <si>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</si>
  <si>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</si>
  <si>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</si>
  <si>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</si>
  <si>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</si>
  <si>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</si>
  <si>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</si>
  <si>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</si>
  <si>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</si>
  <si>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</si>
  <si>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</si>
  <si>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</si>
  <si>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</si>
  <si>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</si>
  <si>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</si>
  <si>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</si>
  <si>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</si>
  <si>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</si>
  <si>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</si>
  <si>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</si>
  <si>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</si>
  <si>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</si>
  <si>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</si>
  <si>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</si>
  <si>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</si>
  <si>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</si>
  <si>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</si>
  <si>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</si>
  <si>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</si>
  <si>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</si>
  <si>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</si>
  <si>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</si>
  <si>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</si>
  <si>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</si>
  <si>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</si>
  <si>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</si>
  <si>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</si>
  <si>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</si>
  <si>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</si>
  <si>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</si>
  <si>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</si>
  <si>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</si>
  <si>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</si>
  <si>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</si>
  <si>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</si>
  <si>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</si>
  <si>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</si>
  <si>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</si>
  <si>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</si>
  <si>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</si>
  <si>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</si>
  <si>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</si>
  <si>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</si>
  <si>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</si>
  <si>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</si>
  <si>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</si>
  <si>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</si>
  <si>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</si>
  <si>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</si>
  <si>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</si>
  <si>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</si>
  <si>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</si>
  <si>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</si>
  <si>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</si>
  <si>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</si>
  <si>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</si>
  <si>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</si>
  <si>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</si>
  <si>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</si>
  <si>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</si>
  <si>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</si>
  <si>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</si>
  <si>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</si>
  <si>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</si>
  <si>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</si>
  <si>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</si>
  <si>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</si>
  <si>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</si>
  <si>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</si>
  <si>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</si>
  <si>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</si>
  <si>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</si>
  <si>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</si>
  <si>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</si>
  <si>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</si>
  <si>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</si>
  <si>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</si>
  <si>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</si>
  <si>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</si>
  <si>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</si>
  <si>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</si>
  <si>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</si>
  <si>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</si>
  <si>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</si>
  <si>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</si>
  <si>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</si>
  <si>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</si>
  <si>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</si>
  <si>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</si>
  <si>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</si>
  <si>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</si>
  <si>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</si>
  <si>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</si>
  <si>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</si>
  <si>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</si>
  <si>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</si>
  <si>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</si>
  <si>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</si>
  <si>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</si>
  <si>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</si>
  <si>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</si>
  <si>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</si>
  <si>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</si>
  <si>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</si>
  <si>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</si>
  <si>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</si>
  <si>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</si>
  <si>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</si>
  <si>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</si>
  <si>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</si>
  <si>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</si>
  <si>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</si>
  <si>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</si>
  <si>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</si>
  <si>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</si>
  <si>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</si>
  <si>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</si>
  <si>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</si>
  <si>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</si>
  <si>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</si>
  <si>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</si>
  <si>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</si>
  <si>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</si>
  <si>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</si>
  <si>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</si>
  <si>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</si>
  <si>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</si>
  <si>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</si>
  <si>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</si>
  <si>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</si>
  <si>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</si>
  <si>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</si>
  <si>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</si>
  <si>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</si>
  <si>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</si>
  <si>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</si>
  <si>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</si>
  <si>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</si>
  <si>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</si>
  <si>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</si>
  <si>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</si>
  <si>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</si>
  <si>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</si>
  <si>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</si>
  <si>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</si>
  <si>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</si>
  <si>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</si>
  <si>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</si>
  <si>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</si>
  <si>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</si>
  <si>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</si>
  <si>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</si>
  <si>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</si>
  <si>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</si>
  <si>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</si>
  <si>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</si>
  <si>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</si>
  <si>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</si>
  <si>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</si>
  <si>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</si>
  <si>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</si>
  <si>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</si>
  <si>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</si>
  <si>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</si>
  <si>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</si>
  <si>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</si>
  <si>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</si>
  <si>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</si>
  <si>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</si>
  <si>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</si>
  <si>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</si>
  <si>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</si>
  <si>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</si>
  <si>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</si>
  <si>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</si>
  <si>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</si>
  <si>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</si>
  <si>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</si>
  <si>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</si>
  <si>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</si>
  <si>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</si>
  <si>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</si>
  <si>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</si>
  <si>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</si>
  <si>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</si>
  <si>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</si>
  <si>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</si>
  <si>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</si>
  <si>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</si>
  <si>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</si>
  <si>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</si>
  <si>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</si>
  <si>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</si>
  <si>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</si>
  <si>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</si>
  <si>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</si>
  <si>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</si>
  <si>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</si>
  <si>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</si>
  <si>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</si>
  <si>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</si>
  <si>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</si>
  <si>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</si>
  <si>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</si>
  <si>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</si>
  <si>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</si>
  <si>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</si>
  <si>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</si>
  <si>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</si>
  <si>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</si>
  <si>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</si>
  <si>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</si>
  <si>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</si>
  <si>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</si>
  <si>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</si>
  <si>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</si>
  <si>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</si>
  <si>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</si>
  <si>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</si>
  <si>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</si>
  <si>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</si>
  <si>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</si>
  <si>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</si>
  <si>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</si>
  <si>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</si>
  <si>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</si>
  <si>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</si>
  <si>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</si>
  <si>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</si>
  <si>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</si>
  <si>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</si>
  <si>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</si>
  <si>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</si>
  <si>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</si>
  <si>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</si>
  <si>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</si>
  <si>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</si>
  <si>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</si>
  <si>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</si>
  <si>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</si>
  <si>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</si>
  <si>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</si>
  <si>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</si>
  <si>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</si>
  <si>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</si>
  <si>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</si>
  <si>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</si>
  <si>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</si>
  <si>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</si>
  <si>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</si>
  <si>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</si>
  <si>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</si>
  <si>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</si>
  <si>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</si>
  <si>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</si>
  <si>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</si>
  <si>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</si>
  <si>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</si>
  <si>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</si>
  <si>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</si>
  <si>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</si>
  <si>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</si>
  <si>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</si>
  <si>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</si>
  <si>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</si>
  <si>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</si>
  <si>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</si>
  <si>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</si>
  <si>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</si>
  <si>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</si>
  <si>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</si>
  <si>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</si>
  <si>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</si>
  <si>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</si>
  <si>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</si>
  <si>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</si>
  <si>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</si>
  <si>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</si>
  <si>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</si>
  <si>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</si>
  <si>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</si>
  <si>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</si>
  <si>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</si>
  <si>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</si>
  <si>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</si>
  <si>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</si>
  <si>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</si>
  <si>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</si>
  <si>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</si>
  <si>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</si>
  <si>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</si>
  <si>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</si>
  <si>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</si>
  <si>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</si>
  <si>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</si>
  <si>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</si>
  <si>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</si>
  <si>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</si>
  <si>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</si>
  <si>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</si>
  <si>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</si>
  <si>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</si>
  <si>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</si>
  <si>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</si>
  <si>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</si>
  <si>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</si>
  <si>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</si>
  <si>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</si>
  <si>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</si>
  <si>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</si>
  <si>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</si>
  <si>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</si>
  <si>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</si>
  <si>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</si>
  <si>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</si>
  <si>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</si>
  <si>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</si>
  <si>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</si>
  <si>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</si>
  <si>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</si>
  <si>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</si>
  <si>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</si>
  <si>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</si>
  <si>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</si>
  <si>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</si>
  <si>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</si>
  <si>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</si>
  <si>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</si>
  <si>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</si>
  <si>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</si>
  <si>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</si>
  <si>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</si>
  <si>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</si>
  <si>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</si>
  <si>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</si>
  <si>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</si>
  <si>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</si>
  <si>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</si>
  <si>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</si>
  <si>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</si>
  <si>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</si>
  <si>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</si>
  <si>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</si>
  <si>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</si>
  <si>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</si>
  <si>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</si>
  <si>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</si>
  <si>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</si>
  <si>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</si>
  <si>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</si>
  <si>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</si>
  <si>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</si>
  <si>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</si>
  <si>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</si>
  <si>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</si>
  <si>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</si>
  <si>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</si>
  <si>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</si>
  <si>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</si>
  <si>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</si>
  <si>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</si>
  <si>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</si>
  <si>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</si>
  <si>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</si>
  <si>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</si>
  <si>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</si>
  <si>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</si>
  <si>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</si>
  <si>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</si>
  <si>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</si>
  <si>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</si>
  <si>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</si>
  <si>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</si>
  <si>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</si>
  <si>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</si>
  <si>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</si>
  <si>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</si>
  <si>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</si>
  <si>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</si>
  <si>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</si>
  <si>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</si>
  <si>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</si>
  <si>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</si>
  <si>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</si>
  <si>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</si>
  <si>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</si>
  <si>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</si>
  <si>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</si>
  <si>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</si>
  <si>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</si>
  <si>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</si>
  <si>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</si>
  <si>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</si>
  <si>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</si>
  <si>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</si>
  <si>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</si>
  <si>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</si>
  <si>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</si>
  <si>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</si>
  <si>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</si>
  <si>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</si>
  <si>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</si>
  <si>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</si>
  <si>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</si>
  <si>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</si>
  <si>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</si>
  <si>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</si>
  <si>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</si>
  <si>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</si>
  <si>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</si>
  <si>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</si>
  <si>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</si>
  <si>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</si>
  <si>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</si>
  <si>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</si>
  <si>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</si>
  <si>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</si>
  <si>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</si>
  <si>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</si>
  <si>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</si>
  <si>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</si>
  <si>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</si>
  <si>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</si>
  <si>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</si>
  <si>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</si>
  <si>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</si>
  <si>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</si>
  <si>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</si>
  <si>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</si>
  <si>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</si>
  <si>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</si>
  <si>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</si>
  <si>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</si>
  <si>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</si>
  <si>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</si>
  <si>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</si>
  <si>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</si>
  <si>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</si>
  <si>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</si>
  <si>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</si>
  <si>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</si>
  <si>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</si>
  <si>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</si>
  <si>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</si>
  <si>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</si>
  <si>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</si>
  <si>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</si>
  <si>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</si>
  <si>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</si>
  <si>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</si>
  <si>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</si>
  <si>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</si>
  <si>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</si>
  <si>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</si>
  <si>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</si>
  <si>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</si>
  <si>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</si>
  <si>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</si>
  <si>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</si>
  <si>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</si>
  <si>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</si>
  <si>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</si>
  <si>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</si>
  <si>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</si>
  <si>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</si>
  <si>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</si>
  <si>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</si>
  <si>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</si>
  <si>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</si>
  <si>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</si>
  <si>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</si>
  <si>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</si>
  <si>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</si>
  <si>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</si>
  <si>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</si>
  <si>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</si>
  <si>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</si>
  <si>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</si>
  <si>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</si>
  <si>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</si>
  <si>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</si>
  <si>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</si>
  <si>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</si>
  <si>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</si>
  <si>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</si>
  <si>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</si>
  <si>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</si>
  <si>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</si>
  <si>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</si>
  <si>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</si>
  <si>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</si>
  <si>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</si>
  <si>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</si>
  <si>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</si>
  <si>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</si>
  <si>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</si>
  <si>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</si>
  <si>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</si>
  <si>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</si>
  <si>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</si>
  <si>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</si>
  <si>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</si>
  <si>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</si>
  <si>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</si>
  <si>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</si>
  <si>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</si>
  <si>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</si>
  <si>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</si>
  <si>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</si>
  <si>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</si>
  <si>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</si>
  <si>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</si>
  <si>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</si>
  <si>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</si>
  <si>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</si>
  <si>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</si>
  <si>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</si>
  <si>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</si>
  <si>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</si>
  <si>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</si>
  <si>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</si>
  <si>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</si>
  <si>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</si>
  <si>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</si>
  <si>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</si>
  <si>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</si>
  <si>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</si>
  <si>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</si>
  <si>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</si>
  <si>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</si>
  <si>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</si>
  <si>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</si>
  <si>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</si>
  <si>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</si>
  <si>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</si>
  <si>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</si>
  <si>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</si>
  <si>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</si>
  <si>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</si>
  <si>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</si>
  <si>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</si>
  <si>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</si>
  <si>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</si>
  <si>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</si>
  <si>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</si>
  <si>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</si>
  <si>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</si>
  <si>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</si>
  <si>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</si>
  <si>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</si>
  <si>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</si>
  <si>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</si>
  <si>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</si>
  <si>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</si>
  <si>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</si>
  <si>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</si>
  <si>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</si>
  <si>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</si>
  <si>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</si>
  <si>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</si>
  <si>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</si>
  <si>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</si>
  <si>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</si>
  <si>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</si>
  <si>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</si>
  <si>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</si>
  <si>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</si>
  <si>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</si>
  <si>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</si>
  <si>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</si>
  <si>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</si>
  <si>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</si>
  <si>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</si>
  <si>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</si>
  <si>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</si>
  <si>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</si>
  <si>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</si>
  <si>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</si>
  <si>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</si>
  <si>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</si>
  <si>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</si>
  <si>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</si>
  <si>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</si>
  <si>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</si>
  <si>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</si>
  <si>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</si>
  <si>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</si>
  <si>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</si>
  <si>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</si>
  <si>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</si>
  <si>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</si>
  <si>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</si>
  <si>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</si>
  <si>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</si>
  <si>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</si>
  <si>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</si>
  <si>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</si>
  <si>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</si>
  <si>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</si>
  <si>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</si>
  <si>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</si>
  <si>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</si>
  <si>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</si>
  <si>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</si>
  <si>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</si>
  <si>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</si>
  <si>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</si>
  <si>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</si>
  <si>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</si>
  <si>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</si>
  <si>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</si>
  <si>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</si>
  <si>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</si>
  <si>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</si>
  <si>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</si>
  <si>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</si>
  <si>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</si>
  <si>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</si>
  <si>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</si>
  <si>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</si>
  <si>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</si>
  <si>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</si>
  <si>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</si>
  <si>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</si>
  <si>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</si>
  <si>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</si>
  <si>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</si>
  <si>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</si>
  <si>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</si>
  <si>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</si>
  <si>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</si>
  <si>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</si>
  <si>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</si>
  <si>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</si>
  <si>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</si>
  <si>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</si>
  <si>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</si>
  <si>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</si>
  <si>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</si>
  <si>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</si>
  <si>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</si>
  <si>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</si>
  <si>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</si>
  <si>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</si>
  <si>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</si>
  <si>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</si>
  <si>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</si>
  <si>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</si>
  <si>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</si>
  <si>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</si>
  <si>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</si>
  <si>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</si>
  <si>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</si>
  <si>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</si>
  <si>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</si>
  <si>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</si>
  <si>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</si>
  <si>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</si>
  <si>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</si>
  <si>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</si>
  <si>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</si>
  <si>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</si>
  <si>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</si>
  <si>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</si>
  <si>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</si>
  <si>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</si>
  <si>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</si>
  <si>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</si>
  <si>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</si>
  <si>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</si>
  <si>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</si>
  <si>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</si>
  <si>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</si>
  <si>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</si>
  <si>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</si>
  <si>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</si>
  <si>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</si>
  <si>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</si>
  <si>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</si>
  <si>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</si>
  <si>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</si>
  <si>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</si>
  <si>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</si>
  <si>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</si>
  <si>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</si>
  <si>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</si>
  <si>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</si>
  <si>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</si>
  <si>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</si>
  <si>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</si>
  <si>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</si>
  <si>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</si>
  <si>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</si>
  <si>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</si>
  <si>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</si>
  <si>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</si>
  <si>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</si>
  <si>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</si>
  <si>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</si>
  <si>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</si>
  <si>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</si>
  <si>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</si>
  <si>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</si>
  <si>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</si>
  <si>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</si>
  <si>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</si>
  <si>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</si>
  <si>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</si>
  <si>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</si>
  <si>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</si>
  <si>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</si>
  <si>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</si>
  <si>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</si>
  <si>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</si>
  <si>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</si>
  <si>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</si>
  <si>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</si>
  <si>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</si>
  <si>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</si>
  <si>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</si>
  <si>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</si>
  <si>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</si>
  <si>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</si>
  <si>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</si>
  <si>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</si>
  <si>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</si>
  <si>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</si>
  <si>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</si>
  <si>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</si>
  <si>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</si>
  <si>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</si>
  <si>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</si>
  <si>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</si>
  <si>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</si>
  <si>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</si>
  <si>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</si>
  <si>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</si>
  <si>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</si>
  <si>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</si>
  <si>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</si>
  <si>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</si>
  <si>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</si>
  <si>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</si>
  <si>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</si>
  <si>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</si>
  <si>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</si>
  <si>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</si>
  <si>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</si>
  <si>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</si>
  <si>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</si>
  <si>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</si>
  <si>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</si>
  <si>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</si>
  <si>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</si>
  <si>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</si>
  <si>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</si>
  <si>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</si>
  <si>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</si>
  <si>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</si>
  <si>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</si>
  <si>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</si>
  <si>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</si>
  <si>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</si>
  <si>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</si>
  <si>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</si>
  <si>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</si>
  <si>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</si>
  <si>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</si>
  <si>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</si>
  <si>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</si>
  <si>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</si>
  <si>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</si>
  <si>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</si>
  <si>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</si>
  <si>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</si>
  <si>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</si>
  <si>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</si>
  <si>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</si>
  <si>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</si>
  <si>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</si>
  <si>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</si>
  <si>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</si>
  <si>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</si>
  <si>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</si>
  <si>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</si>
  <si>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</si>
  <si>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</si>
  <si>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</si>
  <si>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</si>
  <si>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</si>
  <si>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</si>
  <si>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</si>
  <si>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</si>
  <si>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</si>
  <si>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</si>
  <si>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</si>
  <si>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</si>
  <si>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</si>
  <si>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</si>
  <si>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</si>
  <si>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</si>
  <si>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</si>
  <si>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</si>
  <si>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</si>
  <si>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</si>
  <si>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</si>
  <si>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</si>
  <si>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</si>
  <si>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</si>
  <si>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</si>
  <si>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</si>
  <si>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</si>
  <si>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</si>
  <si>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</si>
  <si>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</si>
  <si>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</si>
  <si>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</si>
  <si>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</si>
  <si>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</si>
  <si>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</si>
  <si>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</si>
  <si>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</si>
  <si>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</si>
  <si>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</si>
  <si>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</si>
  <si>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</si>
  <si>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</si>
  <si>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</si>
  <si>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</si>
  <si>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</si>
  <si>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</si>
  <si>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</si>
  <si>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</si>
  <si>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</si>
  <si>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</si>
  <si>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</si>
  <si>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</si>
  <si>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</si>
  <si>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</si>
  <si>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</si>
  <si>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</si>
  <si>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</si>
  <si>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</si>
  <si>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</si>
  <si>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</si>
  <si>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</si>
  <si>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</si>
  <si>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</si>
  <si>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</si>
  <si>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</si>
  <si>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</si>
  <si>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</si>
  <si>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</si>
  <si>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</si>
  <si>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</si>
  <si>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</si>
  <si>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</si>
  <si>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</si>
  <si>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</si>
  <si>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</si>
  <si>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</si>
  <si>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</si>
  <si>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</si>
  <si>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</si>
  <si>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</si>
  <si>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</si>
  <si>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</si>
  <si>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</si>
  <si>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</si>
  <si>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</si>
  <si>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</si>
  <si>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</si>
  <si>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</si>
  <si>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</si>
  <si>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</si>
  <si>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</si>
  <si>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</si>
  <si>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</si>
  <si>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</si>
  <si>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</si>
  <si>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</si>
  <si>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</si>
  <si>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</si>
  <si>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</si>
  <si>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</si>
  <si>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</si>
  <si>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</si>
  <si>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</si>
  <si>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</si>
  <si>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</si>
  <si>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</si>
  <si>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</si>
  <si>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</si>
  <si>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</si>
  <si>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</si>
  <si>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</si>
  <si>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</si>
  <si>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</si>
  <si>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</si>
  <si>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</si>
  <si>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</si>
  <si>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</si>
  <si>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</si>
  <si>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</si>
  <si>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</si>
  <si>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</si>
  <si>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</si>
  <si>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</si>
  <si>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</si>
  <si>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</si>
  <si>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</si>
  <si>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</si>
  <si>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</si>
  <si>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</si>
  <si>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</si>
  <si>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</si>
  <si>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</si>
  <si>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</si>
  <si>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</si>
  <si>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</si>
  <si>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</si>
  <si>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</si>
  <si>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</si>
  <si>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</si>
  <si>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</si>
  <si>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</si>
  <si>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</si>
  <si>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</si>
  <si>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</si>
  <si>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</si>
  <si>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</si>
  <si>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</si>
  <si>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</si>
  <si>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</si>
  <si>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</si>
  <si>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</si>
  <si>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</si>
  <si>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</si>
  <si>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</si>
  <si>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</si>
  <si>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</si>
  <si>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</si>
  <si>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</si>
  <si>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</si>
  <si>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</si>
  <si>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</si>
  <si>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</si>
  <si>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</si>
  <si>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</si>
  <si>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</si>
  <si>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</si>
  <si>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</si>
  <si>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</si>
  <si>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</si>
  <si>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</si>
  <si>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</si>
  <si>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</si>
  <si>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</si>
  <si>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</si>
  <si>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</si>
  <si>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</si>
  <si>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</si>
  <si>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</si>
  <si>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</si>
  <si>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</si>
  <si>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</si>
  <si>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</si>
  <si>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</si>
  <si>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</si>
  <si>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</si>
  <si>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</si>
  <si>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</si>
  <si>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</si>
  <si>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</si>
  <si>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</si>
  <si>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</si>
  <si>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</si>
  <si>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</si>
  <si>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</si>
  <si>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</si>
  <si>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</si>
  <si>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</si>
  <si>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</si>
  <si>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</si>
  <si>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</si>
  <si>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</si>
  <si>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</si>
  <si>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</si>
  <si>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</si>
  <si>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</si>
  <si>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</si>
  <si>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</si>
  <si>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</si>
  <si>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</si>
  <si>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</si>
  <si>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</si>
  <si>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</si>
  <si>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</si>
  <si>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</si>
  <si>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</si>
  <si>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</si>
  <si>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</si>
  <si>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</si>
  <si>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</si>
  <si>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</si>
  <si>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</si>
  <si>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</si>
  <si>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</si>
  <si>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</si>
  <si>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</si>
  <si>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</si>
  <si>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</si>
  <si>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</si>
  <si>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</si>
  <si>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</si>
  <si>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</si>
  <si>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</si>
  <si>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</si>
  <si>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</si>
  <si>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</si>
  <si>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</si>
  <si>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</si>
  <si>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</si>
  <si>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</si>
  <si>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</si>
  <si>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</si>
  <si>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</si>
  <si>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</si>
  <si>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</si>
  <si>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</si>
  <si>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</si>
  <si>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</si>
  <si>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</si>
  <si>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</si>
  <si>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</si>
  <si>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</si>
  <si>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</si>
  <si>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</si>
  <si>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</si>
  <si>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</si>
  <si>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</si>
  <si>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</si>
  <si>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</si>
  <si>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</si>
  <si>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</si>
  <si>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</si>
  <si>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</si>
  <si>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</si>
  <si>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</si>
  <si>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</si>
  <si>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</si>
  <si>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</si>
  <si>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</si>
  <si>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</si>
  <si>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</si>
  <si>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</si>
  <si>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</si>
  <si>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</si>
  <si>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</si>
  <si>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</si>
  <si>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</si>
  <si>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</si>
  <si>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</si>
  <si>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</si>
  <si>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</si>
  <si>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</si>
  <si>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</si>
  <si>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</si>
  <si>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</si>
  <si>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</si>
  <si>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</si>
  <si>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</si>
  <si>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</si>
  <si>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</si>
  <si>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</si>
  <si>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</si>
  <si>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</si>
  <si>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</si>
  <si>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</si>
  <si>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</si>
  <si>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</si>
  <si>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</si>
  <si>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</si>
  <si>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</si>
  <si>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</si>
  <si>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</si>
  <si>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</si>
  <si>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</si>
  <si>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</si>
  <si>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</si>
  <si>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</si>
  <si>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</si>
  <si>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</si>
  <si>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</si>
  <si>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</si>
  <si>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</si>
  <si>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</si>
  <si>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</si>
  <si>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</si>
  <si>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</si>
  <si>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</si>
  <si>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</si>
  <si>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</si>
  <si>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</si>
  <si>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</si>
  <si>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</si>
  <si>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</si>
  <si>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</si>
  <si>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</si>
  <si>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</si>
  <si>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</si>
  <si>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</si>
  <si>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</si>
  <si>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</si>
  <si>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</si>
  <si>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</si>
  <si>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</si>
  <si>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</si>
  <si>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</si>
  <si>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</si>
  <si>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</si>
  <si>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</si>
  <si>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</si>
  <si>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</si>
  <si>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</si>
  <si>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</si>
  <si>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</si>
  <si>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</si>
  <si>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</si>
  <si>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</si>
  <si>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</si>
  <si>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</si>
  <si>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</si>
  <si>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</si>
  <si>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</si>
  <si>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</si>
  <si>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</si>
  <si>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</si>
  <si>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</si>
  <si>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</si>
  <si>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</si>
  <si>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</si>
  <si>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</si>
  <si>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</si>
  <si>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</si>
  <si>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</si>
  <si>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</si>
  <si>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</si>
  <si>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</si>
  <si>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</si>
  <si>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</si>
  <si>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</si>
  <si>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</si>
  <si>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</si>
  <si>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</si>
  <si>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</si>
  <si>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</si>
  <si>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</si>
  <si>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</si>
  <si>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</si>
  <si>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</si>
  <si>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</si>
  <si>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</si>
  <si>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</si>
  <si>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</si>
  <si>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</si>
  <si>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</si>
  <si>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</si>
  <si>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</si>
  <si>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</si>
  <si>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</si>
  <si>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</si>
  <si>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</si>
  <si>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</si>
  <si>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</si>
  <si>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</si>
  <si>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</si>
  <si>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</si>
  <si>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</si>
  <si>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</si>
  <si>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</si>
  <si>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</si>
  <si>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</si>
  <si>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</si>
  <si>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</si>
  <si>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</si>
  <si>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</si>
  <si>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</si>
  <si>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</si>
  <si>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</si>
  <si>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</si>
  <si>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</si>
  <si>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</si>
  <si>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</si>
  <si>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</si>
  <si>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</si>
  <si>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</si>
  <si>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</si>
  <si>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</si>
  <si>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</si>
  <si>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</si>
  <si>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</si>
  <si>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</si>
  <si>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</si>
  <si>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</si>
  <si>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</si>
  <si>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</si>
  <si>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</si>
  <si>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</si>
  <si>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</si>
  <si>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</si>
  <si>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</si>
  <si>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</si>
  <si>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</si>
  <si>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</si>
  <si>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</si>
  <si>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</si>
  <si>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</si>
  <si>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</si>
  <si>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</si>
  <si>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</si>
  <si>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</si>
  <si>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</si>
  <si>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</si>
  <si>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</si>
  <si>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</si>
  <si>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</si>
  <si>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</si>
  <si>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</si>
  <si>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</si>
  <si>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</si>
  <si>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</si>
  <si>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</si>
  <si>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</si>
  <si>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</si>
  <si>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</si>
  <si>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</si>
  <si>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</si>
  <si>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</si>
  <si>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</si>
  <si>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</si>
  <si>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</si>
  <si>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</si>
  <si>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</si>
  <si>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</si>
  <si>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</si>
  <si>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</si>
  <si>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</si>
  <si>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</si>
  <si>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</si>
  <si>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</si>
  <si>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</si>
  <si>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</si>
  <si>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</si>
  <si>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</si>
  <si>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</si>
  <si>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</si>
  <si>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</si>
  <si>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</si>
  <si>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</si>
  <si>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</si>
  <si>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</si>
  <si>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</si>
  <si>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</si>
  <si>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</si>
  <si>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</si>
  <si>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</si>
  <si>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</si>
  <si>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</si>
  <si>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</si>
  <si>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</si>
  <si>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</si>
  <si>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</si>
  <si>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</si>
  <si>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</si>
  <si>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</si>
  <si>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</si>
  <si>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</si>
  <si>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</si>
  <si>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</si>
  <si>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</si>
  <si>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</si>
  <si>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</si>
  <si>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</si>
  <si>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</si>
  <si>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</si>
  <si>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</si>
  <si>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</si>
  <si>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</si>
  <si>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</si>
  <si>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</si>
  <si>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</si>
  <si>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</si>
  <si>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</si>
  <si>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</si>
  <si>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</si>
  <si>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</si>
  <si>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</si>
  <si>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</si>
  <si>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</si>
  <si>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</si>
  <si>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</si>
  <si>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</si>
  <si>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</si>
  <si>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</si>
  <si>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</si>
  <si>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</si>
  <si>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</si>
  <si>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</si>
  <si>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</si>
  <si>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</si>
  <si>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</si>
  <si>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</si>
  <si>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</si>
  <si>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</si>
  <si>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</si>
  <si>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</si>
  <si>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</si>
  <si>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</si>
  <si>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</si>
  <si>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</si>
  <si>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</si>
  <si>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</si>
  <si>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</si>
  <si>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</si>
  <si>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</si>
  <si>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</si>
  <si>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</si>
  <si>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</si>
  <si>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</si>
  <si>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</si>
  <si>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</si>
  <si>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</si>
  <si>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</si>
  <si>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</si>
  <si>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</si>
  <si>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</si>
  <si>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</si>
  <si>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</si>
  <si>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</si>
  <si>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</si>
  <si>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</si>
  <si>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</si>
  <si>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</si>
  <si>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</si>
  <si>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</si>
  <si>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</si>
  <si>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</si>
  <si>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</si>
  <si>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</si>
  <si>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</si>
  <si>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</si>
  <si>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</si>
  <si>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</si>
  <si>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</si>
  <si>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</si>
  <si>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</si>
  <si>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</si>
  <si>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</si>
  <si>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</si>
  <si>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</si>
  <si>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</si>
  <si>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</si>
  <si>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</si>
  <si>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</si>
  <si>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</si>
  <si>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</si>
  <si>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</si>
  <si>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</si>
  <si>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</si>
  <si>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</si>
  <si>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</si>
  <si>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</si>
  <si>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</si>
  <si>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</si>
  <si>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</si>
  <si>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</si>
  <si>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</si>
  <si>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</si>
  <si>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</si>
  <si>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</si>
  <si>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</si>
  <si>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</si>
  <si>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</si>
  <si>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</si>
  <si>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</si>
  <si>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</si>
  <si>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</si>
  <si>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</si>
  <si>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</si>
  <si>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</si>
  <si>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</si>
  <si>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</si>
  <si>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</si>
  <si>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</si>
  <si>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</si>
  <si>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</si>
  <si>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</si>
  <si>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</si>
  <si>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</si>
  <si>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</si>
  <si>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</si>
  <si>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</si>
  <si>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</si>
  <si>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</si>
  <si>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</si>
  <si>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</si>
  <si>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</si>
  <si>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</si>
  <si>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</si>
  <si>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</si>
  <si>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</si>
  <si>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</si>
  <si>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</si>
  <si>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</si>
  <si>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</si>
  <si>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</si>
  <si>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</si>
  <si>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</si>
  <si>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</si>
  <si>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</si>
  <si>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</si>
  <si>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</si>
  <si>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</si>
  <si>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</si>
  <si>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</si>
  <si>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</si>
  <si>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</si>
  <si>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</si>
  <si>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</si>
  <si>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</si>
  <si>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</si>
  <si>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</si>
  <si>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</si>
  <si>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</si>
  <si>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</si>
  <si>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</si>
  <si>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</si>
  <si>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</si>
  <si>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</si>
  <si>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</si>
  <si>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</si>
  <si>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</si>
  <si>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</si>
  <si>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</si>
  <si>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</si>
  <si>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</si>
  <si>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</si>
  <si>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</si>
  <si>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</si>
  <si>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</si>
  <si>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</si>
  <si>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</si>
  <si>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</si>
  <si>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</si>
  <si>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</si>
  <si>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</si>
  <si>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</si>
  <si>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</si>
  <si>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</si>
  <si>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</si>
  <si>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</si>
  <si>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</si>
  <si>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</si>
  <si>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</si>
  <si>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</si>
  <si>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</si>
  <si>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</si>
  <si>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</si>
  <si>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</si>
  <si>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</si>
  <si>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</si>
  <si>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</si>
  <si>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</si>
  <si>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</si>
  <si>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</si>
  <si>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</si>
  <si>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</si>
  <si>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</si>
  <si>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</si>
  <si>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</si>
  <si>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</si>
  <si>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</si>
  <si>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</si>
  <si>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</si>
  <si>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</si>
  <si>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</si>
  <si>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</si>
  <si>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</si>
  <si>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</si>
  <si>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</si>
  <si>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</si>
  <si>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</si>
  <si>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</si>
  <si>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</si>
  <si>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</si>
  <si>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</si>
  <si>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</si>
  <si>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</si>
  <si>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</si>
  <si>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</si>
  <si>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</si>
  <si>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</si>
  <si>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</si>
  <si>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</si>
  <si>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</si>
  <si>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</si>
  <si>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</si>
  <si>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</si>
  <si>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</si>
  <si>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</si>
  <si>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</si>
  <si>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</si>
  <si>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</si>
  <si>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</si>
  <si>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</si>
  <si>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</si>
  <si>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</si>
  <si>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</si>
  <si>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</si>
  <si>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</si>
  <si>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</si>
  <si>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</si>
  <si>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</si>
  <si>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</si>
  <si>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</si>
  <si>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</si>
  <si>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</si>
  <si>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</si>
  <si>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</si>
  <si>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</si>
  <si>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</si>
  <si>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</si>
  <si>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</si>
  <si>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</si>
  <si>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</si>
  <si>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</si>
  <si>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</si>
  <si>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</si>
  <si>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</si>
  <si>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</si>
  <si>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</si>
  <si>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</si>
  <si>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</si>
  <si>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</si>
  <si>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</si>
  <si>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</si>
  <si>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</si>
  <si>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</si>
  <si>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</si>
  <si>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</si>
  <si>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</si>
  <si>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</si>
  <si>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</si>
  <si>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</si>
  <si>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</si>
  <si>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</si>
  <si>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</si>
  <si>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</si>
  <si>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</si>
  <si>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</si>
  <si>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</si>
  <si>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</si>
  <si>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</si>
  <si>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</si>
  <si>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</si>
  <si>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</si>
  <si>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</si>
  <si>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</si>
  <si>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</si>
  <si>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</si>
  <si>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</si>
  <si>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</si>
  <si>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</si>
  <si>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</si>
  <si>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</si>
  <si>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</si>
  <si>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</si>
  <si>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</si>
  <si>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</si>
  <si>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</si>
  <si>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</si>
  <si>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</si>
  <si>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</si>
  <si>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</si>
  <si>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</si>
  <si>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</si>
  <si>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</si>
  <si>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</si>
  <si>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</si>
  <si>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</si>
  <si>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</si>
  <si>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</si>
  <si>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</si>
  <si>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</si>
  <si>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</si>
  <si>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</si>
  <si>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</si>
  <si>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</si>
  <si>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</si>
  <si>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</si>
  <si>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</si>
  <si>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</si>
  <si>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</si>
  <si>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</si>
  <si>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</si>
  <si>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</si>
  <si>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</si>
  <si>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</si>
  <si>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</si>
  <si>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</si>
  <si>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</si>
  <si>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</si>
  <si>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</si>
  <si>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</si>
  <si>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</si>
  <si>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</si>
  <si>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</si>
  <si>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</si>
  <si>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</si>
  <si>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</si>
  <si>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</si>
  <si>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</si>
  <si>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</si>
  <si>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</si>
  <si>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</si>
  <si>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</si>
  <si>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</si>
  <si>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</si>
  <si>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</si>
  <si>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</si>
  <si>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</si>
  <si>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</si>
  <si>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</si>
  <si>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</si>
  <si>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</si>
  <si>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</si>
  <si>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</si>
  <si>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</si>
  <si>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</si>
  <si>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</si>
  <si>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</si>
  <si>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</si>
  <si>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</si>
  <si>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</si>
  <si>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</si>
  <si>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</si>
  <si>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</si>
  <si>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</si>
  <si>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</si>
  <si>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</si>
  <si>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</si>
  <si>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</si>
  <si>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</si>
  <si>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</si>
  <si>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</si>
  <si>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</si>
  <si>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</si>
  <si>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</si>
  <si>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</si>
  <si>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</si>
  <si>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</si>
  <si>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</si>
  <si>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</si>
  <si>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</si>
  <si>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</si>
  <si>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</si>
  <si>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</si>
  <si>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</si>
  <si>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</si>
  <si>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</si>
  <si>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</si>
  <si>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</si>
  <si>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</si>
  <si>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</si>
  <si>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</si>
  <si>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</si>
  <si>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</si>
  <si>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</si>
  <si>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</si>
  <si>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</si>
  <si>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</si>
  <si>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</si>
  <si>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</si>
  <si>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</si>
  <si>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</si>
  <si>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</si>
  <si>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</si>
  <si>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</si>
  <si>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</si>
  <si>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</si>
  <si>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</si>
  <si>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</si>
  <si>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</si>
  <si>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</si>
  <si>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</si>
  <si>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</si>
  <si>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</si>
  <si>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</si>
  <si>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</si>
  <si>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</si>
  <si>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</si>
  <si>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</si>
  <si>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</si>
  <si>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</si>
  <si>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</si>
  <si>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</si>
  <si>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</si>
  <si>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</si>
  <si>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</si>
  <si>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</si>
  <si>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</si>
  <si>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</si>
  <si>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</si>
  <si>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</si>
  <si>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</si>
  <si>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</si>
  <si>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</si>
  <si>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</si>
  <si>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</si>
  <si>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</si>
  <si>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</si>
  <si>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</si>
  <si>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</si>
  <si>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</si>
  <si>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</si>
  <si>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</si>
  <si>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</si>
  <si>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</si>
  <si>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</si>
  <si>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</si>
  <si>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</si>
  <si>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</si>
  <si>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</si>
  <si>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</si>
  <si>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</si>
  <si>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</si>
  <si>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</si>
  <si>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</si>
  <si>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</si>
  <si>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</si>
  <si>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</si>
  <si>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</si>
  <si>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</si>
  <si>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</si>
  <si>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</si>
  <si>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</si>
  <si>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</si>
  <si>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</si>
  <si>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</si>
  <si>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</si>
  <si>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</si>
  <si>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</si>
  <si>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</si>
  <si>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</si>
  <si>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</si>
  <si>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</si>
  <si>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</si>
  <si>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</si>
  <si>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</si>
  <si>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</si>
  <si>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</si>
  <si>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</si>
  <si>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</si>
  <si>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</si>
  <si>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</si>
  <si>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</si>
  <si>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</si>
  <si>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</si>
  <si>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</si>
  <si>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</si>
  <si>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</si>
  <si>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</si>
  <si>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</si>
  <si>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</si>
  <si>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</si>
  <si>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</si>
  <si>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</si>
  <si>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</si>
  <si>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</si>
  <si>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</si>
  <si>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</si>
  <si>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</si>
  <si>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</si>
  <si>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</si>
  <si>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</si>
  <si>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</si>
  <si>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</si>
  <si>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</si>
  <si>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</si>
  <si>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</si>
  <si>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</si>
  <si>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</si>
  <si>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</si>
  <si>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</si>
  <si>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</si>
  <si>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</si>
  <si>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</si>
  <si>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</si>
  <si>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</si>
  <si>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</si>
  <si>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</si>
  <si>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</si>
  <si>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</si>
  <si>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</si>
  <si>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</si>
  <si>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</si>
  <si>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</si>
  <si>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</si>
  <si>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</si>
  <si>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</si>
  <si>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</si>
  <si>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</si>
  <si>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</si>
  <si>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</si>
  <si>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</si>
  <si>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</si>
  <si>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</si>
  <si>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</si>
  <si>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</si>
  <si>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</si>
  <si>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</si>
  <si>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</si>
  <si>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</si>
  <si>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</si>
  <si>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</si>
  <si>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</si>
  <si>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</si>
  <si>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</si>
  <si>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</si>
  <si>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</si>
  <si>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</si>
  <si>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</si>
  <si>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</si>
  <si>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</si>
  <si>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</si>
  <si>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</si>
  <si>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</si>
  <si>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</si>
  <si>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</si>
  <si>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</si>
  <si>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</si>
  <si>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</si>
  <si>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</si>
  <si>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</si>
  <si>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</si>
  <si>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</si>
  <si>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</si>
  <si>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</si>
  <si>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</si>
  <si>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</si>
  <si>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</si>
  <si>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</si>
  <si>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</si>
  <si>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</si>
  <si>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</si>
  <si>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</si>
  <si>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</si>
  <si>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</si>
  <si>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</si>
  <si>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</si>
  <si>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</si>
  <si>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</si>
  <si>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</si>
  <si>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</si>
  <si>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</si>
  <si>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</si>
  <si>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</si>
  <si>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</si>
  <si>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</si>
  <si>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</si>
  <si>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</si>
  <si>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</si>
  <si>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</si>
  <si>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</si>
  <si>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</si>
  <si>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</si>
  <si>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</si>
  <si>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</si>
  <si>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</si>
  <si>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</si>
  <si>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</si>
  <si>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</si>
  <si>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</si>
  <si>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</si>
  <si>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</si>
  <si>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</si>
  <si>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</si>
  <si>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</si>
  <si>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</si>
  <si>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</si>
  <si>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</si>
  <si>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</si>
  <si>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</si>
  <si>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</si>
  <si>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</si>
  <si>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</si>
  <si>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</si>
  <si>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</si>
  <si>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</si>
  <si>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</si>
  <si>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</si>
  <si>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</si>
  <si>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</si>
  <si>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</si>
  <si>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</si>
  <si>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</si>
  <si>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</si>
  <si>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</si>
  <si>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</si>
  <si>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</si>
  <si>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</si>
  <si>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</si>
  <si>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</si>
  <si>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</si>
  <si>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</si>
  <si>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</si>
  <si>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</si>
  <si>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</si>
  <si>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</si>
  <si>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</si>
  <si>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</si>
  <si>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</si>
  <si>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</si>
  <si>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</si>
  <si>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</si>
  <si>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</si>
  <si>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</si>
  <si>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</si>
  <si>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</si>
  <si>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</si>
  <si>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</si>
  <si>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</si>
  <si>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</si>
  <si>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</si>
  <si>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</si>
  <si>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</si>
  <si>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</si>
  <si>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</si>
  <si>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</si>
  <si>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</si>
  <si>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</si>
  <si>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</si>
  <si>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</si>
  <si>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</si>
  <si>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</si>
  <si>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</si>
  <si>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</si>
  <si>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</si>
  <si>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</si>
  <si>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</si>
  <si>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</si>
  <si>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</si>
  <si>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</si>
  <si>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</si>
  <si>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</si>
  <si>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</si>
  <si>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</si>
  <si>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</si>
  <si>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</si>
  <si>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</si>
  <si>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</si>
  <si>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</si>
  <si>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</si>
  <si>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</si>
  <si>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</si>
  <si>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</si>
  <si>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</si>
  <si>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</si>
  <si>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</si>
  <si>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</si>
  <si>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</si>
  <si>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</si>
  <si>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</si>
  <si>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</si>
  <si>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</si>
  <si>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</si>
  <si>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</si>
  <si>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</si>
  <si>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</si>
  <si>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</si>
  <si>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</si>
  <si>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</si>
  <si>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</si>
  <si>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</si>
  <si>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</si>
  <si>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</si>
  <si>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</si>
  <si>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</si>
  <si>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</si>
  <si>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</si>
  <si>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</si>
  <si>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</si>
  <si>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</si>
  <si>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</si>
  <si>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</si>
  <si>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</si>
  <si>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</si>
  <si>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</si>
  <si>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</si>
  <si>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</si>
  <si>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</si>
  <si>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</si>
  <si>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</si>
  <si>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</si>
  <si>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</si>
  <si>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</si>
  <si>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</si>
  <si>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</si>
  <si>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</si>
  <si>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</si>
  <si>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</si>
  <si>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</si>
  <si>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</si>
  <si>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</si>
  <si>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</si>
  <si>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</si>
  <si>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</si>
  <si>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</si>
  <si>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</si>
  <si>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</si>
  <si>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</si>
  <si>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</si>
  <si>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</si>
  <si>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</si>
  <si>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</si>
  <si>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</si>
  <si>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</si>
  <si>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</si>
  <si>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</si>
  <si>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</si>
  <si>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</si>
  <si>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</si>
  <si>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</si>
  <si>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</si>
  <si>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</si>
  <si>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</si>
  <si>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</si>
  <si>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</si>
  <si>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</si>
  <si>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</si>
  <si>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</si>
  <si>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</si>
  <si>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</si>
  <si>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</si>
  <si>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</si>
  <si>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</si>
  <si>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</si>
  <si>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</si>
  <si>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</si>
  <si>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</si>
  <si>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</si>
  <si>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</si>
  <si>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</si>
  <si>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</si>
  <si>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</si>
  <si>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</si>
  <si>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</si>
  <si>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</si>
  <si>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</si>
  <si>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</si>
  <si>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</si>
  <si>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</si>
  <si>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</si>
  <si>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</si>
  <si>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</si>
  <si>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</si>
  <si>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</si>
  <si>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</si>
  <si>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</si>
  <si>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</si>
  <si>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</si>
  <si>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</si>
  <si>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</si>
  <si>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</si>
  <si>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</si>
  <si>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</si>
  <si>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</si>
  <si>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</si>
  <si>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</si>
  <si>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</si>
  <si>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</si>
  <si>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</si>
  <si>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</si>
  <si>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</si>
  <si>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</si>
  <si>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</si>
  <si>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</si>
  <si>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</si>
  <si>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</si>
  <si>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</si>
  <si>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</si>
  <si>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</si>
  <si>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</si>
  <si>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</si>
  <si>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</si>
  <si>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</si>
  <si>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</si>
  <si>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</si>
  <si>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</si>
  <si>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</si>
  <si>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</si>
  <si>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</si>
  <si>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</si>
  <si>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</si>
  <si>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</si>
  <si>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</si>
  <si>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</si>
  <si>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</si>
  <si>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</si>
  <si>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</si>
  <si>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</si>
  <si>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</si>
  <si>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</si>
  <si>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</si>
  <si>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</si>
  <si>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</si>
  <si>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</si>
  <si>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</si>
  <si>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</si>
  <si>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</si>
  <si>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</si>
  <si>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</si>
  <si>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</si>
  <si>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</si>
  <si>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</si>
  <si>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</si>
  <si>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</si>
  <si>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</si>
  <si>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</si>
  <si>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</si>
  <si>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</si>
  <si>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</si>
  <si>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</si>
  <si>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</si>
  <si>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</si>
  <si>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</si>
  <si>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</si>
  <si>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</si>
  <si>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</si>
  <si>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</si>
  <si>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</si>
  <si>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</si>
  <si>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</si>
  <si>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</si>
  <si>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</si>
  <si>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</si>
  <si>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</si>
  <si>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</si>
  <si>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</si>
  <si>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</si>
  <si>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</si>
  <si>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</si>
  <si>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</si>
  <si>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</si>
  <si>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</si>
  <si>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</si>
  <si>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</si>
  <si>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</si>
  <si>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</si>
  <si>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</si>
  <si>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</si>
  <si>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</si>
  <si>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</si>
  <si>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</si>
  <si>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</si>
  <si>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</si>
  <si>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</si>
  <si>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</si>
  <si>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</si>
  <si>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</si>
  <si>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</si>
  <si>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</si>
  <si>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</si>
  <si>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</si>
  <si>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</si>
  <si>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</si>
  <si>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</si>
  <si>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</si>
  <si>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</si>
  <si>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</si>
  <si>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</si>
  <si>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</si>
  <si>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</si>
  <si>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</si>
  <si>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</si>
  <si>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</si>
  <si>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</si>
  <si>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</si>
  <si>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</si>
  <si>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</si>
  <si>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</si>
  <si>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</si>
  <si>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</si>
  <si>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</si>
  <si>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</si>
  <si>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</si>
  <si>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</si>
  <si>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</si>
  <si>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</si>
  <si>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</si>
  <si>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</si>
  <si>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</si>
  <si>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</si>
  <si>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</si>
  <si>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</si>
  <si>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</si>
  <si>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</si>
  <si>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</si>
  <si>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</si>
  <si>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</si>
  <si>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</si>
  <si>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</si>
  <si>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</si>
  <si>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</si>
  <si>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</si>
  <si>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</si>
  <si>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</si>
  <si>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</si>
  <si>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</si>
  <si>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</si>
  <si>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</si>
  <si>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</si>
  <si>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</si>
  <si>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</si>
  <si>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</si>
  <si>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</si>
  <si>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</si>
  <si>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</si>
  <si>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</si>
  <si>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</si>
  <si>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</si>
  <si>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</si>
  <si>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</si>
  <si>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</si>
  <si>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</si>
  <si>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</si>
  <si>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</si>
  <si>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</si>
  <si>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</si>
  <si>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</si>
  <si>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</si>
  <si>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</si>
  <si>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</si>
  <si>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</si>
  <si>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</si>
  <si>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</si>
  <si>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</si>
  <si>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</si>
  <si>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</si>
  <si>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</si>
  <si>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</si>
  <si>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</si>
  <si>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</si>
  <si>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</si>
  <si>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</si>
  <si>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</si>
  <si>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</si>
  <si>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</si>
  <si>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</si>
  <si>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</si>
  <si>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</si>
  <si>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</si>
  <si>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</si>
  <si>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</si>
  <si>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</si>
  <si>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</si>
  <si>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</si>
  <si>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</si>
  <si>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</si>
  <si>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</si>
  <si>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</si>
  <si>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</si>
  <si>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</si>
  <si>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</si>
  <si>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</si>
  <si>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</si>
  <si>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</si>
  <si>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</si>
  <si>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</si>
  <si>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</si>
  <si>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</si>
  <si>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</si>
  <si>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</si>
  <si>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</si>
  <si>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</si>
  <si>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</si>
  <si>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</si>
  <si>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</si>
  <si>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</si>
  <si>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</si>
  <si>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</si>
  <si>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</si>
  <si>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</si>
  <si>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</si>
  <si>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</si>
  <si>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</si>
  <si>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</si>
  <si>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</si>
  <si>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</si>
  <si>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</si>
  <si>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</si>
  <si>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</si>
  <si>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</si>
  <si>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</si>
  <si>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</si>
  <si>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</si>
  <si>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</si>
  <si>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</si>
  <si>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</si>
  <si>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</si>
  <si>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</si>
  <si>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</si>
  <si>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</si>
  <si>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</si>
  <si>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</si>
  <si>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</si>
  <si>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</si>
  <si>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</si>
  <si>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</si>
  <si>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</si>
  <si>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</si>
  <si>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</si>
  <si>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</si>
  <si>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</si>
  <si>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</si>
  <si>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</si>
  <si>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</si>
  <si>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</si>
  <si>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</si>
  <si>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</si>
  <si>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</si>
  <si>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</si>
  <si>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</si>
  <si>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</si>
  <si>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</si>
  <si>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</si>
  <si>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</si>
  <si>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</si>
  <si>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</si>
  <si>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</si>
  <si>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</si>
  <si>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</si>
  <si>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</si>
  <si>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</si>
  <si>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</si>
  <si>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</si>
  <si>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</si>
  <si>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</si>
  <si>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</si>
  <si>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</si>
  <si>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</si>
  <si>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</si>
  <si>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</si>
  <si>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</si>
  <si>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</si>
  <si>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</si>
  <si>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</si>
  <si>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</si>
  <si>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</si>
  <si>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</si>
  <si>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</si>
  <si>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</si>
  <si>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</si>
  <si>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</si>
  <si>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</si>
  <si>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</si>
  <si>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</si>
  <si>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</si>
  <si>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</si>
  <si>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</si>
  <si>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</si>
  <si>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</si>
  <si>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</si>
  <si>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</si>
  <si>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</si>
  <si>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</si>
  <si>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</si>
  <si>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</si>
  <si>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</si>
  <si>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</si>
  <si>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</si>
  <si>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</si>
  <si>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</si>
  <si>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</si>
  <si>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</si>
  <si>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</si>
  <si>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</si>
  <si>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</si>
  <si>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</si>
  <si>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</si>
  <si>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</si>
  <si>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</si>
  <si>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</si>
  <si>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</si>
  <si>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</si>
  <si>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</si>
  <si>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</si>
  <si>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</si>
  <si>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</si>
  <si>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</si>
  <si>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</si>
  <si>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</si>
  <si>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</si>
  <si>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</si>
  <si>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</si>
  <si>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</si>
  <si>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</si>
  <si>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</si>
  <si>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</si>
  <si>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</si>
  <si>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</si>
  <si>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</si>
  <si>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</si>
  <si>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</si>
  <si>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</si>
  <si>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</si>
  <si>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</si>
  <si>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</si>
  <si>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</si>
  <si>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</si>
  <si>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</si>
  <si>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</si>
  <si>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</si>
  <si>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</si>
  <si>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</si>
  <si>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</si>
  <si>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</si>
  <si>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</si>
  <si>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</si>
  <si>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</si>
  <si>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</si>
  <si>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</si>
  <si>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</si>
  <si>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</si>
  <si>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</si>
  <si>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</si>
  <si>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</si>
  <si>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</si>
  <si>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</si>
  <si>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</si>
  <si>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</si>
  <si>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</si>
  <si>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</si>
  <si>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</si>
  <si>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</si>
  <si>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</si>
  <si>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</si>
  <si>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</si>
  <si>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</si>
  <si>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</si>
  <si>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</si>
  <si>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</si>
  <si>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</si>
  <si>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</si>
  <si>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</si>
  <si>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</si>
  <si>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</si>
  <si>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</si>
  <si>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</si>
  <si>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</si>
  <si>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</si>
  <si>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</si>
  <si>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</si>
  <si>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</si>
  <si>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</si>
  <si>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</si>
  <si>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</si>
  <si>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</si>
  <si>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</si>
  <si>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</si>
  <si>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</si>
  <si>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</si>
  <si>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</si>
  <si>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</si>
  <si>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</si>
  <si>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</si>
  <si>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</si>
  <si>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</si>
  <si>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</si>
  <si>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</si>
  <si>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</si>
  <si>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</si>
  <si>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</si>
  <si>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</si>
  <si>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</si>
  <si>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</si>
  <si>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</si>
  <si>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</si>
  <si>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</si>
  <si>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</si>
  <si>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</si>
  <si>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</si>
  <si>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</si>
  <si>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</si>
  <si>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</si>
  <si>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</si>
  <si>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</si>
  <si>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</si>
  <si>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</si>
  <si>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</si>
  <si>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</si>
  <si>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</si>
  <si>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</si>
  <si>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</si>
  <si>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</si>
  <si>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</si>
  <si>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</si>
  <si>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</si>
  <si>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</si>
  <si>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</si>
  <si>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</si>
  <si>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</si>
  <si>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</si>
  <si>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</si>
  <si>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</si>
  <si>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</si>
  <si>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</si>
  <si>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</si>
  <si>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</si>
  <si>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</si>
  <si>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</si>
  <si>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</si>
  <si>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</si>
  <si>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</si>
  <si>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</si>
  <si>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</si>
  <si>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</si>
  <si>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</si>
  <si>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</si>
  <si>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</si>
  <si>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</si>
  <si>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</si>
  <si>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</si>
  <si>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</si>
  <si>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</si>
  <si>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</si>
  <si>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</si>
  <si>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</si>
  <si>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</si>
  <si>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</si>
  <si>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</si>
  <si>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</si>
  <si>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</si>
  <si>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</si>
  <si>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</si>
  <si>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</si>
  <si>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</si>
  <si>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</si>
  <si>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</si>
  <si>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</si>
  <si>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</si>
  <si>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</si>
  <si>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</si>
  <si>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</si>
  <si>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</si>
  <si>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</si>
  <si>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</si>
  <si>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</si>
  <si>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</si>
  <si>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</si>
  <si>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</si>
  <si>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</si>
  <si>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</si>
  <si>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</si>
  <si>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</si>
  <si>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</si>
  <si>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</si>
  <si>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</si>
  <si>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</si>
  <si>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</si>
  <si>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</si>
  <si>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</si>
  <si>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</si>
  <si>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</si>
  <si>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</si>
  <si>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</si>
  <si>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</si>
  <si>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</si>
  <si>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</si>
  <si>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</si>
  <si>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</si>
  <si>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</si>
  <si>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</si>
  <si>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</si>
  <si>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</si>
  <si>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</si>
  <si>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</si>
  <si>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</si>
  <si>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</si>
  <si>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</si>
  <si>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</si>
  <si>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</si>
  <si>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</si>
  <si>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</si>
  <si>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</si>
  <si>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</si>
  <si>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</si>
  <si>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</si>
  <si>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</si>
  <si>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</si>
  <si>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</si>
  <si>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</si>
  <si>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</si>
  <si>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</si>
  <si>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</si>
  <si>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</si>
  <si>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</si>
  <si>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</si>
  <si>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</si>
  <si>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</si>
  <si>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</si>
  <si>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</si>
  <si>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</si>
  <si>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</si>
  <si>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</si>
  <si>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</si>
  <si>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</si>
  <si>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</si>
  <si>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</si>
  <si>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</si>
  <si>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</si>
  <si>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</si>
  <si>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</si>
  <si>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</si>
  <si>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</si>
  <si>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</si>
  <si>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</si>
  <si>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</si>
  <si>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</si>
  <si>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</si>
  <si>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</si>
  <si>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</si>
  <si>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</si>
  <si>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</si>
  <si>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</si>
  <si>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</si>
  <si>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</si>
  <si>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</si>
  <si>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</si>
  <si>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</si>
  <si>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</si>
  <si>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</si>
  <si>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</si>
  <si>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</si>
  <si>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</si>
  <si>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</si>
  <si>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</si>
  <si>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</si>
  <si>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</si>
  <si>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</si>
  <si>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</si>
  <si>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</si>
  <si>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</si>
  <si>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</si>
  <si>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</si>
  <si>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</si>
  <si>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</si>
  <si>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</si>
  <si>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</si>
  <si>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</si>
  <si>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</si>
  <si>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</si>
  <si>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</si>
  <si>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</si>
  <si>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</si>
  <si>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</si>
  <si>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</si>
  <si>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</si>
  <si>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</si>
  <si>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</si>
  <si>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</si>
  <si>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</si>
  <si>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</si>
  <si>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</si>
  <si>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</si>
  <si>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</si>
  <si>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</si>
  <si>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</si>
  <si>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</si>
  <si>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</si>
  <si>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</si>
  <si>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</si>
  <si>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</si>
  <si>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</si>
  <si>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</si>
  <si>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</si>
  <si>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</si>
  <si>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</si>
  <si>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</si>
  <si>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</si>
  <si>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</si>
  <si>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</si>
  <si>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</si>
  <si>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</si>
  <si>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</si>
  <si>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</si>
  <si>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</si>
  <si>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</si>
  <si>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</si>
  <si>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</si>
  <si>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</si>
  <si>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</si>
  <si>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</si>
  <si>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</si>
  <si>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</si>
  <si>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</si>
  <si>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</si>
  <si>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</si>
  <si>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</si>
  <si>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</si>
  <si>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</si>
  <si>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</si>
  <si>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</si>
  <si>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</si>
  <si>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</si>
  <si>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</si>
  <si>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</si>
  <si>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</si>
  <si>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</si>
  <si>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</si>
  <si>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</si>
  <si>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</si>
  <si>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</si>
  <si>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</si>
  <si>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</si>
  <si>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</si>
  <si>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</si>
  <si>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</si>
  <si>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</si>
  <si>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</si>
  <si>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</si>
  <si>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</si>
  <si>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</si>
  <si>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</si>
  <si>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</si>
  <si>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</si>
  <si>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</si>
  <si>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</si>
  <si>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</si>
  <si>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</si>
  <si>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</si>
  <si>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</si>
  <si>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</si>
  <si>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</si>
  <si>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</si>
  <si>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</si>
  <si>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</si>
  <si>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</si>
  <si>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</si>
  <si>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</si>
  <si>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</si>
  <si>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</si>
  <si>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</si>
  <si>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</si>
  <si>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</si>
  <si>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</si>
  <si>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</si>
  <si>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</si>
  <si>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</si>
  <si>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</si>
  <si>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</si>
  <si>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</si>
  <si>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</si>
  <si>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</si>
  <si>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</si>
  <si>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</si>
  <si>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</si>
  <si>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</si>
  <si>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</si>
  <si>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</si>
  <si>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</si>
  <si>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</si>
  <si>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</si>
  <si>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</si>
  <si>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</si>
  <si>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</si>
  <si>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</si>
  <si>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</si>
  <si>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</si>
  <si>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</si>
  <si>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</si>
  <si>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</si>
  <si>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</si>
  <si>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</si>
  <si>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</si>
  <si>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</si>
  <si>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</si>
  <si>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</si>
  <si>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</si>
  <si>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</si>
  <si>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</si>
  <si>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</si>
  <si>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</si>
  <si>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</si>
  <si>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</si>
  <si>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</si>
  <si>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</si>
  <si>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</si>
  <si>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</si>
  <si>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</si>
  <si>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</si>
  <si>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</si>
  <si>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</si>
  <si>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</si>
  <si>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</si>
  <si>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</si>
  <si>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</si>
  <si>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</si>
  <si>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</si>
  <si>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</si>
  <si>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</si>
  <si>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</si>
  <si>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</si>
  <si>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</si>
  <si>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</si>
  <si>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</si>
  <si>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</si>
  <si>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</si>
  <si>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</si>
  <si>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</si>
  <si>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</si>
  <si>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</si>
  <si>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</si>
  <si>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</si>
  <si>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</si>
  <si>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</si>
  <si>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</si>
  <si>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</si>
  <si>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</si>
  <si>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</si>
  <si>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</si>
  <si>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</si>
  <si>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</si>
  <si>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</si>
  <si>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</si>
  <si>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</si>
  <si>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</si>
  <si>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</si>
  <si>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</si>
  <si>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</si>
  <si>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</si>
  <si>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</si>
  <si>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</si>
  <si>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</si>
  <si>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</si>
  <si>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</si>
  <si>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</si>
  <si>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</si>
  <si>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</si>
  <si>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</si>
  <si>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</si>
  <si>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</si>
  <si>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</si>
  <si>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</si>
  <si>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</si>
  <si>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</si>
  <si>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</si>
  <si>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</si>
  <si>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</si>
  <si>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</si>
  <si>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</si>
  <si>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</si>
  <si>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</si>
  <si>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</si>
  <si>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</si>
  <si>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</si>
  <si>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</si>
  <si>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</si>
  <si>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</si>
  <si>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</si>
  <si>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</si>
  <si>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</si>
  <si>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</si>
  <si>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</si>
  <si>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</si>
  <si>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</si>
  <si>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</si>
  <si>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</si>
  <si>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</si>
  <si>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</si>
  <si>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</si>
  <si>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</si>
  <si>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</si>
  <si>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</si>
  <si>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</si>
  <si>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</si>
  <si>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</si>
  <si>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</si>
  <si>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</si>
  <si>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</si>
  <si>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</si>
  <si>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</si>
  <si>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</si>
  <si>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</si>
  <si>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</si>
  <si>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</si>
  <si>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</si>
  <si>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</si>
  <si>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</si>
  <si>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</si>
  <si>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</si>
  <si>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</si>
  <si>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</si>
  <si>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</si>
  <si>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</si>
  <si>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</si>
  <si>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</si>
  <si>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</si>
  <si>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</si>
  <si>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</si>
  <si>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</si>
  <si>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</si>
  <si>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</si>
  <si>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</si>
  <si>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</si>
  <si>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</si>
  <si>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</si>
  <si>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</si>
  <si>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</si>
  <si>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</si>
  <si>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</si>
  <si>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</si>
  <si>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</si>
  <si>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</si>
  <si>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</si>
  <si>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</si>
  <si>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</si>
  <si>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</si>
  <si>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</si>
  <si>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</si>
  <si>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</si>
  <si>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</si>
  <si>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</si>
  <si>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</si>
  <si>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</si>
  <si>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</si>
  <si>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</si>
  <si>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</si>
  <si>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</si>
  <si>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</si>
  <si>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</si>
  <si>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</si>
  <si>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</si>
  <si>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</si>
  <si>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</si>
  <si>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</si>
  <si>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</si>
  <si>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</si>
  <si>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</si>
  <si>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</si>
  <si>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</si>
  <si>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</si>
  <si>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</si>
  <si>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</si>
  <si>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</si>
  <si>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</si>
  <si>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</si>
  <si>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</si>
  <si>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</si>
  <si>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</si>
  <si>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</si>
  <si>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</si>
  <si>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</si>
  <si>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</si>
  <si>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</si>
  <si>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</si>
  <si>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</si>
  <si>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</si>
  <si>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</si>
  <si>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</si>
  <si>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</si>
  <si>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</si>
  <si>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</si>
  <si>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</si>
  <si>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</si>
  <si>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</si>
  <si>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</si>
  <si>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</si>
  <si>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</si>
  <si>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</si>
  <si>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</si>
  <si>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</si>
  <si>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</si>
  <si>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</si>
  <si>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</si>
  <si>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</si>
  <si>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</si>
  <si>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</si>
  <si>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</si>
  <si>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</si>
  <si>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</si>
  <si>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</si>
  <si>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</si>
  <si>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</si>
  <si>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</si>
  <si>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</si>
  <si>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</si>
  <si>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</si>
  <si>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</si>
  <si>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</si>
  <si>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</si>
  <si>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</si>
  <si>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</si>
  <si>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</si>
  <si>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</si>
  <si>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</si>
  <si>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</si>
  <si>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SAMPAI DENGAN 24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</si>
</sst>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47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12</xdr:col>
      <xdr:colOff>314399</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63954</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89"/>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53"/>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81.38552905092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1439">
      <pivotArea outline="0" collapsedLevelsAreSubtotals="1" fieldPosition="0">
        <references count="1">
          <reference field="4294967294" count="1" selected="0">
            <x v="1"/>
          </reference>
        </references>
      </pivotArea>
    </format>
    <format dxfId="1438">
      <pivotArea dataOnly="0" labelOnly="1" fieldPosition="0">
        <references count="1">
          <reference field="3" count="0"/>
        </references>
      </pivotArea>
    </format>
    <format dxfId="1437">
      <pivotArea dataOnly="0" labelOnly="1" fieldPosition="0">
        <references count="1">
          <reference field="5" count="0"/>
        </references>
      </pivotArea>
    </format>
    <format dxfId="1436">
      <pivotArea dataOnly="0" labelOnly="1" fieldPosition="0">
        <references count="1">
          <reference field="9" count="0"/>
        </references>
      </pivotArea>
    </format>
    <format dxfId="1435">
      <pivotArea dataOnly="0" labelOnly="1" fieldPosition="0">
        <references count="1">
          <reference field="11" count="0"/>
        </references>
      </pivotArea>
    </format>
    <format dxfId="1434">
      <pivotArea dataOnly="0" labelOnly="1" fieldPosition="0">
        <references count="1">
          <reference field="13" count="0"/>
        </references>
      </pivotArea>
    </format>
    <format dxfId="1433">
      <pivotArea dataOnly="0" labelOnly="1" outline="0" fieldPosition="0">
        <references count="1">
          <reference field="4294967294" count="1">
            <x v="1"/>
          </reference>
        </references>
      </pivotArea>
    </format>
    <format dxfId="1432">
      <pivotArea type="all" dataOnly="0" outline="0" fieldPosition="0"/>
    </format>
    <format dxfId="1431">
      <pivotArea outline="0" collapsedLevelsAreSubtotals="1" fieldPosition="0"/>
    </format>
    <format dxfId="1430">
      <pivotArea field="3" type="button" dataOnly="0" labelOnly="1" outline="0" axis="axisRow" fieldPosition="1"/>
    </format>
    <format dxfId="1429">
      <pivotArea dataOnly="0" labelOnly="1" fieldPosition="0">
        <references count="1">
          <reference field="3" count="0"/>
        </references>
      </pivotArea>
    </format>
    <format dxfId="1428">
      <pivotArea dataOnly="0" labelOnly="1" grandRow="1" outline="0" fieldPosition="0"/>
    </format>
    <format dxfId="1427">
      <pivotArea dataOnly="0" labelOnly="1" fieldPosition="0">
        <references count="2">
          <reference field="3" count="1" selected="0">
            <x v="0"/>
          </reference>
          <reference field="5" count="1">
            <x v="0"/>
          </reference>
        </references>
      </pivotArea>
    </format>
    <format dxfId="1426">
      <pivotArea dataOnly="0" labelOnly="1" fieldPosition="0">
        <references count="2">
          <reference field="3" count="1" selected="0">
            <x v="1"/>
          </reference>
          <reference field="5" count="2">
            <x v="1"/>
            <x v="2"/>
          </reference>
        </references>
      </pivotArea>
    </format>
    <format dxfId="1425">
      <pivotArea dataOnly="0" labelOnly="1" fieldPosition="0">
        <references count="3">
          <reference field="3" count="1" selected="0">
            <x v="0"/>
          </reference>
          <reference field="5" count="1" selected="0">
            <x v="0"/>
          </reference>
          <reference field="9" count="1">
            <x v="0"/>
          </reference>
        </references>
      </pivotArea>
    </format>
    <format dxfId="1424">
      <pivotArea dataOnly="0" labelOnly="1" fieldPosition="0">
        <references count="3">
          <reference field="3" count="1" selected="0">
            <x v="1"/>
          </reference>
          <reference field="5" count="1" selected="0">
            <x v="1"/>
          </reference>
          <reference field="9" count="8">
            <x v="1"/>
            <x v="2"/>
            <x v="3"/>
            <x v="4"/>
            <x v="5"/>
            <x v="6"/>
            <x v="7"/>
            <x v="8"/>
          </reference>
        </references>
      </pivotArea>
    </format>
    <format dxfId="1423">
      <pivotArea dataOnly="0" labelOnly="1" fieldPosition="0">
        <references count="3">
          <reference field="3" count="1" selected="0">
            <x v="1"/>
          </reference>
          <reference field="5" count="1" selected="0">
            <x v="2"/>
          </reference>
          <reference field="9" count="1">
            <x v="9"/>
          </reference>
        </references>
      </pivotArea>
    </format>
    <format dxfId="142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42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42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41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41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41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41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41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41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41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41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41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41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40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40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40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40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40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40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40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40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40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0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9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9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97">
      <pivotArea dataOnly="0" labelOnly="1" outline="0" fieldPosition="0">
        <references count="1">
          <reference field="4294967294" count="1">
            <x v="1"/>
          </reference>
        </references>
      </pivotArea>
    </format>
    <format dxfId="1396">
      <pivotArea type="all" dataOnly="0" outline="0" fieldPosition="0"/>
    </format>
    <format dxfId="1395">
      <pivotArea outline="0" collapsedLevelsAreSubtotals="1" fieldPosition="0"/>
    </format>
    <format dxfId="1394">
      <pivotArea field="3" type="button" dataOnly="0" labelOnly="1" outline="0" axis="axisRow" fieldPosition="1"/>
    </format>
    <format dxfId="1393">
      <pivotArea dataOnly="0" labelOnly="1" fieldPosition="0">
        <references count="1">
          <reference field="3" count="0"/>
        </references>
      </pivotArea>
    </format>
    <format dxfId="1392">
      <pivotArea dataOnly="0" labelOnly="1" grandRow="1" outline="0" fieldPosition="0"/>
    </format>
    <format dxfId="1391">
      <pivotArea dataOnly="0" labelOnly="1" fieldPosition="0">
        <references count="2">
          <reference field="3" count="1" selected="0">
            <x v="0"/>
          </reference>
          <reference field="5" count="1">
            <x v="0"/>
          </reference>
        </references>
      </pivotArea>
    </format>
    <format dxfId="1390">
      <pivotArea dataOnly="0" labelOnly="1" fieldPosition="0">
        <references count="2">
          <reference field="3" count="1" selected="0">
            <x v="1"/>
          </reference>
          <reference field="5" count="2">
            <x v="1"/>
            <x v="2"/>
          </reference>
        </references>
      </pivotArea>
    </format>
    <format dxfId="1389">
      <pivotArea dataOnly="0" labelOnly="1" fieldPosition="0">
        <references count="3">
          <reference field="3" count="1" selected="0">
            <x v="0"/>
          </reference>
          <reference field="5" count="1" selected="0">
            <x v="0"/>
          </reference>
          <reference field="9" count="1">
            <x v="0"/>
          </reference>
        </references>
      </pivotArea>
    </format>
    <format dxfId="1388">
      <pivotArea dataOnly="0" labelOnly="1" fieldPosition="0">
        <references count="3">
          <reference field="3" count="1" selected="0">
            <x v="1"/>
          </reference>
          <reference field="5" count="1" selected="0">
            <x v="1"/>
          </reference>
          <reference field="9" count="8">
            <x v="1"/>
            <x v="2"/>
            <x v="3"/>
            <x v="4"/>
            <x v="5"/>
            <x v="6"/>
            <x v="7"/>
            <x v="8"/>
          </reference>
        </references>
      </pivotArea>
    </format>
    <format dxfId="1387">
      <pivotArea dataOnly="0" labelOnly="1" fieldPosition="0">
        <references count="3">
          <reference field="3" count="1" selected="0">
            <x v="1"/>
          </reference>
          <reference field="5" count="1" selected="0">
            <x v="2"/>
          </reference>
          <reference field="9" count="1">
            <x v="9"/>
          </reference>
        </references>
      </pivotArea>
    </format>
    <format dxfId="138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8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8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8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8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8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8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7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7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7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7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7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7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7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7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7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7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6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6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6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6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6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6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6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6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61">
      <pivotArea dataOnly="0" labelOnly="1" outline="0" fieldPosition="0">
        <references count="1">
          <reference field="4294967294" count="1">
            <x v="1"/>
          </reference>
        </references>
      </pivotArea>
    </format>
    <format dxfId="1360">
      <pivotArea collapsedLevelsAreSubtotals="1" fieldPosition="0">
        <references count="1">
          <reference field="3" count="1">
            <x v="0"/>
          </reference>
        </references>
      </pivotArea>
    </format>
    <format dxfId="1359">
      <pivotArea collapsedLevelsAreSubtotals="1" fieldPosition="0">
        <references count="1">
          <reference field="3" count="1">
            <x v="1"/>
          </reference>
        </references>
      </pivotArea>
    </format>
    <format dxfId="1358">
      <pivotArea collapsedLevelsAreSubtotals="1" fieldPosition="0">
        <references count="3">
          <reference field="3" count="1" selected="0">
            <x v="0"/>
          </reference>
          <reference field="5" count="1" selected="0">
            <x v="0"/>
          </reference>
          <reference field="9" count="1">
            <x v="0"/>
          </reference>
        </references>
      </pivotArea>
    </format>
    <format dxfId="1357">
      <pivotArea collapsedLevelsAreSubtotals="1" fieldPosition="0">
        <references count="3">
          <reference field="3" count="1" selected="0">
            <x v="1"/>
          </reference>
          <reference field="5" count="1" selected="0">
            <x v="1"/>
          </reference>
          <reference field="9" count="1">
            <x v="1"/>
          </reference>
        </references>
      </pivotArea>
    </format>
    <format dxfId="1356">
      <pivotArea collapsedLevelsAreSubtotals="1" fieldPosition="0">
        <references count="3">
          <reference field="3" count="1" selected="0">
            <x v="1"/>
          </reference>
          <reference field="5" count="1" selected="0">
            <x v="1"/>
          </reference>
          <reference field="9" count="1">
            <x v="2"/>
          </reference>
        </references>
      </pivotArea>
    </format>
    <format dxfId="1355">
      <pivotArea collapsedLevelsAreSubtotals="1" fieldPosition="0">
        <references count="3">
          <reference field="3" count="1" selected="0">
            <x v="1"/>
          </reference>
          <reference field="5" count="1" selected="0">
            <x v="1"/>
          </reference>
          <reference field="9" count="1">
            <x v="3"/>
          </reference>
        </references>
      </pivotArea>
    </format>
    <format dxfId="1354">
      <pivotArea collapsedLevelsAreSubtotals="1" fieldPosition="0">
        <references count="3">
          <reference field="3" count="1" selected="0">
            <x v="1"/>
          </reference>
          <reference field="5" count="1" selected="0">
            <x v="1"/>
          </reference>
          <reference field="9" count="1">
            <x v="4"/>
          </reference>
        </references>
      </pivotArea>
    </format>
    <format dxfId="1353">
      <pivotArea collapsedLevelsAreSubtotals="1" fieldPosition="0">
        <references count="3">
          <reference field="3" count="1" selected="0">
            <x v="1"/>
          </reference>
          <reference field="5" count="1" selected="0">
            <x v="1"/>
          </reference>
          <reference field="9" count="1">
            <x v="5"/>
          </reference>
        </references>
      </pivotArea>
    </format>
    <format dxfId="1352">
      <pivotArea collapsedLevelsAreSubtotals="1" fieldPosition="0">
        <references count="3">
          <reference field="3" count="1" selected="0">
            <x v="1"/>
          </reference>
          <reference field="5" count="1" selected="0">
            <x v="1"/>
          </reference>
          <reference field="9" count="1">
            <x v="6"/>
          </reference>
        </references>
      </pivotArea>
    </format>
    <format dxfId="1351">
      <pivotArea collapsedLevelsAreSubtotals="1" fieldPosition="0">
        <references count="3">
          <reference field="3" count="1" selected="0">
            <x v="1"/>
          </reference>
          <reference field="5" count="1" selected="0">
            <x v="1"/>
          </reference>
          <reference field="9" count="1">
            <x v="7"/>
          </reference>
        </references>
      </pivotArea>
    </format>
    <format dxfId="1350">
      <pivotArea collapsedLevelsAreSubtotals="1" fieldPosition="0">
        <references count="3">
          <reference field="3" count="1" selected="0">
            <x v="1"/>
          </reference>
          <reference field="5" count="1" selected="0">
            <x v="1"/>
          </reference>
          <reference field="9" count="1">
            <x v="8"/>
          </reference>
        </references>
      </pivotArea>
    </format>
    <format dxfId="1349">
      <pivotArea collapsedLevelsAreSubtotals="1" fieldPosition="0">
        <references count="3">
          <reference field="3" count="1" selected="0">
            <x v="1"/>
          </reference>
          <reference field="5" count="1" selected="0">
            <x v="2"/>
          </reference>
          <reference field="9" count="1">
            <x v="9"/>
          </reference>
        </references>
      </pivotArea>
    </format>
    <format dxfId="1348">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347">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346">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345">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344">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343">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342">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341">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340">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339">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338">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337">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336">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335">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334">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33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33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331">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3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32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32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327">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26">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25">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2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32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32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32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32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3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31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31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31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31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31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31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31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31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310">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0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30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30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30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30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304">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0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30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30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30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29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29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29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29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29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29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293">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92">
      <pivotArea collapsedLevelsAreSubtotals="1" fieldPosition="0">
        <references count="2">
          <reference field="3" count="1" selected="0">
            <x v="1"/>
          </reference>
          <reference field="5" count="1">
            <x v="1"/>
          </reference>
        </references>
      </pivotArea>
    </format>
    <format dxfId="1291">
      <pivotArea field="3" type="button" dataOnly="0" labelOnly="1" outline="0" axis="axisRow" fieldPosition="1"/>
    </format>
    <format dxfId="1290">
      <pivotArea collapsedLevelsAreSubtotals="1" fieldPosition="0">
        <references count="2">
          <reference field="3" count="1" selected="0">
            <x v="1"/>
          </reference>
          <reference field="5" count="1">
            <x v="2"/>
          </reference>
        </references>
      </pivotArea>
    </format>
    <format dxfId="1289">
      <pivotArea collapsedLevelsAreSubtotals="1" fieldPosition="0">
        <references count="2">
          <reference field="3" count="1" selected="0">
            <x v="0"/>
          </reference>
          <reference field="5" count="1">
            <x v="0"/>
          </reference>
        </references>
      </pivotArea>
    </format>
    <format dxfId="1288">
      <pivotArea field="3" type="button" dataOnly="0" labelOnly="1" outline="0" axis="axisRow" fieldPosition="1"/>
    </format>
    <format dxfId="1287">
      <pivotArea dataOnly="0" labelOnly="1" outline="0" fieldPosition="0">
        <references count="1">
          <reference field="4294967294" count="1">
            <x v="1"/>
          </reference>
        </references>
      </pivotArea>
    </format>
    <format dxfId="1286">
      <pivotArea field="3" type="button" dataOnly="0" labelOnly="1" outline="0" axis="axisRow" fieldPosition="1"/>
    </format>
    <format dxfId="1285">
      <pivotArea dataOnly="0" labelOnly="1" outline="0" fieldPosition="0">
        <references count="1">
          <reference field="4294967294" count="1">
            <x v="1"/>
          </reference>
        </references>
      </pivotArea>
    </format>
    <format dxfId="1284">
      <pivotArea field="3" type="button" dataOnly="0" labelOnly="1" outline="0" axis="axisRow" fieldPosition="1"/>
    </format>
    <format dxfId="1283">
      <pivotArea dataOnly="0" labelOnly="1" fieldPosition="0">
        <references count="1">
          <reference field="3" count="0"/>
        </references>
      </pivotArea>
    </format>
    <format dxfId="1282">
      <pivotArea dataOnly="0" labelOnly="1" grandRow="1" outline="0" fieldPosition="0"/>
    </format>
    <format dxfId="1281">
      <pivotArea dataOnly="0" labelOnly="1" fieldPosition="0">
        <references count="2">
          <reference field="3" count="1" selected="0">
            <x v="0"/>
          </reference>
          <reference field="5" count="1">
            <x v="0"/>
          </reference>
        </references>
      </pivotArea>
    </format>
    <format dxfId="1280">
      <pivotArea dataOnly="0" labelOnly="1" fieldPosition="0">
        <references count="2">
          <reference field="3" count="1" selected="0">
            <x v="1"/>
          </reference>
          <reference field="5" count="2">
            <x v="1"/>
            <x v="2"/>
          </reference>
        </references>
      </pivotArea>
    </format>
    <format dxfId="1279">
      <pivotArea dataOnly="0" labelOnly="1" fieldPosition="0">
        <references count="3">
          <reference field="3" count="1" selected="0">
            <x v="0"/>
          </reference>
          <reference field="5" count="1" selected="0">
            <x v="0"/>
          </reference>
          <reference field="9" count="1">
            <x v="0"/>
          </reference>
        </references>
      </pivotArea>
    </format>
    <format dxfId="1278">
      <pivotArea dataOnly="0" labelOnly="1" fieldPosition="0">
        <references count="3">
          <reference field="3" count="1" selected="0">
            <x v="1"/>
          </reference>
          <reference field="5" count="1" selected="0">
            <x v="1"/>
          </reference>
          <reference field="9" count="8">
            <x v="1"/>
            <x v="2"/>
            <x v="3"/>
            <x v="4"/>
            <x v="5"/>
            <x v="6"/>
            <x v="7"/>
            <x v="8"/>
          </reference>
        </references>
      </pivotArea>
    </format>
    <format dxfId="1277">
      <pivotArea dataOnly="0" labelOnly="1" fieldPosition="0">
        <references count="3">
          <reference field="3" count="1" selected="0">
            <x v="1"/>
          </reference>
          <reference field="5" count="1" selected="0">
            <x v="2"/>
          </reference>
          <reference field="9" count="1">
            <x v="9"/>
          </reference>
        </references>
      </pivotArea>
    </format>
    <format dxfId="127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7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7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7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7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7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7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6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6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6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6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6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6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6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6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6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6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5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5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5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5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5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5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5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5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51">
      <pivotArea dataOnly="0" labelOnly="1" fieldPosition="0">
        <references count="1">
          <reference field="13" count="0"/>
        </references>
      </pivotArea>
    </format>
    <format dxfId="1250">
      <pivotArea dataOnly="0" labelOnly="1" fieldPosition="0">
        <references count="1">
          <reference field="13" count="0"/>
        </references>
      </pivotArea>
    </format>
    <format dxfId="1249">
      <pivotArea type="all" dataOnly="0" outline="0" fieldPosition="0"/>
    </format>
    <format dxfId="1248">
      <pivotArea outline="0" collapsedLevelsAreSubtotals="1" fieldPosition="0"/>
    </format>
    <format dxfId="1247">
      <pivotArea field="33" type="button" dataOnly="0" labelOnly="1" outline="0" axis="axisRow" fieldPosition="0"/>
    </format>
    <format dxfId="1246">
      <pivotArea dataOnly="0" labelOnly="1" grandRow="1" outline="0" fieldPosition="0"/>
    </format>
    <format dxfId="1245">
      <pivotArea dataOnly="0" labelOnly="1" fieldPosition="0">
        <references count="2">
          <reference field="3" count="0"/>
          <reference field="33" count="0" selected="0"/>
        </references>
      </pivotArea>
    </format>
    <format dxfId="1244">
      <pivotArea dataOnly="0" labelOnly="1" fieldPosition="0">
        <references count="3">
          <reference field="3" count="1" selected="0">
            <x v="0"/>
          </reference>
          <reference field="5" count="1">
            <x v="0"/>
          </reference>
          <reference field="33" count="0" selected="0"/>
        </references>
      </pivotArea>
    </format>
    <format dxfId="1243">
      <pivotArea dataOnly="0" labelOnly="1" fieldPosition="0">
        <references count="3">
          <reference field="3" count="1" selected="0">
            <x v="1"/>
          </reference>
          <reference field="5" count="2">
            <x v="1"/>
            <x v="2"/>
          </reference>
          <reference field="33" count="0" selected="0"/>
        </references>
      </pivotArea>
    </format>
    <format dxfId="124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24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24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23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23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23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23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235">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234">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23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232">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231">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23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22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22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22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2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2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22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22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22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22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22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21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21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217">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21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215">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214">
      <pivotArea dataOnly="0" labelOnly="1" outline="0" fieldPosition="0">
        <references count="1">
          <reference field="4294967294" count="1">
            <x v="1"/>
          </reference>
        </references>
      </pivotArea>
    </format>
    <format dxfId="1213">
      <pivotArea dataOnly="0" labelOnly="1" fieldPosition="0">
        <references count="1">
          <reference field="34" count="0"/>
        </references>
      </pivotArea>
    </format>
    <format dxfId="1212">
      <pivotArea dataOnly="0" labelOnly="1" fieldPosition="0">
        <references count="1">
          <reference field="35" count="0"/>
        </references>
      </pivotArea>
    </format>
    <format dxfId="1211">
      <pivotArea dataOnly="0" labelOnly="1" fieldPosition="0">
        <references count="1">
          <reference field="35" count="0"/>
        </references>
      </pivotArea>
    </format>
    <format dxfId="1210">
      <pivotArea dataOnly="0" labelOnly="1" fieldPosition="0">
        <references count="1">
          <reference field="35" count="0"/>
        </references>
      </pivotArea>
    </format>
    <format dxfId="1209">
      <pivotArea dataOnly="0" labelOnly="1" fieldPosition="0">
        <references count="1">
          <reference field="35" count="0"/>
        </references>
      </pivotArea>
    </format>
    <format dxfId="1208">
      <pivotArea dataOnly="0" labelOnly="1" fieldPosition="0">
        <references count="1">
          <reference field="34" count="0"/>
        </references>
      </pivotArea>
    </format>
    <format dxfId="1207">
      <pivotArea dataOnly="0" labelOnly="1" fieldPosition="0">
        <references count="1">
          <reference field="34" count="0"/>
        </references>
      </pivotArea>
    </format>
    <format dxfId="1206">
      <pivotArea dataOnly="0" labelOnly="1" fieldPosition="0">
        <references count="1">
          <reference field="34" count="0"/>
        </references>
      </pivotArea>
    </format>
    <format dxfId="1205">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204">
      <pivotArea dataOnly="0" labelOnly="1" fieldPosition="0">
        <references count="4">
          <reference field="3" count="1" selected="0">
            <x v="0"/>
          </reference>
          <reference field="5" count="1" selected="0">
            <x v="0"/>
          </reference>
          <reference field="33" count="0" selected="0"/>
          <reference field="34" count="1">
            <x v="0"/>
          </reference>
        </references>
      </pivotArea>
    </format>
    <format dxfId="1203">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202">
      <pivotArea dataOnly="0" labelOnly="1" fieldPosition="0">
        <references count="4">
          <reference field="3" count="1" selected="0">
            <x v="0"/>
          </reference>
          <reference field="5" count="1" selected="0">
            <x v="0"/>
          </reference>
          <reference field="33" count="0" selected="0"/>
          <reference field="34" count="1">
            <x v="1"/>
          </reference>
        </references>
      </pivotArea>
    </format>
    <format dxfId="1201">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200">
      <pivotArea dataOnly="0" labelOnly="1" fieldPosition="0">
        <references count="4">
          <reference field="3" count="1" selected="0">
            <x v="1"/>
          </reference>
          <reference field="5" count="1" selected="0">
            <x v="1"/>
          </reference>
          <reference field="33" count="0" selected="0"/>
          <reference field="34" count="1">
            <x v="0"/>
          </reference>
        </references>
      </pivotArea>
    </format>
    <format dxfId="1199">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198">
      <pivotArea dataOnly="0" labelOnly="1" fieldPosition="0">
        <references count="4">
          <reference field="3" count="1" selected="0">
            <x v="1"/>
          </reference>
          <reference field="5" count="1" selected="0">
            <x v="1"/>
          </reference>
          <reference field="33" count="0" selected="0"/>
          <reference field="34" count="1">
            <x v="1"/>
          </reference>
        </references>
      </pivotArea>
    </format>
    <format dxfId="1197">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196">
      <pivotArea dataOnly="0" labelOnly="1" fieldPosition="0">
        <references count="4">
          <reference field="3" count="1" selected="0">
            <x v="1"/>
          </reference>
          <reference field="5" count="1" selected="0">
            <x v="1"/>
          </reference>
          <reference field="33" count="0" selected="0"/>
          <reference field="34" count="1">
            <x v="2"/>
          </reference>
        </references>
      </pivotArea>
    </format>
    <format dxfId="1195">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194">
      <pivotArea dataOnly="0" labelOnly="1" fieldPosition="0">
        <references count="4">
          <reference field="3" count="1" selected="0">
            <x v="1"/>
          </reference>
          <reference field="5" count="1" selected="0">
            <x v="1"/>
          </reference>
          <reference field="33" count="0" selected="0"/>
          <reference field="34" count="1">
            <x v="3"/>
          </reference>
        </references>
      </pivotArea>
    </format>
    <format dxfId="1193">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19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191">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90">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89">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88">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87">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86">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85">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84">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83">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8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81">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80">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79">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78">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77">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76">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75">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74">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73">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72">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71">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70">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69">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6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67">
      <pivotArea dataOnly="0" labelOnly="1" fieldPosition="0">
        <references count="1">
          <reference field="33" count="0"/>
        </references>
      </pivotArea>
    </format>
    <format dxfId="1166">
      <pivotArea collapsedLevelsAreSubtotals="1" fieldPosition="0">
        <references count="1">
          <reference field="33" count="0"/>
        </references>
      </pivotArea>
    </format>
    <format dxfId="1165">
      <pivotArea dataOnly="0" labelOnly="1" fieldPosition="0">
        <references count="1">
          <reference field="33" count="0"/>
        </references>
      </pivotArea>
    </format>
    <format dxfId="1164">
      <pivotArea dataOnly="0" labelOnly="1" fieldPosition="0">
        <references count="1">
          <reference field="13" count="0"/>
        </references>
      </pivotArea>
    </format>
    <format dxfId="116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6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6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6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5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5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57">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5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5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5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5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5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51">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5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4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4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4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4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4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4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4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4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3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3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37">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3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35">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3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3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3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3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3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2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2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2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2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2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2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2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2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2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2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1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1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1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1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15">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1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1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1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0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0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0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0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0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0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10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09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9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9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9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9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9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93">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9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9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9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8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8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8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8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8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8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83">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8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81">
      <pivotArea dataOnly="0" labelOnly="1" fieldPosition="0">
        <references count="1">
          <reference field="11" count="0"/>
        </references>
      </pivotArea>
    </format>
    <format dxfId="1080">
      <pivotArea dataOnly="0" labelOnly="1" fieldPosition="0">
        <references count="1">
          <reference field="11" count="0"/>
        </references>
      </pivotArea>
    </format>
    <format dxfId="1079">
      <pivotArea dataOnly="0" labelOnly="1" fieldPosition="0">
        <references count="1">
          <reference field="13" count="0"/>
        </references>
      </pivotArea>
    </format>
    <format dxfId="1078">
      <pivotArea dataOnly="0" labelOnly="1" fieldPosition="0">
        <references count="1">
          <reference field="13" count="0"/>
        </references>
      </pivotArea>
    </format>
    <format dxfId="1077">
      <pivotArea dataOnly="0" labelOnly="1" fieldPosition="0">
        <references count="1">
          <reference field="35" count="0"/>
        </references>
      </pivotArea>
    </format>
    <format dxfId="1076">
      <pivotArea dataOnly="0" labelOnly="1" fieldPosition="0">
        <references count="1">
          <reference field="35" count="0"/>
        </references>
      </pivotArea>
    </format>
    <format dxfId="10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4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3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03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03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03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03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029">
      <pivotArea dataOnly="0" labelOnly="1" fieldPosition="0">
        <references count="1">
          <reference field="11" count="0"/>
        </references>
      </pivotArea>
    </format>
    <format dxfId="1028">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2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26">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2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24">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2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22">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2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2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1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1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1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14">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13">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12">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11">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10">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0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08">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0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06">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0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04">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0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0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0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00">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9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98">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9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96">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95">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94">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93">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92">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9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90">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8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88">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8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86">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8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8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8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8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8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8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7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78">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77">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76">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75">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74">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7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72">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7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70">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6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68">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6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6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6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64">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6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62">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6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60">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59">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58">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57">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5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95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95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95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952">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51">
      <pivotArea dataOnly="0" labelOnly="1" grandRow="1" outline="0" fieldPosition="0"/>
    </format>
    <format dxfId="950">
      <pivotArea outline="0" fieldPosition="0">
        <references count="1">
          <reference field="4294967294" count="1">
            <x v="2"/>
          </reference>
        </references>
      </pivotArea>
    </format>
    <format dxfId="949">
      <pivotArea dataOnly="0" labelOnly="1" outline="0" fieldPosition="0">
        <references count="1">
          <reference field="4294967294" count="1">
            <x v="3"/>
          </reference>
        </references>
      </pivotArea>
    </format>
    <format dxfId="948">
      <pivotArea dataOnly="0" labelOnly="1" outline="0" fieldPosition="0">
        <references count="1">
          <reference field="4294967294" count="1">
            <x v="3"/>
          </reference>
        </references>
      </pivotArea>
    </format>
    <format dxfId="947">
      <pivotArea field="33" type="button" dataOnly="0" labelOnly="1" outline="0" axis="axisRow" fieldPosition="0"/>
    </format>
    <format dxfId="946">
      <pivotArea dataOnly="0" labelOnly="1" outline="0" fieldPosition="0">
        <references count="1">
          <reference field="4294967294" count="3">
            <x v="1"/>
            <x v="2"/>
            <x v="3"/>
          </reference>
        </references>
      </pivotArea>
    </format>
    <format dxfId="945">
      <pivotArea field="33" type="button" dataOnly="0" labelOnly="1" outline="0" axis="axisRow" fieldPosition="0"/>
    </format>
    <format dxfId="944">
      <pivotArea dataOnly="0" labelOnly="1" outline="0" fieldPosition="0">
        <references count="1">
          <reference field="4294967294" count="3">
            <x v="1"/>
            <x v="2"/>
            <x v="3"/>
          </reference>
        </references>
      </pivotArea>
    </format>
    <format dxfId="94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94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94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94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93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93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3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93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93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934">
      <pivotArea collapsedLevelsAreSubtotals="1" fieldPosition="0">
        <references count="2">
          <reference field="4294967294" count="1" selected="0">
            <x v="2"/>
          </reference>
          <reference field="33" count="0"/>
        </references>
      </pivotArea>
    </format>
    <format dxfId="933">
      <pivotArea collapsedLevelsAreSubtotals="1" fieldPosition="0">
        <references count="3">
          <reference field="4294967294" count="1" selected="0">
            <x v="2"/>
          </reference>
          <reference field="3" count="1">
            <x v="0"/>
          </reference>
          <reference field="33" count="0" selected="0"/>
        </references>
      </pivotArea>
    </format>
    <format dxfId="932">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931">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93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92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92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92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92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92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92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92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92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92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91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1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91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916">
      <pivotArea dataOnly="0" labelOnly="1" outline="0" fieldPosition="0">
        <references count="1">
          <reference field="4294967294" count="1">
            <x v="2"/>
          </reference>
        </references>
      </pivotArea>
    </format>
    <format dxfId="91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914">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91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91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91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1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90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90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90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906">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905">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904">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0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90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901">
      <pivotArea collapsedLevelsAreSubtotals="1" fieldPosition="0">
        <references count="3">
          <reference field="4294967294" count="1" selected="0">
            <x v="2"/>
          </reference>
          <reference field="3" count="1">
            <x v="1"/>
          </reference>
          <reference field="33" count="0" selected="0"/>
        </references>
      </pivotArea>
    </format>
    <format dxfId="900">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89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89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89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896">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9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89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89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89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89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89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88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8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88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88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88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88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88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8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88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88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87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878">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877">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6">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875">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874">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87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87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871">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0">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86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86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867">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866">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65">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86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86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862">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861">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860">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59">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85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857">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85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85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854">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85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85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85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85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849">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848">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4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84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84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84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84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84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84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84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83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83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83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83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83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83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833">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832">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31">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830">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82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828">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2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82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82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82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82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82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82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82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81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81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817">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816">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15">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814">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813">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812">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1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1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80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0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807">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06">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805">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04">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803">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802">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801">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800">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99">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9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79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796">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795">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794">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793">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792">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91">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9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789">
      <pivotArea field="33" grandRow="1" outline="0" collapsedLevelsAreSubtotals="1" axis="axisRow" fieldPosition="0">
        <references count="1">
          <reference field="4294967294" count="1" selected="0">
            <x v="2"/>
          </reference>
        </references>
      </pivotArea>
    </format>
    <format dxfId="788">
      <pivotArea outline="0" fieldPosition="0">
        <references count="1">
          <reference field="4294967294" count="1">
            <x v="0"/>
          </reference>
        </references>
      </pivotArea>
    </format>
    <format dxfId="787">
      <pivotArea field="33" type="button" dataOnly="0" labelOnly="1" outline="0" axis="axisRow" fieldPosition="0"/>
    </format>
    <format dxfId="786">
      <pivotArea dataOnly="0" labelOnly="1" outline="0" fieldPosition="0">
        <references count="1">
          <reference field="4294967294" count="4">
            <x v="0"/>
            <x v="1"/>
            <x v="2"/>
            <x v="3"/>
          </reference>
        </references>
      </pivotArea>
    </format>
    <format dxfId="785">
      <pivotArea field="33" type="button" dataOnly="0" labelOnly="1" outline="0" axis="axisRow" fieldPosition="0"/>
    </format>
    <format dxfId="784">
      <pivotArea dataOnly="0" labelOnly="1" outline="0" fieldPosition="0">
        <references count="1">
          <reference field="4294967294" count="4">
            <x v="0"/>
            <x v="1"/>
            <x v="2"/>
            <x v="3"/>
          </reference>
        </references>
      </pivotArea>
    </format>
    <format dxfId="783">
      <pivotArea outline="0" collapsedLevelsAreSubtotals="1" fieldPosition="0">
        <references count="1">
          <reference field="4294967294" count="1" selected="0">
            <x v="4"/>
          </reference>
        </references>
      </pivotArea>
    </format>
    <format dxfId="782">
      <pivotArea dataOnly="0" labelOnly="1" outline="0" fieldPosition="0">
        <references count="1">
          <reference field="4294967294" count="1">
            <x v="4"/>
          </reference>
        </references>
      </pivotArea>
    </format>
    <format dxfId="781">
      <pivotArea type="all" dataOnly="0" outline="0" fieldPosition="0"/>
    </format>
    <format dxfId="780">
      <pivotArea outline="0" collapsedLevelsAreSubtotals="1" fieldPosition="0"/>
    </format>
    <format dxfId="779">
      <pivotArea field="33" type="button" dataOnly="0" labelOnly="1" outline="0" axis="axisRow" fieldPosition="0"/>
    </format>
    <format dxfId="778">
      <pivotArea dataOnly="0" labelOnly="1" fieldPosition="0">
        <references count="1">
          <reference field="33" count="0"/>
        </references>
      </pivotArea>
    </format>
    <format dxfId="777">
      <pivotArea dataOnly="0" labelOnly="1" grandRow="1" outline="0" fieldPosition="0"/>
    </format>
    <format dxfId="776">
      <pivotArea dataOnly="0" labelOnly="1" fieldPosition="0">
        <references count="2">
          <reference field="3" count="0"/>
          <reference field="33" count="0" selected="0"/>
        </references>
      </pivotArea>
    </format>
    <format dxfId="775">
      <pivotArea dataOnly="0" labelOnly="1" fieldPosition="0">
        <references count="3">
          <reference field="3" count="1" selected="0">
            <x v="0"/>
          </reference>
          <reference field="5" count="1">
            <x v="0"/>
          </reference>
          <reference field="33" count="0" selected="0"/>
        </references>
      </pivotArea>
    </format>
    <format dxfId="774">
      <pivotArea dataOnly="0" labelOnly="1" fieldPosition="0">
        <references count="3">
          <reference field="3" count="1" selected="0">
            <x v="1"/>
          </reference>
          <reference field="5" count="2">
            <x v="1"/>
            <x v="2"/>
          </reference>
          <reference field="33" count="0" selected="0"/>
        </references>
      </pivotArea>
    </format>
    <format dxfId="77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772">
      <pivotArea dataOnly="0" labelOnly="1" fieldPosition="0">
        <references count="4">
          <reference field="3" count="1" selected="0">
            <x v="1"/>
          </reference>
          <reference field="5" count="1" selected="0">
            <x v="1"/>
          </reference>
          <reference field="33" count="0" selected="0"/>
          <reference field="34" count="0"/>
        </references>
      </pivotArea>
    </format>
    <format dxfId="771">
      <pivotArea dataOnly="0" labelOnly="1" fieldPosition="0">
        <references count="4">
          <reference field="3" count="1" selected="0">
            <x v="1"/>
          </reference>
          <reference field="5" count="1" selected="0">
            <x v="2"/>
          </reference>
          <reference field="33" count="0" selected="0"/>
          <reference field="34" count="1">
            <x v="2"/>
          </reference>
        </references>
      </pivotArea>
    </format>
    <format dxfId="77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76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76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6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76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76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76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76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6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6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6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5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5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5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5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5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75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53">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75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5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5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4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4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4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4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4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4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74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4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4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4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3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3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3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73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73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73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73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2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72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2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2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72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72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72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2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71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71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1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71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71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714">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71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71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711">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71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70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70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0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0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705">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04">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70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0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70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70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69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6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6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6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6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694">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6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6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6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6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6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688">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68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68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68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6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68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8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8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80">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79">
      <pivotArea dataOnly="0" labelOnly="1" outline="0" fieldPosition="0">
        <references count="1">
          <reference field="4294967294" count="5">
            <x v="0"/>
            <x v="1"/>
            <x v="2"/>
            <x v="3"/>
            <x v="4"/>
          </reference>
        </references>
      </pivotArea>
    </format>
    <format dxfId="678">
      <pivotArea type="all" dataOnly="0" outline="0" fieldPosition="0"/>
    </format>
    <format dxfId="677">
      <pivotArea outline="0" collapsedLevelsAreSubtotals="1" fieldPosition="0"/>
    </format>
    <format dxfId="676">
      <pivotArea field="33" type="button" dataOnly="0" labelOnly="1" outline="0" axis="axisRow" fieldPosition="0"/>
    </format>
    <format dxfId="675">
      <pivotArea dataOnly="0" labelOnly="1" fieldPosition="0">
        <references count="1">
          <reference field="33" count="0"/>
        </references>
      </pivotArea>
    </format>
    <format dxfId="674">
      <pivotArea dataOnly="0" labelOnly="1" grandRow="1" outline="0" fieldPosition="0"/>
    </format>
    <format dxfId="673">
      <pivotArea dataOnly="0" labelOnly="1" fieldPosition="0">
        <references count="2">
          <reference field="3" count="0"/>
          <reference field="33" count="0" selected="0"/>
        </references>
      </pivotArea>
    </format>
    <format dxfId="672">
      <pivotArea dataOnly="0" labelOnly="1" fieldPosition="0">
        <references count="3">
          <reference field="3" count="1" selected="0">
            <x v="0"/>
          </reference>
          <reference field="5" count="1">
            <x v="0"/>
          </reference>
          <reference field="33" count="0" selected="0"/>
        </references>
      </pivotArea>
    </format>
    <format dxfId="671">
      <pivotArea dataOnly="0" labelOnly="1" fieldPosition="0">
        <references count="3">
          <reference field="3" count="1" selected="0">
            <x v="1"/>
          </reference>
          <reference field="5" count="2">
            <x v="1"/>
            <x v="2"/>
          </reference>
          <reference field="33" count="0" selected="0"/>
        </references>
      </pivotArea>
    </format>
    <format dxfId="6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69">
      <pivotArea dataOnly="0" labelOnly="1" fieldPosition="0">
        <references count="4">
          <reference field="3" count="1" selected="0">
            <x v="1"/>
          </reference>
          <reference field="5" count="1" selected="0">
            <x v="1"/>
          </reference>
          <reference field="33" count="0" selected="0"/>
          <reference field="34" count="0"/>
        </references>
      </pivotArea>
    </format>
    <format dxfId="6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6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6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6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6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6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6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5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5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5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5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5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5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5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5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4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4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4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4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4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4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3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3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3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3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3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3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3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3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3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2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2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2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2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2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2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1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1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1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1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0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0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0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0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0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5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59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5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5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5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5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5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5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59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5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5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5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58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5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5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5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5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5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5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57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57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576">
      <pivotArea dataOnly="0" labelOnly="1" outline="0" fieldPosition="0">
        <references count="1">
          <reference field="4294967294" count="5">
            <x v="0"/>
            <x v="1"/>
            <x v="2"/>
            <x v="3"/>
            <x v="4"/>
          </reference>
        </references>
      </pivotArea>
    </format>
    <format dxfId="575">
      <pivotArea dataOnly="0" labelOnly="1" fieldPosition="0">
        <references count="1">
          <reference field="11" count="0"/>
        </references>
      </pivotArea>
    </format>
    <format dxfId="574">
      <pivotArea dataOnly="0" labelOnly="1" fieldPosition="0">
        <references count="1">
          <reference field="11" count="0"/>
        </references>
      </pivotArea>
    </format>
    <format dxfId="573">
      <pivotArea dataOnly="0" labelOnly="1" fieldPosition="0">
        <references count="1">
          <reference field="13" count="0"/>
        </references>
      </pivotArea>
    </format>
    <format dxfId="572">
      <pivotArea dataOnly="0" labelOnly="1" fieldPosition="0">
        <references count="1">
          <reference field="13" count="0"/>
        </references>
      </pivotArea>
    </format>
    <format dxfId="571">
      <pivotArea dataOnly="0" labelOnly="1" fieldPosition="0">
        <references count="1">
          <reference field="13" count="0"/>
        </references>
      </pivotArea>
    </format>
    <format dxfId="570">
      <pivotArea dataOnly="0" labelOnly="1" fieldPosition="0">
        <references count="1">
          <reference field="15" count="0"/>
        </references>
      </pivotArea>
    </format>
    <format dxfId="569">
      <pivotArea dataOnly="0" labelOnly="1" fieldPosition="0">
        <references count="1">
          <reference field="15" count="0"/>
        </references>
      </pivotArea>
    </format>
    <format dxfId="568">
      <pivotArea dataOnly="0" labelOnly="1" fieldPosition="0">
        <references count="1">
          <reference field="15" count="0"/>
        </references>
      </pivotArea>
    </format>
    <format dxfId="567">
      <pivotArea dataOnly="0" labelOnly="1" fieldPosition="0">
        <references count="1">
          <reference field="15" count="0"/>
        </references>
      </pivotArea>
    </format>
    <format dxfId="566">
      <pivotArea dataOnly="0" labelOnly="1" fieldPosition="0">
        <references count="1">
          <reference field="15" count="0"/>
        </references>
      </pivotArea>
    </format>
    <format dxfId="565">
      <pivotArea field="33" type="button" dataOnly="0" labelOnly="1" outline="0" axis="axisRow" fieldPosition="0"/>
    </format>
    <format dxfId="564">
      <pivotArea dataOnly="0" labelOnly="1" fieldPosition="0">
        <references count="1">
          <reference field="33" count="0"/>
        </references>
      </pivotArea>
    </format>
    <format dxfId="563">
      <pivotArea dataOnly="0" labelOnly="1" grandRow="1" outline="0" fieldPosition="0"/>
    </format>
    <format dxfId="562">
      <pivotArea dataOnly="0" labelOnly="1" fieldPosition="0">
        <references count="2">
          <reference field="3" count="0"/>
          <reference field="33" count="0" selected="0"/>
        </references>
      </pivotArea>
    </format>
    <format dxfId="561">
      <pivotArea dataOnly="0" labelOnly="1" fieldPosition="0">
        <references count="3">
          <reference field="3" count="1" selected="0">
            <x v="0"/>
          </reference>
          <reference field="5" count="1">
            <x v="0"/>
          </reference>
          <reference field="33" count="0" selected="0"/>
        </references>
      </pivotArea>
    </format>
    <format dxfId="560">
      <pivotArea dataOnly="0" labelOnly="1" fieldPosition="0">
        <references count="3">
          <reference field="3" count="1" selected="0">
            <x v="1"/>
          </reference>
          <reference field="5" count="2">
            <x v="1"/>
            <x v="2"/>
          </reference>
          <reference field="33" count="0" selected="0"/>
        </references>
      </pivotArea>
    </format>
    <format dxfId="55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58">
      <pivotArea dataOnly="0" labelOnly="1" fieldPosition="0">
        <references count="4">
          <reference field="3" count="1" selected="0">
            <x v="1"/>
          </reference>
          <reference field="5" count="1" selected="0">
            <x v="1"/>
          </reference>
          <reference field="33" count="0" selected="0"/>
          <reference field="34" count="0"/>
        </references>
      </pivotArea>
    </format>
    <format dxfId="557">
      <pivotArea dataOnly="0" labelOnly="1" fieldPosition="0">
        <references count="4">
          <reference field="3" count="1" selected="0">
            <x v="1"/>
          </reference>
          <reference field="5" count="1" selected="0">
            <x v="2"/>
          </reference>
          <reference field="33" count="0" selected="0"/>
          <reference field="34" count="1">
            <x v="2"/>
          </reference>
        </references>
      </pivotArea>
    </format>
    <format dxfId="55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5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5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5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5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5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5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4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4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4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4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4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4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4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4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4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4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39">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3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3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3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3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3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3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2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2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2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2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2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23">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2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2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2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1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1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1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1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1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1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0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0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0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0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0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0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0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0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00">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9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9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97">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9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9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91">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90">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8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8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8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80">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74">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6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6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6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66">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65">
      <pivotArea field="33" type="button" dataOnly="0" labelOnly="1" outline="0" axis="axisRow" fieldPosition="0"/>
    </format>
    <format dxfId="464">
      <pivotArea dataOnly="0" labelOnly="1" fieldPosition="0">
        <references count="1">
          <reference field="33" count="0"/>
        </references>
      </pivotArea>
    </format>
    <format dxfId="463">
      <pivotArea dataOnly="0" labelOnly="1" grandRow="1" outline="0" fieldPosition="0"/>
    </format>
    <format dxfId="462">
      <pivotArea dataOnly="0" labelOnly="1" fieldPosition="0">
        <references count="2">
          <reference field="3" count="0"/>
          <reference field="33" count="0" selected="0"/>
        </references>
      </pivotArea>
    </format>
    <format dxfId="461">
      <pivotArea dataOnly="0" labelOnly="1" fieldPosition="0">
        <references count="3">
          <reference field="3" count="1" selected="0">
            <x v="0"/>
          </reference>
          <reference field="5" count="1">
            <x v="0"/>
          </reference>
          <reference field="33" count="0" selected="0"/>
        </references>
      </pivotArea>
    </format>
    <format dxfId="460">
      <pivotArea dataOnly="0" labelOnly="1" fieldPosition="0">
        <references count="3">
          <reference field="3" count="1" selected="0">
            <x v="1"/>
          </reference>
          <reference field="5" count="2">
            <x v="1"/>
            <x v="2"/>
          </reference>
          <reference field="33" count="0" selected="0"/>
        </references>
      </pivotArea>
    </format>
    <format dxfId="45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58">
      <pivotArea dataOnly="0" labelOnly="1" fieldPosition="0">
        <references count="4">
          <reference field="3" count="1" selected="0">
            <x v="1"/>
          </reference>
          <reference field="5" count="1" selected="0">
            <x v="1"/>
          </reference>
          <reference field="33" count="0" selected="0"/>
          <reference field="34" count="0"/>
        </references>
      </pivotArea>
    </format>
    <format dxfId="457">
      <pivotArea dataOnly="0" labelOnly="1" fieldPosition="0">
        <references count="4">
          <reference field="3" count="1" selected="0">
            <x v="1"/>
          </reference>
          <reference field="5" count="1" selected="0">
            <x v="2"/>
          </reference>
          <reference field="33" count="0" selected="0"/>
          <reference field="34" count="1">
            <x v="2"/>
          </reference>
        </references>
      </pivotArea>
    </format>
    <format dxfId="45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5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5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5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5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5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5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4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4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4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4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4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4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4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4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4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4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39">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3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3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3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3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3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2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2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23">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2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2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2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1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1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1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1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1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1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0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0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0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0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0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0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0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0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00">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9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9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97">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9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9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91">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90">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8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8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8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80">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74">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6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6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6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66">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65">
      <pivotArea dataOnly="0" labelOnly="1" fieldPosition="0">
        <references count="1">
          <reference field="11" count="0"/>
        </references>
      </pivotArea>
    </format>
    <format dxfId="364">
      <pivotArea dataOnly="0" labelOnly="1" fieldPosition="0">
        <references count="1">
          <reference field="11" count="0"/>
        </references>
      </pivotArea>
    </format>
    <format dxfId="363">
      <pivotArea dataOnly="0" labelOnly="1" fieldPosition="0">
        <references count="1">
          <reference field="13" count="0"/>
        </references>
      </pivotArea>
    </format>
    <format dxfId="362">
      <pivotArea dataOnly="0" labelOnly="1" fieldPosition="0">
        <references count="1">
          <reference field="13" count="0"/>
        </references>
      </pivotArea>
    </format>
    <format dxfId="361">
      <pivotArea dataOnly="0" labelOnly="1" fieldPosition="0">
        <references count="1">
          <reference field="13" count="0"/>
        </references>
      </pivotArea>
    </format>
    <format dxfId="360">
      <pivotArea dataOnly="0" labelOnly="1" fieldPosition="0">
        <references count="1">
          <reference field="15" count="0"/>
        </references>
      </pivotArea>
    </format>
    <format dxfId="359">
      <pivotArea dataOnly="0" labelOnly="1" fieldPosition="0">
        <references count="1">
          <reference field="15" count="0"/>
        </references>
      </pivotArea>
    </format>
    <format dxfId="358">
      <pivotArea dataOnly="0" labelOnly="1" fieldPosition="0">
        <references count="1">
          <reference field="15" count="0"/>
        </references>
      </pivotArea>
    </format>
    <format dxfId="357">
      <pivotArea dataOnly="0" labelOnly="1" fieldPosition="0">
        <references count="1">
          <reference field="15" count="0"/>
        </references>
      </pivotArea>
    </format>
    <format dxfId="356">
      <pivotArea dataOnly="0" labelOnly="1" fieldPosition="0">
        <references count="1">
          <reference field="15" count="0"/>
        </references>
      </pivotArea>
    </format>
    <format dxfId="355">
      <pivotArea type="all" dataOnly="0" outline="0" fieldPosition="0"/>
    </format>
    <format dxfId="354">
      <pivotArea outline="0" collapsedLevelsAreSubtotals="1" fieldPosition="0"/>
    </format>
    <format dxfId="353">
      <pivotArea field="33" type="button" dataOnly="0" labelOnly="1" outline="0" axis="axisRow" fieldPosition="0"/>
    </format>
    <format dxfId="352">
      <pivotArea dataOnly="0" labelOnly="1" fieldPosition="0">
        <references count="1">
          <reference field="33" count="0"/>
        </references>
      </pivotArea>
    </format>
    <format dxfId="351">
      <pivotArea dataOnly="0" labelOnly="1" grandRow="1" outline="0" fieldPosition="0"/>
    </format>
    <format dxfId="350">
      <pivotArea dataOnly="0" labelOnly="1" fieldPosition="0">
        <references count="2">
          <reference field="3" count="0"/>
          <reference field="33" count="0" selected="0"/>
        </references>
      </pivotArea>
    </format>
    <format dxfId="349">
      <pivotArea dataOnly="0" labelOnly="1" fieldPosition="0">
        <references count="3">
          <reference field="3" count="1" selected="0">
            <x v="0"/>
          </reference>
          <reference field="5" count="1">
            <x v="0"/>
          </reference>
          <reference field="33" count="0" selected="0"/>
        </references>
      </pivotArea>
    </format>
    <format dxfId="348">
      <pivotArea dataOnly="0" labelOnly="1" fieldPosition="0">
        <references count="3">
          <reference field="3" count="1" selected="0">
            <x v="1"/>
          </reference>
          <reference field="5" count="2">
            <x v="1"/>
            <x v="2"/>
          </reference>
          <reference field="33" count="0" selected="0"/>
        </references>
      </pivotArea>
    </format>
    <format dxfId="34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46">
      <pivotArea dataOnly="0" labelOnly="1" fieldPosition="0">
        <references count="4">
          <reference field="3" count="1" selected="0">
            <x v="1"/>
          </reference>
          <reference field="5" count="1" selected="0">
            <x v="1"/>
          </reference>
          <reference field="33" count="0" selected="0"/>
          <reference field="34" count="0"/>
        </references>
      </pivotArea>
    </format>
    <format dxfId="345">
      <pivotArea dataOnly="0" labelOnly="1" fieldPosition="0">
        <references count="4">
          <reference field="3" count="1" selected="0">
            <x v="1"/>
          </reference>
          <reference field="5" count="1" selected="0">
            <x v="2"/>
          </reference>
          <reference field="33" count="0" selected="0"/>
          <reference field="34" count="1">
            <x v="2"/>
          </reference>
        </references>
      </pivotArea>
    </format>
    <format dxfId="34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4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4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4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3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3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3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3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3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3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3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3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3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3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2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2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2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2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2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2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2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2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1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1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1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1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1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1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1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1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0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0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0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0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0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0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0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9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9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9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9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9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9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9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9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9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8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8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8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8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8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8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8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8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7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7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7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7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7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7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7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7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7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6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6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6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6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6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6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6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6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5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5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5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5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5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5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53">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38">
      <pivotArea outline="0" collapsedLevelsAreSubtotals="1" fieldPosition="0"/>
    </format>
    <format dxfId="237">
      <pivotArea type="all" dataOnly="0" outline="0" fieldPosition="0"/>
    </format>
    <format dxfId="236">
      <pivotArea outline="0" collapsedLevelsAreSubtotals="1" fieldPosition="0"/>
    </format>
    <format dxfId="235">
      <pivotArea field="34" type="button" dataOnly="0" labelOnly="1" outline="0" axis="axisRow" fieldPosition="0"/>
    </format>
    <format dxfId="234">
      <pivotArea dataOnly="0" labelOnly="1" grandRow="1" outline="0" fieldPosition="0"/>
    </format>
    <format dxfId="233">
      <pivotArea dataOnly="0" labelOnly="1" outline="0" fieldPosition="0">
        <references count="1">
          <reference field="4294967294" count="3">
            <x v="0"/>
            <x v="1"/>
            <x v="2"/>
          </reference>
        </references>
      </pivotArea>
    </format>
    <format dxfId="232">
      <pivotArea dataOnly="0" labelOnly="1" fieldPosition="0">
        <references count="1">
          <reference field="34" count="0"/>
        </references>
      </pivotArea>
    </format>
    <format dxfId="231">
      <pivotArea collapsedLevelsAreSubtotals="1" fieldPosition="0">
        <references count="1">
          <reference field="34" count="1">
            <x v="0"/>
          </reference>
        </references>
      </pivotArea>
    </format>
    <format dxfId="230">
      <pivotArea dataOnly="0" labelOnly="1" fieldPosition="0">
        <references count="1">
          <reference field="34" count="1">
            <x v="0"/>
          </reference>
        </references>
      </pivotArea>
    </format>
    <format dxfId="229">
      <pivotArea collapsedLevelsAreSubtotals="1" fieldPosition="0">
        <references count="1">
          <reference field="34" count="1">
            <x v="1"/>
          </reference>
        </references>
      </pivotArea>
    </format>
    <format dxfId="228">
      <pivotArea dataOnly="0" labelOnly="1" fieldPosition="0">
        <references count="1">
          <reference field="34" count="1">
            <x v="1"/>
          </reference>
        </references>
      </pivotArea>
    </format>
    <format dxfId="227">
      <pivotArea collapsedLevelsAreSubtotals="1" fieldPosition="0">
        <references count="1">
          <reference field="34" count="1">
            <x v="2"/>
          </reference>
        </references>
      </pivotArea>
    </format>
    <format dxfId="226">
      <pivotArea dataOnly="0" labelOnly="1" fieldPosition="0">
        <references count="1">
          <reference field="34" count="1">
            <x v="2"/>
          </reference>
        </references>
      </pivotArea>
    </format>
    <format dxfId="225">
      <pivotArea collapsedLevelsAreSubtotals="1" fieldPosition="0">
        <references count="1">
          <reference field="34" count="1">
            <x v="3"/>
          </reference>
        </references>
      </pivotArea>
    </format>
    <format dxfId="224">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52">
      <pivotArea outline="0" collapsedLevelsAreSubtotals="1" fieldPosition="0"/>
    </format>
    <format dxfId="251">
      <pivotArea type="all" dataOnly="0" outline="0" fieldPosition="0"/>
    </format>
    <format dxfId="250">
      <pivotArea outline="0" collapsedLevelsAreSubtotals="1" fieldPosition="0"/>
    </format>
    <format dxfId="249">
      <pivotArea field="34" type="button" dataOnly="0" labelOnly="1" outline="0" axis="axisRow" fieldPosition="0"/>
    </format>
    <format dxfId="248">
      <pivotArea dataOnly="0" labelOnly="1" grandRow="1" outline="0" fieldPosition="0"/>
    </format>
    <format dxfId="247">
      <pivotArea dataOnly="0" labelOnly="1" fieldPosition="0">
        <references count="1">
          <reference field="34" count="0"/>
        </references>
      </pivotArea>
    </format>
    <format dxfId="246">
      <pivotArea collapsedLevelsAreSubtotals="1" fieldPosition="0">
        <references count="1">
          <reference field="34" count="1">
            <x v="0"/>
          </reference>
        </references>
      </pivotArea>
    </format>
    <format dxfId="245">
      <pivotArea dataOnly="0" labelOnly="1" fieldPosition="0">
        <references count="1">
          <reference field="34" count="1">
            <x v="0"/>
          </reference>
        </references>
      </pivotArea>
    </format>
    <format dxfId="244">
      <pivotArea collapsedLevelsAreSubtotals="1" fieldPosition="0">
        <references count="1">
          <reference field="34" count="1">
            <x v="1"/>
          </reference>
        </references>
      </pivotArea>
    </format>
    <format dxfId="243">
      <pivotArea dataOnly="0" labelOnly="1" fieldPosition="0">
        <references count="1">
          <reference field="34" count="1">
            <x v="1"/>
          </reference>
        </references>
      </pivotArea>
    </format>
    <format dxfId="242">
      <pivotArea collapsedLevelsAreSubtotals="1" fieldPosition="0">
        <references count="1">
          <reference field="34" count="1">
            <x v="2"/>
          </reference>
        </references>
      </pivotArea>
    </format>
    <format dxfId="241">
      <pivotArea dataOnly="0" labelOnly="1" fieldPosition="0">
        <references count="1">
          <reference field="34" count="1">
            <x v="2"/>
          </reference>
        </references>
      </pivotArea>
    </format>
    <format dxfId="240">
      <pivotArea collapsedLevelsAreSubtotals="1" fieldPosition="0">
        <references count="1">
          <reference field="34" count="1">
            <x v="3"/>
          </reference>
        </references>
      </pivotArea>
    </format>
    <format dxfId="239">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0" totalsRowCount="1" headerRowDxfId="1475" dataDxfId="1473" totalsRowDxfId="1471" headerRowBorderDxfId="1474" tableBorderDxfId="1472" totalsRowBorderDxfId="1470">
  <autoFilter ref="B13:O229" xr:uid="{5439E600-4AE6-4A9C-BF96-1F8B4649EF5E}"/>
  <sortState xmlns:xlrd2="http://schemas.microsoft.com/office/spreadsheetml/2017/richdata2" ref="B14:O226">
    <sortCondition ref="C13:C226"/>
  </sortState>
  <tableColumns count="14">
    <tableColumn id="1" xr3:uid="{EA3EA993-E9B8-4175-AE78-56C2DE826084}" name="No" dataDxfId="1469" totalsRowDxfId="1468" dataCellStyle="Normal 4"/>
    <tableColumn id="14" xr3:uid="{39BE1E11-4C0D-43C9-A7CF-CFD7B6D88EC1}" name="Urut" dataDxfId="1467" totalsRowDxfId="1466" dataCellStyle="Normal 4"/>
    <tableColumn id="2" xr3:uid="{55765DF9-9B2D-49B2-8C10-51C6F4795A2B}" name="Nomor SP2D" dataDxfId="1465" totalsRowDxfId="1464"/>
    <tableColumn id="3" xr3:uid="{95F2A4A6-178D-4D09-BEC2-A35DA9DD284C}" name="Tanggal SP2D" dataDxfId="1463" totalsRowDxfId="1462"/>
    <tableColumn id="4" xr3:uid="{1BFC6E15-B107-44FC-880F-0FA398A70437}" name="Nilai SP2D" totalsRowFunction="sum" dataDxfId="1461" totalsRowDxfId="1460" dataCellStyle="Comma [0]"/>
    <tableColumn id="5" xr3:uid="{BA79B4B6-6D4D-4C40-A794-FBA956D546A8}" name="Jenis SPM" dataDxfId="1459" totalsRowDxfId="1458"/>
    <tableColumn id="6" xr3:uid="{0728F6B3-877B-4801-849D-78A7FD394756}" name="Nomor Invoice" dataDxfId="1457" totalsRowDxfId="1456"/>
    <tableColumn id="7" xr3:uid="{BC8C9A9E-906E-4F73-AA7C-36C21228DCD0}" name="Tanggal Invoice" dataDxfId="1455" totalsRowDxfId="1454"/>
    <tableColumn id="8" xr3:uid="{4F370E97-CC92-41D4-B70A-C2C397F13E5F}" name="Jenis SP2D" dataDxfId="1453" totalsRowDxfId="1452"/>
    <tableColumn id="9" xr3:uid="{5AB0F2BB-729E-4A36-99C2-531506F2E0D4}" name="Deskripsi" dataDxfId="1451" totalsRowDxfId="1450"/>
    <tableColumn id="10" xr3:uid="{E9855FB4-726E-4E0F-A40E-89C5AF4CAAE7}" name="Bagian / Bidang" dataDxfId="1449" totalsRowDxfId="1448" dataCellStyle="Normal 4"/>
    <tableColumn id="11" xr3:uid="{07CEE088-AC9A-406D-AECA-D9F23626D4D5}" name="Subbagian / Subbidang" dataDxfId="1447" totalsRowDxfId="1446" dataCellStyle="Normal 4"/>
    <tableColumn id="13" xr3:uid="{7D701C80-B1AD-4D78-B3C3-525A71261916}" name="Status Realisasi" dataDxfId="1445" totalsRowDxfId="1444" dataCellStyle="Normal 4"/>
    <tableColumn id="12" xr3:uid="{BE916C21-2F59-4DE9-9BDF-707A1C1956B2}" name="all" dataDxfId="1443" totalsRowDxfId="1442"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23" dataDxfId="222">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21"/>
    <tableColumn id="2" xr3:uid="{2DB0BCF7-353A-4057-BFD0-5A9AFD7AD377}" name="kdunit" dataDxfId="220"/>
    <tableColumn id="3" xr3:uid="{6BCC3689-465C-41AB-AA41-B61148952378}" name="kdprogram" dataDxfId="219"/>
    <tableColumn id="4" xr3:uid="{2A5A7B58-839E-4216-A115-BA31451747CC}" name="Program" dataDxfId="218"/>
    <tableColumn id="5" xr3:uid="{B90B5CFD-D8F4-48C4-81DF-60CCA43D8B33}" name="kdgiat" dataDxfId="217"/>
    <tableColumn id="6" xr3:uid="{665306DE-5004-4796-BA54-AF3E581B23DE}" name="Kegiatan" dataDxfId="216"/>
    <tableColumn id="7" xr3:uid="{896282BA-49FB-4172-920C-20AE0DBD436D}" name="kdoutput" dataDxfId="215"/>
    <tableColumn id="8" xr3:uid="{81ACE6BC-C81E-44B5-AC16-FA7339E6C95D}" name="Output" dataDxfId="214"/>
    <tableColumn id="9" xr3:uid="{B9A79FBA-908D-418C-864B-733536EBB6AD}" name="kdsoutput" dataDxfId="213"/>
    <tableColumn id="10" xr3:uid="{8730A0E5-24CD-4DD0-97C9-7EB5897F6937}" name="SubOutput" dataDxfId="212"/>
    <tableColumn id="11" xr3:uid="{A1213678-0772-43DE-9A68-4CCAC2CAB97F}" name="kdkmpnen" dataDxfId="211"/>
    <tableColumn id="12" xr3:uid="{13F01672-806F-47CD-8E7B-DBEF02211C49}" name="Komponen" dataDxfId="210"/>
    <tableColumn id="13" xr3:uid="{EE24777D-4C50-49CF-9D51-B1D10E6B59C5}" name="kdskmpnen" dataDxfId="209"/>
    <tableColumn id="14" xr3:uid="{6B16732C-65AB-40BC-9BE7-38F27B545CA4}" name="SubKomponen" dataDxfId="208"/>
    <tableColumn id="15" xr3:uid="{9DE11426-CAD6-4307-AF79-5BA31FE425C4}" name="kdakun" dataDxfId="207"/>
    <tableColumn id="16" xr3:uid="{95D2AD80-8C0A-4582-9C73-FCD7148568BD}" name="Akun" dataDxfId="206"/>
    <tableColumn id="17" xr3:uid="{1099A73B-6EFE-4758-9112-C98BE9AF6233}" name="DIPA_REVISI3" dataDxfId="205" dataCellStyle="Comma [0]">
      <calculatedColumnFormula array="1">SUM(_xlfn._xlws.FILTER(HistoryDIPA[TOTAL],(HistoryDIPA[MAK]=SP2D[[#This Row],[Kode Akun]])*(HistoryDIPA[StatusDIPA]=$Q$3),0))</calculatedColumnFormula>
    </tableColumn>
    <tableColumn id="18" xr3:uid="{F5761B11-9E81-4F7C-BD95-CB52A5BA049C}" name="DIPA_REVISI2" dataDxfId="204" dataCellStyle="Comma [0]"/>
    <tableColumn id="52" xr3:uid="{756AF1CD-7E6D-49D5-9982-55502306D24E}" name="Blokir AA ke 1" dataDxfId="203" dataCellStyle="Comma [0]"/>
    <tableColumn id="53" xr3:uid="{6DF30DE6-28F7-4458-802A-BCB387ECC2BB}" name="Blokir AA ke 2" dataDxfId="202" dataCellStyle="Comma [0]"/>
    <tableColumn id="54" xr3:uid="{8D97E884-E482-4A07-9E42-16F472895357}" name="Pagu-Blokir" dataDxfId="201" dataCellStyle="Comma [0]">
      <calculatedColumnFormula>SP2D[[#This Row],[DIPA_REVISI3]]-SUM(SP2D[[#This Row],[Blokir AA ke 1]:[Blokir AA ke 2]])</calculatedColumnFormula>
    </tableColumn>
    <tableColumn id="19" xr3:uid="{D85464D1-34A4-4D62-B202-AA5B44380AE8}" name="Jan" dataDxfId="200">
      <calculatedColumnFormula>SUM('PER BULAN'!J96:L96)</calculatedColumnFormula>
    </tableColumn>
    <tableColumn id="20" xr3:uid="{59AFB7C3-9561-4F72-BA75-233CA8574E0E}" name="Feb" dataDxfId="199"/>
    <tableColumn id="21" xr3:uid="{339941D9-EB6A-4D9E-AAFD-8BC87914D9CD}" name="Mar" dataDxfId="198"/>
    <tableColumn id="22" xr3:uid="{4DB8271D-A562-4BDB-AF86-6803F5A0D6B6}" name="Apr" dataDxfId="197"/>
    <tableColumn id="23" xr3:uid="{A6296B83-2C3A-4B7B-B349-C7B81EF82E20}" name="Mei" dataDxfId="196"/>
    <tableColumn id="24" xr3:uid="{E35B9BB8-2C59-4938-BD17-AB6DA6D49836}" name="Jun" dataDxfId="195"/>
    <tableColumn id="25" xr3:uid="{0B56CE2F-22F5-4935-B179-82B908FFA45C}" name="Jul" dataDxfId="194"/>
    <tableColumn id="26" xr3:uid="{C5C2C340-1544-4521-9059-33AEBE3423A8}" name="Ags" dataDxfId="193"/>
    <tableColumn id="27" xr3:uid="{86511B91-6FBB-44C6-BFE0-FC75035E6D40}" name="Sep" dataDxfId="192"/>
    <tableColumn id="28" xr3:uid="{2C0763CA-B0D1-4434-BD74-3778A7A332E6}" name="Okt" dataDxfId="191"/>
    <tableColumn id="29" xr3:uid="{1D2AE206-2433-4713-B023-179D69FA3E25}" name="Nov" dataDxfId="190"/>
    <tableColumn id="30" xr3:uid="{C1E5584B-01F1-4175-8FA8-D285D3701F44}" name="Des" dataDxfId="189"/>
    <tableColumn id="31" xr3:uid="{3BEE2055-AE9D-40FE-AE62-8E331B1816BF}" name="eselon2" dataDxfId="188"/>
    <tableColumn id="32" xr3:uid="{A002471B-4101-4577-BC3A-704405B733FB}" name="koordinator" dataDxfId="187"/>
    <tableColumn id="33" xr3:uid="{D023DF90-D6C9-428C-971B-7DDF8C7D5F03}" name="Subkoordinator" dataDxfId="186"/>
    <tableColumn id="34" xr3:uid="{FE48F7A1-0956-4644-89C0-EA36C183F595}" name="Jns_Belanja" dataDxfId="185"/>
    <tableColumn id="35" xr3:uid="{BE3FC102-4A2C-4D3D-B515-5052A70FFDEB}" name="satker" dataDxfId="184"/>
    <tableColumn id="36" xr3:uid="{C44DBFA7-2D15-465C-8D00-F06B638B5ED4}" name="Realisasi" dataDxfId="183" dataCellStyle="Comma [0]">
      <calculatedColumnFormula>SUM(V4:AG4)</calculatedColumnFormula>
    </tableColumn>
    <tableColumn id="37" xr3:uid="{DE361282-2992-4D2B-992E-4096AF6D8E40}" name="Real %" dataDxfId="182">
      <calculatedColumnFormula>IFERROR(AM4/Q4*100,0)</calculatedColumnFormula>
    </tableColumn>
    <tableColumn id="38" xr3:uid="{EEF961EF-FF6A-40D5-A0B6-ED634EBADFBC}" name="Sisa" dataDxfId="181" dataCellStyle="Comma [0]">
      <calculatedColumnFormula>Q4-AM4</calculatedColumnFormula>
    </tableColumn>
    <tableColumn id="39" xr3:uid="{85643851-7A65-42C2-A08E-B6A7A8DA03F0}" name="Sisa %" dataDxfId="180">
      <calculatedColumnFormula>IFERROR(AO4/Q4*100,0)</calculatedColumnFormula>
    </tableColumn>
    <tableColumn id="40" xr3:uid="{9E4F31F6-8A80-4410-976A-8EEA7368EA20}" name="Kode Akun" dataDxfId="179">
      <calculatedColumnFormula>_xlfn.TEXTJOIN(".",TRUE,C4,E4,G4,I4,K4,M4,O4)</calculatedColumnFormula>
    </tableColumn>
    <tableColumn id="41" xr3:uid="{0FDDBC90-1CC8-4C07-8122-50D2362EF739}" name="Status Covid" dataDxfId="178">
      <calculatedColumnFormula>IF(ISNUMBER(SEARCH("COVID",SP2D[[#This Row],[Akun]])),"COVID","Non COVID")</calculatedColumnFormula>
    </tableColumn>
    <tableColumn id="42" xr3:uid="{3D9BDB80-A0C7-4422-BA12-733AF91AF0E5}" name="Status Realisasi" dataDxfId="177">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76">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75"/>
    <tableColumn id="45" xr3:uid="{4B827D21-BED7-493A-98C2-BF92D20ACB6E}" name="TUP 1" dataDxfId="174"/>
    <tableColumn id="46" xr3:uid="{1A108E85-F9A8-4C5A-B9B2-E8E733C3D3EB}" name="GUP 2" dataDxfId="173"/>
    <tableColumn id="47" xr3:uid="{197D7FA7-EA56-478F-AC63-0B5D47D9765B}" name="GUP 3" dataDxfId="172"/>
    <tableColumn id="48" xr3:uid="{4614C9FA-2AB0-4D2D-AA55-13680C8EE8C5}" name="GUP 4" dataDxfId="171"/>
    <tableColumn id="49" xr3:uid="{9B9C7D3C-BD3B-413C-9633-5B1476894793}" name="GUP 5" dataDxfId="170"/>
    <tableColumn id="50" xr3:uid="{7F81D278-F155-4728-BD7E-4DD553D05EAC}" name="TUP 2 (1)" dataDxfId="169"/>
    <tableColumn id="51" xr3:uid="{40F6E74E-B62F-4684-A934-E1FBCD0EDECE}" name="TUP 2 (2)" dataDxfId="16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67" dataDxfId="166">
  <autoFilter ref="BC3:BD143" xr:uid="{9BE31371-6D84-40BC-BC89-6EB614AAFDED}"/>
  <tableColumns count="2">
    <tableColumn id="1" xr3:uid="{FFEC0591-1F8E-4D42-8DB7-95FE40C6A4FA}" name="GUP 6" dataDxfId="165"/>
    <tableColumn id="2" xr3:uid="{53B91740-F7E5-49C9-B6EF-884B25AEA288}" name="GUP 7" dataDxfId="1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63" dataDxfId="162">
  <autoFilter ref="BE3:BE143" xr:uid="{B583C927-BDC0-4A9E-9EAD-1AA964672F53}"/>
  <tableColumns count="1">
    <tableColumn id="1" xr3:uid="{AAED9B86-5EBB-4AE0-920F-B7B74A71FB42}" name="TUP 3" dataDxfId="16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60" dataDxfId="159">
  <autoFilter ref="A3:BA15" xr:uid="{0218787B-FAFB-4E31-BAF7-C07090CCABB5}"/>
  <tableColumns count="53">
    <tableColumn id="1" xr3:uid="{80105D8C-B6CC-4C67-A0D5-A51108634790}" name="kddept" dataDxfId="158"/>
    <tableColumn id="2" xr3:uid="{79F788C4-BE24-4442-B4A5-787846FC3242}" name="kdunit" dataDxfId="157"/>
    <tableColumn id="3" xr3:uid="{F5607343-B1C5-442F-9F62-66DAB70DF978}" name="kdprogram" dataDxfId="156"/>
    <tableColumn id="4" xr3:uid="{67275D4D-383A-492A-9FB0-586605819489}" name="Program" dataDxfId="155"/>
    <tableColumn id="5" xr3:uid="{7E089115-5279-4639-B5C8-B5B142691A5E}" name="kdgiat" dataDxfId="154"/>
    <tableColumn id="6" xr3:uid="{86B452FA-0999-4C13-97B6-34303305E62C}" name="Kegiatan" dataDxfId="153"/>
    <tableColumn id="7" xr3:uid="{098073A3-0D75-44F5-98F3-9D58ABD0F494}" name="kdoutput" dataDxfId="152"/>
    <tableColumn id="8" xr3:uid="{DD29FD42-F6B4-48DB-ABD5-0B9035D7350B}" name="Output" dataDxfId="151"/>
    <tableColumn id="9" xr3:uid="{DD7BECAC-0FA2-4D83-AFED-EA1423BBAE3B}" name="kdsoutput" dataDxfId="150"/>
    <tableColumn id="10" xr3:uid="{41EDA2EB-4FE5-485A-9A85-BC1CF6F808E6}" name="SubOutput" dataDxfId="149"/>
    <tableColumn id="11" xr3:uid="{0C0092F1-3B9A-4262-87F2-DF8809ADB48A}" name="kdkmpnen" dataDxfId="148"/>
    <tableColumn id="12" xr3:uid="{7F02E6EE-4073-428C-A01E-C7F9404E22AB}" name="Komponen" dataDxfId="147"/>
    <tableColumn id="13" xr3:uid="{D5E22675-8A73-40C8-BA6D-4D22AD4BD880}" name="kdskmpnen" dataDxfId="146"/>
    <tableColumn id="14" xr3:uid="{21C5F2BB-4B18-41F3-8B47-CA7C999E1D95}" name="SubKomponen" dataDxfId="145"/>
    <tableColumn id="15" xr3:uid="{7EF6CEAB-DE31-4DEA-B8DF-BDD5AD5C3604}" name="kdakun" dataDxfId="144"/>
    <tableColumn id="16" xr3:uid="{897A6630-15AA-4E92-AF17-989B50249F0B}" name="Akun" dataDxfId="143"/>
    <tableColumn id="17" xr3:uid="{F469B670-C97B-4C45-BFA1-11EC2F3BBE30}" name="Pagu" dataDxfId="142" dataCellStyle="Comma [0]">
      <calculatedColumnFormula array="1">SUM(_xlfn._xlws.FILTER(DIPA3[PaguRevisi],DIPA3[Akun]=SP2D_GAJI[[#This Row],[Kode Akun]],0))</calculatedColumnFormula>
    </tableColumn>
    <tableColumn id="18" xr3:uid="{331F462C-70B7-43E1-8F2C-778E95ACAEA1}" name="Pagu Semula" dataDxfId="141" dataCellStyle="Comma [0]"/>
    <tableColumn id="52" xr3:uid="{2F016D06-D133-47D7-B695-4667F3490729}" name="Blokir AA ke 1" dataDxfId="140" dataCellStyle="Comma [0]"/>
    <tableColumn id="53" xr3:uid="{165EF6BA-1776-4571-B8AD-920C3A030766}" name="Blokir AA ke 2" dataDxfId="139" dataCellStyle="Comma [0]"/>
    <tableColumn id="19" xr3:uid="{D0C2276A-7026-4576-85D7-919441521A6C}" name="Jan" dataDxfId="138">
      <calculatedColumnFormula>SUM('PER BULAN'!J253:L253)</calculatedColumnFormula>
    </tableColumn>
    <tableColumn id="20" xr3:uid="{A9EF8502-8C6E-4766-AD68-658B4D1E747D}" name="Feb" dataDxfId="137">
      <calculatedColumnFormula>SUM('PER BULAN'!M253:O253)</calculatedColumnFormula>
    </tableColumn>
    <tableColumn id="21" xr3:uid="{746DC00C-C89E-4DDA-BBC9-1D134830D029}" name="Mar" dataDxfId="136">
      <calculatedColumnFormula>SUM('PER BULAN'!P253:R253)</calculatedColumnFormula>
    </tableColumn>
    <tableColumn id="22" xr3:uid="{05F5FC17-0CBB-4151-889F-60CFCD7C34DD}" name="Apr" dataDxfId="135">
      <calculatedColumnFormula>SUM('PER BULAN'!S253:U253)</calculatedColumnFormula>
    </tableColumn>
    <tableColumn id="23" xr3:uid="{C42FB8F4-7097-4474-A778-F18CBF2B07B1}" name="Mei" dataDxfId="134">
      <calculatedColumnFormula>SUM('PER BULAN'!V253:X253)</calculatedColumnFormula>
    </tableColumn>
    <tableColumn id="24" xr3:uid="{F4454E89-E22D-410A-82EB-5F0DC627F170}" name="Jun" dataDxfId="133">
      <calculatedColumnFormula>SUM('PER BULAN'!Y253:AA253)</calculatedColumnFormula>
    </tableColumn>
    <tableColumn id="25" xr3:uid="{2AA6CCE9-FDEE-48C4-8B21-D75DF41DA271}" name="Jul" dataDxfId="132">
      <calculatedColumnFormula>SUM('PER BULAN'!AB253:AD253)</calculatedColumnFormula>
    </tableColumn>
    <tableColumn id="26" xr3:uid="{7FACB806-C5A3-48BA-9D07-F51AF74D0E09}" name="Ags" dataDxfId="131">
      <calculatedColumnFormula>SUM('PER BULAN'!AE253:AG253)</calculatedColumnFormula>
    </tableColumn>
    <tableColumn id="27" xr3:uid="{C4B9A446-705C-463E-B7DA-7A0740B8C905}" name="Sep" dataDxfId="130">
      <calculatedColumnFormula>SUM('PER BULAN'!AH253:AJ253)</calculatedColumnFormula>
    </tableColumn>
    <tableColumn id="28" xr3:uid="{5AAFBEBC-03FC-4E4A-83F9-E67BEB3D5981}" name="Okt" dataDxfId="129">
      <calculatedColumnFormula>SUM('PER BULAN'!AK253:AM253)</calculatedColumnFormula>
    </tableColumn>
    <tableColumn id="29" xr3:uid="{4906B5CD-CEE5-4A98-B22E-AC637B561A64}" name="Nov" dataDxfId="128">
      <calculatedColumnFormula>SUM('PER BULAN'!AN253:AP253)</calculatedColumnFormula>
    </tableColumn>
    <tableColumn id="30" xr3:uid="{CE67CAFB-1501-4D81-9EF9-85B2D20132C0}" name="Des" dataDxfId="127">
      <calculatedColumnFormula>SUM('PER BULAN'!AQ253:AS253)</calculatedColumnFormula>
    </tableColumn>
    <tableColumn id="31" xr3:uid="{68D2BC5B-AA42-4205-92C2-22EE6E2A455F}" name="eselon2" dataDxfId="126"/>
    <tableColumn id="32" xr3:uid="{BA84A518-BE39-4F09-B013-2F165F75B2C4}" name="koordinator" dataDxfId="125"/>
    <tableColumn id="33" xr3:uid="{056A603E-AF28-4BB5-BFC3-BCB9B9C999CA}" name="Subkoordinator" dataDxfId="124"/>
    <tableColumn id="34" xr3:uid="{D4673DE9-E399-427A-A7FA-55224584489E}" name="Jns_Belanja" dataDxfId="123"/>
    <tableColumn id="35" xr3:uid="{A8855799-45D2-43E8-83A2-AA11614A2AB5}" name="satker" dataDxfId="122"/>
    <tableColumn id="36" xr3:uid="{7FE40A5B-7697-4CF3-B532-E8DEA6942EA1}" name="Realisasi" dataDxfId="121" dataCellStyle="Comma [0]">
      <calculatedColumnFormula>SUM(U4:AF4)</calculatedColumnFormula>
    </tableColumn>
    <tableColumn id="37" xr3:uid="{485221C0-0D00-438E-BDE5-343CD7B9DEA0}" name="Real %" dataDxfId="120">
      <calculatedColumnFormula>IFERROR(AL4/Q4*100,0)</calculatedColumnFormula>
    </tableColumn>
    <tableColumn id="38" xr3:uid="{8B93FCA3-495B-49BB-8273-31AF01368B83}" name="Sisa" dataDxfId="119" dataCellStyle="Comma [0]">
      <calculatedColumnFormula>Q4-AL4</calculatedColumnFormula>
    </tableColumn>
    <tableColumn id="39" xr3:uid="{E92777FB-21B0-4FEC-B74B-99E5CBE0B3F9}" name="Real %2" dataDxfId="118">
      <calculatedColumnFormula>IFERROR(AN4/Q4*100,0)</calculatedColumnFormula>
    </tableColumn>
    <tableColumn id="40" xr3:uid="{AF8769F5-B4D9-4C85-9DA8-FD27BDBB1A6C}" name="Kode Akun" dataDxfId="117">
      <calculatedColumnFormula>_xlfn.TEXTJOIN(".",TRUE,C4,E4,G4,I4,K4,M4,O4)</calculatedColumnFormula>
    </tableColumn>
    <tableColumn id="41" xr3:uid="{3D3B549A-EABA-490D-9DA6-37523724BE61}" name="Status Covid" dataDxfId="116">
      <calculatedColumnFormula>IF(ISNUMBER(SEARCH("COVID",SP2D_GAJI[[#This Row],[Akun]])),"COVID","Non COVID")</calculatedColumnFormula>
    </tableColumn>
    <tableColumn id="42" xr3:uid="{184FBB69-68B1-4E38-891F-51917E4DC587}" name="Status Realisasi" dataDxfId="115">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4">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3"/>
    <tableColumn id="45" xr3:uid="{9C1934D8-99CF-4988-9800-1BFA557120E5}" name="TUP 1" dataDxfId="112"/>
    <tableColumn id="46" xr3:uid="{A4CF8F3D-CD3D-44F3-9820-88903E09EF80}" name="GUP 2" dataDxfId="111"/>
    <tableColumn id="47" xr3:uid="{099E42CD-67D0-44DB-B845-55EC12EB7D6E}" name="GUP 3" dataDxfId="110"/>
    <tableColumn id="48" xr3:uid="{B5E0BACE-F6DB-4087-90C7-B2D17ED966B6}" name="GUP 4" dataDxfId="109"/>
    <tableColumn id="49" xr3:uid="{BDAA27ED-0F52-48FE-B061-0279E351DC40}" name="GUP 5" dataDxfId="108"/>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00" headerRowBorderDxfId="99" tableBorderDxfId="98">
  <autoFilter ref="B249:BI265" xr:uid="{A3F03F6D-6A59-461B-A929-C35C787407F3}"/>
  <tableColumns count="60">
    <tableColumn id="1" xr3:uid="{006731C9-F32D-4A40-8CDB-A1548E10C0D4}" name="KODE" dataDxfId="97"/>
    <tableColumn id="2" xr3:uid="{A9307D7A-2701-4752-B274-B25BEF4C5078}" name="URAIAN" dataDxfId="96"/>
    <tableColumn id="3" xr3:uid="{FCCF3154-C285-471C-AC86-6DCF2BB5907D}" name="VOL" dataDxfId="95"/>
    <tableColumn id="4" xr3:uid="{C6A127B2-6CDD-4E0C-AF9D-730F6DDD09BC}" name="SATUAN" dataDxfId="94"/>
    <tableColumn id="5" xr3:uid="{3F90CE26-DF36-4D37-9C47-12A1CEB8D773}" name="Pagu Revisi" dataDxfId="93" dataCellStyle="Comma [0]"/>
    <tableColumn id="6" xr3:uid="{A2F11568-8A8E-4AFC-9F99-BFB17EAEEC9C}" name="Pagu Semula" dataDxfId="92" dataCellStyle="Comma [0]"/>
    <tableColumn id="7" xr3:uid="{B7EE8BCB-D0ED-4450-8EBB-6FD673560D7C}" name="Blokir AA ke 1" dataDxfId="91" dataCellStyle="Comma [0]"/>
    <tableColumn id="8" xr3:uid="{9EDAF3A8-6D97-400A-848D-D47BF571F43E}" name="Blokir AA ke 2" dataDxfId="90" dataCellStyle="Comma [0]">
      <calculatedColumnFormula>G250-F250</calculatedColumnFormula>
    </tableColumn>
    <tableColumn id="9" xr3:uid="{63315451-3A2B-4613-A63E-C9450FC73D6C}" name="JANUARI" dataDxfId="89" dataCellStyle="Comma [0]"/>
    <tableColumn id="10" xr3:uid="{16EC35FF-13CF-4870-920C-AAB913E770C7}" name="Column4" dataDxfId="88" dataCellStyle="Comma [0]"/>
    <tableColumn id="11" xr3:uid="{729D99E3-0A52-4B2E-A9C0-DE02E05ED840}" name="Column5" dataDxfId="87" dataCellStyle="Comma [0]"/>
    <tableColumn id="12" xr3:uid="{AB374DB6-7598-4C30-A85F-F63F132B7BA1}" name="FEBRUARI" dataDxfId="86" dataCellStyle="Normal 5"/>
    <tableColumn id="13" xr3:uid="{2D1151EC-AD11-4F11-9D1D-698FBA569F26}" name="Column6" dataDxfId="85" dataCellStyle="Comma [0]"/>
    <tableColumn id="14" xr3:uid="{C25F446B-37CA-4C46-8DE3-5CBDF83F99DF}" name="Column7" dataDxfId="84" dataCellStyle="Comma [0]"/>
    <tableColumn id="15" xr3:uid="{2B771376-C41A-4F53-BC5F-03146D6453D2}" name="MARET" dataDxfId="83" dataCellStyle="Normal 5"/>
    <tableColumn id="16" xr3:uid="{26AE15C1-AF2B-46A7-ADBC-F20B8677DE0D}" name="Column8" dataDxfId="82" dataCellStyle="Comma [0]"/>
    <tableColumn id="17" xr3:uid="{DFBDA772-EF7F-41E6-9DFB-E477C75E4388}" name="Column9" dataDxfId="81" dataCellStyle="Comma [0]"/>
    <tableColumn id="18" xr3:uid="{041FDBBB-13D6-40FC-B497-A1E84A4034E8}" name="APRIL" dataDxfId="80" dataCellStyle="Normal 5"/>
    <tableColumn id="19" xr3:uid="{6168E056-C134-418C-BAA8-73541257F097}" name="Column10" dataDxfId="79" dataCellStyle="Comma [0]"/>
    <tableColumn id="20" xr3:uid="{ECE7E801-4FE3-4CB0-B83E-AEDB75DF320F}" name="Column11" dataDxfId="78" dataCellStyle="Comma [0]"/>
    <tableColumn id="21" xr3:uid="{44FEDD28-091B-4680-A5C6-30F0F745EBBE}" name="MEI" dataDxfId="77"/>
    <tableColumn id="22" xr3:uid="{34244EC1-125A-49F5-8D4B-77C41595EB78}" name="Column12" dataDxfId="76" dataCellStyle="Comma [0]"/>
    <tableColumn id="23" xr3:uid="{695AAE0C-3DE2-4C12-A556-529DF387A4B7}" name="Column13" dataDxfId="75" dataCellStyle="Comma [0]"/>
    <tableColumn id="24" xr3:uid="{EE45409D-1AE3-4403-87A9-813634308CF5}" name="JUNI" dataDxfId="74" dataCellStyle="Comma [0]"/>
    <tableColumn id="25" xr3:uid="{5F933D02-7432-46D2-889E-A346FBEB81C1}" name="Column14" dataDxfId="73" dataCellStyle="Comma [0]"/>
    <tableColumn id="26" xr3:uid="{E340073A-FA27-4696-9028-62785F671D51}" name="Column15" dataDxfId="72" dataCellStyle="Comma [0]"/>
    <tableColumn id="27" xr3:uid="{3C80F9B3-4335-4BCB-A2DB-8F873DB578A1}" name="JULI" dataDxfId="71" dataCellStyle="Comma [0]"/>
    <tableColumn id="28" xr3:uid="{0B52D128-430F-4AE8-AF42-C77BCC1DE967}" name="Column16" dataDxfId="70" dataCellStyle="Comma [0]"/>
    <tableColumn id="29" xr3:uid="{9AA400AA-D217-47D3-8A29-9AD35366E1E5}" name="Column17" dataDxfId="69" dataCellStyle="Comma [0]"/>
    <tableColumn id="30" xr3:uid="{7A16243F-CC4F-4632-957C-54DF727D1493}" name="AGUSTUS" dataDxfId="68" dataCellStyle="Comma [0]"/>
    <tableColumn id="31" xr3:uid="{F53FA9C1-6878-4D23-96E5-3E23407112F3}" name="Column18" dataDxfId="67" dataCellStyle="Comma [0]"/>
    <tableColumn id="32" xr3:uid="{56226304-FD99-45E9-B47F-4A0989BC4182}" name="Column19" dataDxfId="66" dataCellStyle="Comma [0]"/>
    <tableColumn id="33" xr3:uid="{918328DE-54FE-4538-8A7A-0C76AA1E939A}" name="SEPTEMBER" dataDxfId="65" dataCellStyle="Comma [0]"/>
    <tableColumn id="34" xr3:uid="{D961E510-3ED4-4CF9-A7AF-9649B976EA3E}" name="Column20" dataDxfId="64" dataCellStyle="Comma [0]"/>
    <tableColumn id="35" xr3:uid="{91DB1DE3-8092-461D-A09A-AE460872B6BA}" name="Column21" dataDxfId="63" dataCellStyle="Comma [0]"/>
    <tableColumn id="36" xr3:uid="{CE58699D-2136-4257-BAD1-7398B982526B}" name="OKTOBER" dataDxfId="62" dataCellStyle="Comma [0]"/>
    <tableColumn id="37" xr3:uid="{1F4E6F0B-F4F1-4921-A7D5-72862BF6A622}" name="Column22" dataDxfId="61" dataCellStyle="Comma [0]"/>
    <tableColumn id="38" xr3:uid="{B76BAD65-739D-4E3A-852D-D26916987757}" name="Column23" dataDxfId="60" dataCellStyle="Comma [0]"/>
    <tableColumn id="39" xr3:uid="{12105BE2-33F4-4402-9A97-62E8F6987E7A}" name="NOVEMBER" dataDxfId="59" dataCellStyle="Comma [0]"/>
    <tableColumn id="40" xr3:uid="{C58384D0-120F-4BEC-B941-E06587266945}" name="Column24" dataDxfId="58" dataCellStyle="Comma [0]"/>
    <tableColumn id="41" xr3:uid="{A058820D-F058-4589-9874-D1A00D172D60}" name="Column25" dataDxfId="57" dataCellStyle="Comma [0]"/>
    <tableColumn id="42" xr3:uid="{CE32C95C-C534-407E-B4B0-C5BE507ACC7B}" name="DESEMBER" dataDxfId="56" dataCellStyle="Comma [0]"/>
    <tableColumn id="43" xr3:uid="{4AA20C6C-166D-40D3-B153-84B32F3DA47E}" name="Column26" dataDxfId="55" dataCellStyle="Comma [0]"/>
    <tableColumn id="44" xr3:uid="{B6199075-DD1D-4379-9C80-D5E0E5D4086B}" name="Column27" dataDxfId="54" dataCellStyle="Comma [0]"/>
    <tableColumn id="60" xr3:uid="{3C61A917-E0F5-4636-A796-FC4704C4B7A3}" name="Column28" dataDxfId="53" dataCellStyle="Comma [0]"/>
    <tableColumn id="45" xr3:uid="{025D8148-41D1-493D-8F91-43A4491832E5}" name="REALISASI" dataDxfId="52" dataCellStyle="Comma [0]">
      <calculatedColumnFormula>SUM(J250:AS250)</calculatedColumnFormula>
    </tableColumn>
    <tableColumn id="46" xr3:uid="{EB91123A-1AE6-419C-99DE-3A8BFD669434}" name="%" dataDxfId="51">
      <calculatedColumnFormula>IFERROR(AU250/F250*100,0)</calculatedColumnFormula>
    </tableColumn>
    <tableColumn id="47" xr3:uid="{B367B8B8-4A10-4559-8042-C79AD776D92F}" name="SISA PAGU" dataDxfId="50">
      <calculatedColumnFormula>F250-AU250</calculatedColumnFormula>
    </tableColumn>
    <tableColumn id="48" xr3:uid="{4447787F-4DC2-4E59-B3FB-02DC54A3FEB4}" name="%28" dataDxfId="49">
      <calculatedColumnFormula>AW250/F250*100</calculatedColumnFormula>
    </tableColumn>
    <tableColumn id="49" xr3:uid="{C7CC6506-6ABE-4181-9F4B-FEC5B702B017}" name="KOORDINATOR" dataDxfId="48"/>
    <tableColumn id="50" xr3:uid="{048FA016-E7FA-4ECE-BABA-429AD0AEF890}" name="Subkoordinator"/>
    <tableColumn id="51" xr3:uid="{B38F358A-82BF-496A-A23D-71F2B98B29E5}" name="Jenis Belanja Barang"/>
    <tableColumn id="52" xr3:uid="{DB80BE10-1DFD-4F7D-BB32-35C9FE353EFD}" name="SPBy" dataDxfId="47" dataCellStyle="Comma [0]"/>
    <tableColumn id="53" xr3:uid="{078C675B-A0F3-404E-848C-5D5DFFD077BC}" name="Column29"/>
    <tableColumn id="54" xr3:uid="{434FFD64-27FE-4383-9669-FEE5F6BE4180}" name="Column30" dataDxfId="4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45"/>
    <tableColumn id="2" xr3:uid="{5BC9D503-C697-4646-A885-6D4091E43BF2}" name="KDSATKER" dataDxfId="44"/>
    <tableColumn id="3" xr3:uid="{2468777D-09C6-4190-A7D7-3856AED4B0DC}" name="Nama Satker" dataDxfId="43"/>
    <tableColumn id="4" xr3:uid="{16A00B15-5672-4807-A7B3-7836D971B1BE}" name="KODE_PROGRAM" dataDxfId="42"/>
    <tableColumn id="5" xr3:uid="{D4DEA1DA-5220-4065-A0D6-3135415B01C1}" name="KODE_KEGIATAN" dataDxfId="41"/>
    <tableColumn id="6" xr3:uid="{C50E0EDB-14F6-43BC-ACF2-256EC5B9B180}" name="KODE_OUTPUT" dataDxfId="40"/>
    <tableColumn id="7" xr3:uid="{8FBA10E1-0E96-4922-B8EC-D4A50B88E75F}" name="KD_KRO" dataDxfId="39"/>
    <tableColumn id="8" xr3:uid="{317FE007-6562-4E85-8A9C-3B430B543554}" name="KDIB" dataDxfId="38"/>
    <tableColumn id="9" xr3:uid="{6584A98F-A68E-474F-8195-DDDA966EF876}" name="VOLUME_OUTPUT"/>
    <tableColumn id="10" xr3:uid="{AFB8BE51-94E0-47D3-90A5-119985FD6AAD}" name="KODE_SUBOUTPUT" dataDxfId="37"/>
    <tableColumn id="11" xr3:uid="{2CD5BEB9-3ECE-403E-860B-3993709ED509}" name="VOLUME_SUBOUTPUT"/>
    <tableColumn id="12" xr3:uid="{047504C2-3496-4CB1-BF56-3B25B9DCC88F}" name="KODE_KOMPONEN" dataDxfId="36"/>
    <tableColumn id="13" xr3:uid="{B132E252-5C42-423D-88E2-98EDF264B984}" name="KODE_SUBKOMPONEN" dataDxfId="35"/>
    <tableColumn id="14" xr3:uid="{6FAAA068-4A11-4CBB-BD21-9762F30C8DBA}" name="URAIAN_SUBKOMPONEN" dataDxfId="34"/>
    <tableColumn id="15" xr3:uid="{6F6505F2-99A0-4336-A759-7E0CEB1A305D}" name="KODE_AKUN" dataDxfId="33"/>
    <tableColumn id="16" xr3:uid="{C8F64F1B-37AA-4A9C-9813-092AA9B8B9AB}" name="KODE_JENIS_BEBAN" dataDxfId="32"/>
    <tableColumn id="17" xr3:uid="{F236A4FB-BB07-4DCF-B81E-C56664374308}" name="KODE_CARA_TARIK" dataDxfId="31"/>
    <tableColumn id="18" xr3:uid="{452B28A2-2E6F-4438-A202-3237824B009D}" name="KODE_JENIS_BANTUAN" dataDxfId="30"/>
    <tableColumn id="19" xr3:uid="{1A6DAE92-1F64-4D71-9F2E-DC883F14E0DE}" name="KODE_REGISTER" dataDxfId="29"/>
    <tableColumn id="20" xr3:uid="{61FDBA5E-AB03-4207-A7F6-A7F33A7ADB71}" name="HEADER1" dataDxfId="28"/>
    <tableColumn id="21" xr3:uid="{E045011E-89EF-475C-AFDF-1281C8B3B5B8}" name="HEADER2" dataDxfId="27"/>
    <tableColumn id="22" xr3:uid="{FE60EFA6-36AD-4774-AFE2-5406C1F19B35}" name="KODE_ITEM" dataDxfId="26"/>
    <tableColumn id="23" xr3:uid="{BCB36A2C-CB7E-44DD-AC68-7CADE0286086}" name="NOMOR_ITEM" dataDxfId="25"/>
    <tableColumn id="24" xr3:uid="{F4A2CC1D-7AB4-4560-9F08-13AC85EA0796}" name="CONS_ITEM" dataDxfId="24"/>
    <tableColumn id="25" xr3:uid="{F0241D79-2801-4F49-BBCF-663A5EACA9B1}" name="URAIAN_ITEM" dataDxfId="23"/>
    <tableColumn id="26" xr3:uid="{09BBBAA0-B9F4-4D59-B65C-190FD9621CC2}" name="SUMBER_DANA" dataDxfId="22"/>
    <tableColumn id="27" xr3:uid="{2439D999-B92C-43E4-9C45-C8237BE94146}" name="VOL_KEG_1"/>
    <tableColumn id="28" xr3:uid="{DE562D61-6F74-41E6-8FDA-8C21EABE60F4}" name="SAT_KEG_1" dataDxfId="21"/>
    <tableColumn id="29" xr3:uid="{3EADD96C-6652-4B64-9D55-FDF5026C4C42}" name="VOL_KEG_2"/>
    <tableColumn id="30" xr3:uid="{C13B8F85-2BC2-44CE-9CC4-377F0EFBB273}" name="SAT_KEG_2" dataDxfId="20"/>
    <tableColumn id="31" xr3:uid="{BC9D28A6-2958-4949-A919-338C7A4F39DE}" name="VOL_KEG_3"/>
    <tableColumn id="32" xr3:uid="{47189097-112B-4337-ABCB-B7D029F6BA0F}" name="SAT_KEG_3" dataDxfId="19"/>
    <tableColumn id="33" xr3:uid="{928C5C2C-20BD-4EC9-9446-8857181C26B8}" name="VOL_KEG_4"/>
    <tableColumn id="34" xr3:uid="{358615D4-C962-4A72-8560-334954E09110}" name="SAT_KEG_4" dataDxfId="18"/>
    <tableColumn id="35" xr3:uid="{3AB2D5D9-FADE-4173-BEA1-1CE53C8FC59F}" name="VOLKEG"/>
    <tableColumn id="36" xr3:uid="{FD1E2CB4-B975-4E20-AFBF-BFD1F7287F95}" name="SATKEG" dataDxfId="17"/>
    <tableColumn id="37" xr3:uid="{18F63D97-D189-42E0-9CC0-F1B5BD044A0B}" name="HARGASAT"/>
    <tableColumn id="38" xr3:uid="{448C53F6-C15A-489D-B115-0EB0C1A2058B}" name="TOTAL"/>
    <tableColumn id="39" xr3:uid="{AA5485E7-14D9-4EAF-9A9E-E4F5F4721326}" name="KODE_BLOKIR" dataDxfId="16"/>
    <tableColumn id="40" xr3:uid="{CB3D17F4-137A-43D1-B4AF-FDF0319FB9B3}" name="NILAI_BLOKIR"/>
    <tableColumn id="41" xr3:uid="{8AFCBE1D-6578-43D1-9159-146D39B30E22}" name="KODE_STS_HISTORY" dataDxfId="1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4"/>
    <tableColumn id="55" xr3:uid="{DB6EFD28-1529-411E-B159-DD011020A260}" name="Kegiatan" dataDxfId="13"/>
    <tableColumn id="56" xr3:uid="{2F360108-6D79-4B11-BBCC-013B6F79BCF2}" name="KRO" dataDxfId="12"/>
    <tableColumn id="57" xr3:uid="{E90D74C1-E1A7-4E38-AD43-C72B28CE2CC1}" name="Nama RO" dataDxfId="11"/>
    <tableColumn id="58" xr3:uid="{B523D496-3B20-4E80-9A9D-B075428D0D62}" name="Nama Komponen" dataDxfId="10"/>
    <tableColumn id="59" xr3:uid="{162D4E2D-7A66-4103-A2F6-3B6EE78D2318}" name="Nama SubKomponen" dataDxfId="9"/>
    <tableColumn id="60" xr3:uid="{C5621FDE-3CC3-42C0-BFCB-5ED15715768C}" name="Es2" dataDxfId="8"/>
    <tableColumn id="61" xr3:uid="{11ACDFA3-3BB0-4930-8B3C-901C7E2561FB}" name="Koord" dataDxfId="7"/>
    <tableColumn id="62" xr3:uid="{DED5D6AF-83A3-477F-BCD1-60CC335FD634}" name="SubKoord" dataDxfId="6"/>
    <tableColumn id="63" xr3:uid="{11E6C36B-CF7A-4701-A8AC-3B1ACD9812A4}" name="KetAkun" dataDxfId="5"/>
    <tableColumn id="64" xr3:uid="{C1A91565-DD43-470C-AE92-630F99291B42}" name="Uraian" dataDxfId="4"/>
    <tableColumn id="65" xr3:uid="{AA4C6B82-BD5E-4248-B8DB-4B25D2B3CC86}" name="Jenis Belanja" dataDxfId="3"/>
    <tableColumn id="66" xr3:uid="{4279E987-A663-4156-B046-04A84E0EACBD}" name="Status Akun" dataDxfId="2"/>
    <tableColumn id="67" xr3:uid="{80DDC1EC-11DC-497C-9F63-080DBEBC8D76}" name="Status Covid" dataDxfId="1"/>
    <tableColumn id="68" xr3:uid="{C3591F34-F7E4-45FB-9870-A5AEE3D3AB0D}" name="MAK" dataDxfId="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0" t="s">
        <v>577</v>
      </c>
      <c r="C1" s="520"/>
      <c r="D1" s="520"/>
      <c r="E1" s="520"/>
      <c r="F1" s="520"/>
      <c r="G1" s="520"/>
      <c r="I1" s="9"/>
    </row>
    <row r="2" spans="1:10" ht="15">
      <c r="B2" s="521" t="s">
        <v>593</v>
      </c>
      <c r="C2" s="521"/>
      <c r="D2" s="521"/>
      <c r="E2" s="521"/>
      <c r="F2" s="521"/>
      <c r="G2" s="521"/>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2" t="s">
        <v>585</v>
      </c>
      <c r="C9" s="524" t="s">
        <v>586</v>
      </c>
      <c r="D9" s="525" t="s">
        <v>587</v>
      </c>
      <c r="E9" s="522" t="s">
        <v>588</v>
      </c>
      <c r="F9" s="525" t="s">
        <v>589</v>
      </c>
      <c r="G9" s="525" t="s">
        <v>590</v>
      </c>
      <c r="I9" s="14"/>
    </row>
    <row r="10" spans="1:10" s="16" customFormat="1" ht="15">
      <c r="A10" s="15" t="s">
        <v>499</v>
      </c>
      <c r="B10" s="523"/>
      <c r="C10" s="523"/>
      <c r="D10" s="523"/>
      <c r="E10" s="526"/>
      <c r="F10" s="523"/>
      <c r="G10" s="523"/>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7" t="s">
        <v>575</v>
      </c>
      <c r="J13" s="518" t="s">
        <v>576</v>
      </c>
    </row>
    <row r="14" spans="1:10">
      <c r="A14" s="7" t="s">
        <v>199</v>
      </c>
      <c r="B14" s="25" t="s">
        <v>194</v>
      </c>
      <c r="C14" s="26" t="s">
        <v>2</v>
      </c>
      <c r="D14" s="25"/>
      <c r="E14" s="55"/>
      <c r="F14" s="27"/>
      <c r="G14" s="27">
        <v>1500000000</v>
      </c>
      <c r="I14" s="517"/>
      <c r="J14" s="518"/>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9"/>
      <c r="J22" s="519"/>
    </row>
    <row r="23" spans="1:10">
      <c r="A23" s="7" t="s">
        <v>208</v>
      </c>
      <c r="B23" s="43" t="s">
        <v>195</v>
      </c>
      <c r="C23" s="44" t="s">
        <v>599</v>
      </c>
      <c r="D23" s="47">
        <v>1</v>
      </c>
      <c r="E23" s="61" t="s">
        <v>9</v>
      </c>
      <c r="F23" s="45">
        <v>1000000</v>
      </c>
      <c r="G23" s="45">
        <v>1000000</v>
      </c>
      <c r="I23" s="519"/>
      <c r="J23" s="519"/>
    </row>
    <row r="24" spans="1:10">
      <c r="A24" s="7" t="s">
        <v>209</v>
      </c>
      <c r="B24" s="40" t="s">
        <v>513</v>
      </c>
      <c r="C24" s="41" t="s">
        <v>11</v>
      </c>
      <c r="D24" s="40"/>
      <c r="E24" s="60"/>
      <c r="F24" s="42"/>
      <c r="G24" s="42">
        <v>9000000</v>
      </c>
      <c r="I24" s="519"/>
      <c r="J24" s="519"/>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0" hidden="1" customWidth="1"/>
    <col min="2" max="2" width="16.28515625" style="388" customWidth="1"/>
    <col min="3" max="3" width="52.28515625" style="388" customWidth="1"/>
    <col min="4" max="4" width="5.85546875" style="388" bestFit="1" customWidth="1"/>
    <col min="5" max="5" width="10.28515625" style="388" bestFit="1" customWidth="1"/>
    <col min="6" max="6" width="15.28515625" style="388" bestFit="1" customWidth="1"/>
    <col min="7" max="7" width="16.28515625" style="388" customWidth="1"/>
    <col min="8" max="16384" width="14" style="380"/>
  </cols>
  <sheetData>
    <row r="1" spans="1:7" ht="15.75">
      <c r="A1" s="379"/>
      <c r="B1" s="527" t="s">
        <v>577</v>
      </c>
      <c r="C1" s="527"/>
      <c r="D1" s="527"/>
      <c r="E1" s="527"/>
      <c r="F1" s="527"/>
      <c r="G1" s="527"/>
    </row>
    <row r="2" spans="1:7" ht="15.75">
      <c r="A2" s="379"/>
      <c r="B2" s="527" t="s">
        <v>4831</v>
      </c>
      <c r="C2" s="527"/>
      <c r="D2" s="527"/>
      <c r="E2" s="527"/>
      <c r="F2" s="527"/>
      <c r="G2" s="527"/>
    </row>
    <row r="3" spans="1:7" ht="15.75">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75">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28" t="s">
        <v>585</v>
      </c>
      <c r="C9" s="530" t="s">
        <v>586</v>
      </c>
      <c r="D9" s="531" t="s">
        <v>587</v>
      </c>
      <c r="E9" s="528" t="s">
        <v>588</v>
      </c>
      <c r="F9" s="531" t="s">
        <v>589</v>
      </c>
      <c r="G9" s="531" t="s">
        <v>590</v>
      </c>
    </row>
    <row r="10" spans="1:7" ht="15">
      <c r="A10" s="389" t="s">
        <v>499</v>
      </c>
      <c r="B10" s="529"/>
      <c r="C10" s="529"/>
      <c r="D10" s="529"/>
      <c r="E10" s="529"/>
      <c r="F10" s="529"/>
      <c r="G10" s="529"/>
    </row>
    <row r="11" spans="1:7" s="392" customFormat="1" ht="11.25">
      <c r="A11" s="390"/>
      <c r="B11" s="391">
        <v>1</v>
      </c>
      <c r="C11" s="391">
        <v>2</v>
      </c>
      <c r="D11" s="391">
        <v>3</v>
      </c>
      <c r="E11" s="391">
        <v>4</v>
      </c>
      <c r="F11" s="391">
        <v>5</v>
      </c>
      <c r="G11" s="391">
        <v>6</v>
      </c>
    </row>
    <row r="12" spans="1:7" s="399" customFormat="1" ht="12.75">
      <c r="A12" s="393"/>
      <c r="B12" s="394"/>
      <c r="C12" s="395" t="s">
        <v>592</v>
      </c>
      <c r="D12" s="396"/>
      <c r="E12" s="397"/>
      <c r="F12" s="396"/>
      <c r="G12" s="398">
        <f>SUM(G13,G111)</f>
        <v>16863164000</v>
      </c>
    </row>
    <row r="13" spans="1:7" s="399" customFormat="1" ht="12.75">
      <c r="A13" s="379" t="s">
        <v>0</v>
      </c>
      <c r="B13" s="400" t="s">
        <v>0</v>
      </c>
      <c r="C13" s="401" t="s">
        <v>1</v>
      </c>
      <c r="D13" s="400"/>
      <c r="E13" s="400"/>
      <c r="F13" s="402"/>
      <c r="G13" s="402">
        <f t="shared" ref="G13:G15" si="0">G14</f>
        <v>1000000000</v>
      </c>
    </row>
    <row r="14" spans="1:7" s="399" customFormat="1" ht="12.75">
      <c r="A14" s="379" t="s">
        <v>419</v>
      </c>
      <c r="B14" s="403">
        <v>2376</v>
      </c>
      <c r="C14" s="404" t="s">
        <v>47</v>
      </c>
      <c r="D14" s="405"/>
      <c r="E14" s="403"/>
      <c r="F14" s="406"/>
      <c r="G14" s="406">
        <f t="shared" si="0"/>
        <v>1000000000</v>
      </c>
    </row>
    <row r="15" spans="1:7" s="399" customFormat="1" ht="12.75">
      <c r="A15" s="379" t="s">
        <v>420</v>
      </c>
      <c r="B15" s="407" t="s">
        <v>48</v>
      </c>
      <c r="C15" s="408" t="s">
        <v>594</v>
      </c>
      <c r="D15" s="409">
        <v>4</v>
      </c>
      <c r="E15" s="407" t="s">
        <v>3528</v>
      </c>
      <c r="F15" s="410"/>
      <c r="G15" s="410">
        <f t="shared" si="0"/>
        <v>1000000000</v>
      </c>
    </row>
    <row r="16" spans="1:7" s="399" customFormat="1" ht="25.5">
      <c r="A16" s="379" t="s">
        <v>421</v>
      </c>
      <c r="B16" s="411" t="s">
        <v>3540</v>
      </c>
      <c r="C16" s="412" t="s">
        <v>49</v>
      </c>
      <c r="D16" s="411">
        <v>4</v>
      </c>
      <c r="E16" s="411" t="s">
        <v>3528</v>
      </c>
      <c r="F16" s="413"/>
      <c r="G16" s="413">
        <f t="shared" ref="G16" si="1">SUM(G17,G38,G49,G98)</f>
        <v>1000000000</v>
      </c>
    </row>
    <row r="17" spans="1:7" s="399" customFormat="1" ht="12.75">
      <c r="A17" s="379" t="s">
        <v>422</v>
      </c>
      <c r="B17" s="414" t="s">
        <v>502</v>
      </c>
      <c r="C17" s="415" t="s">
        <v>50</v>
      </c>
      <c r="D17" s="416"/>
      <c r="E17" s="414"/>
      <c r="F17" s="417"/>
      <c r="G17" s="417">
        <f t="shared" ref="G17" si="2">SUM(G18,G28)</f>
        <v>124100000</v>
      </c>
    </row>
    <row r="18" spans="1:7" s="399" customFormat="1" ht="12.75">
      <c r="A18" s="379" t="s">
        <v>423</v>
      </c>
      <c r="B18" s="418" t="s">
        <v>8</v>
      </c>
      <c r="C18" s="419" t="s">
        <v>51</v>
      </c>
      <c r="D18" s="418"/>
      <c r="E18" s="418"/>
      <c r="F18" s="420"/>
      <c r="G18" s="420">
        <f t="shared" ref="G18" si="3">SUM(G19,G24,G26)</f>
        <v>83135000</v>
      </c>
    </row>
    <row r="19" spans="1:7" s="399" customFormat="1" ht="12.75">
      <c r="A19" s="379" t="s">
        <v>424</v>
      </c>
      <c r="B19" s="421">
        <v>521211</v>
      </c>
      <c r="C19" s="422" t="s">
        <v>7</v>
      </c>
      <c r="D19" s="423"/>
      <c r="E19" s="421"/>
      <c r="F19" s="424"/>
      <c r="G19" s="424">
        <f t="shared" ref="G19" si="4">SUM(G20:G23)</f>
        <v>19875000</v>
      </c>
    </row>
    <row r="20" spans="1:7" s="399" customFormat="1" ht="12.75">
      <c r="A20" s="379" t="s">
        <v>425</v>
      </c>
      <c r="B20" s="425"/>
      <c r="C20" s="426" t="s">
        <v>3541</v>
      </c>
      <c r="D20" s="427">
        <v>125</v>
      </c>
      <c r="E20" s="425" t="s">
        <v>10</v>
      </c>
      <c r="F20" s="428">
        <v>75000</v>
      </c>
      <c r="G20" s="428">
        <f t="shared" ref="G20:G23" si="5">ROUNDDOWN(D20*F20,-3)</f>
        <v>9375000</v>
      </c>
    </row>
    <row r="21" spans="1:7" s="399" customFormat="1" ht="12.75">
      <c r="A21" s="379" t="s">
        <v>426</v>
      </c>
      <c r="B21" s="425"/>
      <c r="C21" s="426" t="s">
        <v>3542</v>
      </c>
      <c r="D21" s="425">
        <v>3</v>
      </c>
      <c r="E21" s="425" t="s">
        <v>106</v>
      </c>
      <c r="F21" s="428">
        <v>1000000</v>
      </c>
      <c r="G21" s="428">
        <f t="shared" si="5"/>
        <v>3000000</v>
      </c>
    </row>
    <row r="22" spans="1:7" s="399" customFormat="1" ht="12.75">
      <c r="A22" s="379" t="s">
        <v>427</v>
      </c>
      <c r="B22" s="425"/>
      <c r="C22" s="426" t="s">
        <v>3530</v>
      </c>
      <c r="D22" s="427">
        <v>3</v>
      </c>
      <c r="E22" s="425" t="s">
        <v>106</v>
      </c>
      <c r="F22" s="428">
        <v>1000000</v>
      </c>
      <c r="G22" s="428">
        <f t="shared" si="5"/>
        <v>3000000</v>
      </c>
    </row>
    <row r="23" spans="1:7" s="399" customFormat="1" ht="12.75">
      <c r="A23" s="379" t="s">
        <v>428</v>
      </c>
      <c r="B23" s="425"/>
      <c r="C23" s="426" t="s">
        <v>3531</v>
      </c>
      <c r="D23" s="425">
        <v>3</v>
      </c>
      <c r="E23" s="425" t="s">
        <v>106</v>
      </c>
      <c r="F23" s="428">
        <v>1500000</v>
      </c>
      <c r="G23" s="428">
        <f t="shared" si="5"/>
        <v>4500000</v>
      </c>
    </row>
    <row r="24" spans="1:7" s="399" customFormat="1" ht="12.75">
      <c r="A24" s="379" t="s">
        <v>751</v>
      </c>
      <c r="B24" s="421">
        <v>522151</v>
      </c>
      <c r="C24" s="422" t="s">
        <v>11</v>
      </c>
      <c r="D24" s="423"/>
      <c r="E24" s="421"/>
      <c r="F24" s="424"/>
      <c r="G24" s="424">
        <f t="shared" ref="G24" si="6">G25</f>
        <v>20000000</v>
      </c>
    </row>
    <row r="25" spans="1:7" s="399" customFormat="1" ht="12.75">
      <c r="A25" s="379" t="s">
        <v>752</v>
      </c>
      <c r="B25" s="425"/>
      <c r="C25" s="426" t="s">
        <v>3543</v>
      </c>
      <c r="D25" s="425">
        <v>20</v>
      </c>
      <c r="E25" s="425" t="s">
        <v>54</v>
      </c>
      <c r="F25" s="428">
        <v>1000000</v>
      </c>
      <c r="G25" s="428">
        <f>ROUNDDOWN(D25*F25,-3)</f>
        <v>20000000</v>
      </c>
    </row>
    <row r="26" spans="1:7" s="399" customFormat="1" ht="12.75">
      <c r="A26" s="379" t="s">
        <v>429</v>
      </c>
      <c r="B26" s="421">
        <v>524111</v>
      </c>
      <c r="C26" s="422" t="s">
        <v>19</v>
      </c>
      <c r="D26" s="421"/>
      <c r="E26" s="421"/>
      <c r="F26" s="424"/>
      <c r="G26" s="424">
        <f t="shared" ref="G26" si="7">G27</f>
        <v>43260000</v>
      </c>
    </row>
    <row r="27" spans="1:7" s="399" customFormat="1" ht="25.5">
      <c r="A27" s="379" t="s">
        <v>430</v>
      </c>
      <c r="B27" s="425"/>
      <c r="C27" s="426" t="s">
        <v>3544</v>
      </c>
      <c r="D27" s="427">
        <v>9</v>
      </c>
      <c r="E27" s="425" t="s">
        <v>755</v>
      </c>
      <c r="F27" s="428">
        <v>4806667</v>
      </c>
      <c r="G27" s="428">
        <f>ROUNDDOWN(D27*F27,-3)</f>
        <v>43260000</v>
      </c>
    </row>
    <row r="28" spans="1:7" s="399" customFormat="1" ht="12.75">
      <c r="A28" s="379" t="s">
        <v>431</v>
      </c>
      <c r="B28" s="418" t="s">
        <v>508</v>
      </c>
      <c r="C28" s="419" t="s">
        <v>55</v>
      </c>
      <c r="D28" s="429"/>
      <c r="E28" s="418"/>
      <c r="F28" s="420"/>
      <c r="G28" s="420">
        <f t="shared" ref="G28" si="8">SUM(G29,G34,G36)</f>
        <v>40965000</v>
      </c>
    </row>
    <row r="29" spans="1:7" s="399" customFormat="1" ht="12.75">
      <c r="A29" s="379" t="s">
        <v>432</v>
      </c>
      <c r="B29" s="421">
        <v>521211</v>
      </c>
      <c r="C29" s="422" t="s">
        <v>7</v>
      </c>
      <c r="D29" s="423"/>
      <c r="E29" s="421"/>
      <c r="F29" s="424"/>
      <c r="G29" s="424">
        <f t="shared" ref="G29" si="9">SUM(G30:G33)</f>
        <v>19500000</v>
      </c>
    </row>
    <row r="30" spans="1:7" s="399" customFormat="1" ht="12.75">
      <c r="A30" s="379" t="s">
        <v>433</v>
      </c>
      <c r="B30" s="425"/>
      <c r="C30" s="426" t="s">
        <v>3541</v>
      </c>
      <c r="D30" s="425">
        <v>120</v>
      </c>
      <c r="E30" s="425" t="s">
        <v>10</v>
      </c>
      <c r="F30" s="428">
        <v>75000</v>
      </c>
      <c r="G30" s="428">
        <f t="shared" ref="G30:G33" si="10">ROUNDDOWN(D30*F30,-3)</f>
        <v>9000000</v>
      </c>
    </row>
    <row r="31" spans="1:7" s="399" customFormat="1" ht="12.75">
      <c r="A31" s="379" t="s">
        <v>434</v>
      </c>
      <c r="B31" s="425"/>
      <c r="C31" s="426" t="s">
        <v>3542</v>
      </c>
      <c r="D31" s="427">
        <v>3</v>
      </c>
      <c r="E31" s="425" t="s">
        <v>106</v>
      </c>
      <c r="F31" s="428">
        <v>1000000</v>
      </c>
      <c r="G31" s="428">
        <f t="shared" si="10"/>
        <v>3000000</v>
      </c>
    </row>
    <row r="32" spans="1:7" s="399" customFormat="1" ht="12.75">
      <c r="A32" s="379" t="s">
        <v>435</v>
      </c>
      <c r="B32" s="425"/>
      <c r="C32" s="426" t="s">
        <v>3530</v>
      </c>
      <c r="D32" s="425">
        <v>3</v>
      </c>
      <c r="E32" s="425" t="s">
        <v>106</v>
      </c>
      <c r="F32" s="428">
        <v>1000000</v>
      </c>
      <c r="G32" s="428">
        <f t="shared" si="10"/>
        <v>3000000</v>
      </c>
    </row>
    <row r="33" spans="1:7" s="399" customFormat="1" ht="12.75">
      <c r="A33" s="379" t="s">
        <v>436</v>
      </c>
      <c r="B33" s="425"/>
      <c r="C33" s="426" t="s">
        <v>3531</v>
      </c>
      <c r="D33" s="427">
        <v>3</v>
      </c>
      <c r="E33" s="425" t="s">
        <v>106</v>
      </c>
      <c r="F33" s="428">
        <v>1500000</v>
      </c>
      <c r="G33" s="428">
        <f t="shared" si="10"/>
        <v>4500000</v>
      </c>
    </row>
    <row r="34" spans="1:7" s="399" customFormat="1" ht="12.75">
      <c r="A34" s="379" t="s">
        <v>756</v>
      </c>
      <c r="B34" s="421">
        <v>522151</v>
      </c>
      <c r="C34" s="422" t="s">
        <v>11</v>
      </c>
      <c r="D34" s="423"/>
      <c r="E34" s="421"/>
      <c r="F34" s="424"/>
      <c r="G34" s="424">
        <f t="shared" ref="G34" si="11">G35</f>
        <v>4000000</v>
      </c>
    </row>
    <row r="35" spans="1:7" s="399" customFormat="1" ht="12.75">
      <c r="A35" s="379" t="s">
        <v>757</v>
      </c>
      <c r="B35" s="425"/>
      <c r="C35" s="426" t="s">
        <v>3543</v>
      </c>
      <c r="D35" s="425">
        <v>4</v>
      </c>
      <c r="E35" s="425" t="s">
        <v>54</v>
      </c>
      <c r="F35" s="428">
        <v>1000000</v>
      </c>
      <c r="G35" s="428">
        <f>ROUNDDOWN(D35*F35,-3)</f>
        <v>4000000</v>
      </c>
    </row>
    <row r="36" spans="1:7" s="399" customFormat="1" ht="12.75">
      <c r="A36" s="379" t="s">
        <v>437</v>
      </c>
      <c r="B36" s="421">
        <v>524111</v>
      </c>
      <c r="C36" s="422" t="s">
        <v>19</v>
      </c>
      <c r="D36" s="423"/>
      <c r="E36" s="421"/>
      <c r="F36" s="424"/>
      <c r="G36" s="424">
        <f t="shared" ref="G36" si="12">G37</f>
        <v>17465000</v>
      </c>
    </row>
    <row r="37" spans="1:7" s="399" customFormat="1" ht="25.5">
      <c r="A37" s="379" t="s">
        <v>438</v>
      </c>
      <c r="B37" s="425"/>
      <c r="C37" s="426" t="s">
        <v>4832</v>
      </c>
      <c r="D37" s="425">
        <v>6</v>
      </c>
      <c r="E37" s="425" t="s">
        <v>755</v>
      </c>
      <c r="F37" s="428">
        <v>2910883</v>
      </c>
      <c r="G37" s="428">
        <f>ROUNDDOWN(D37*F37,-3)</f>
        <v>17465000</v>
      </c>
    </row>
    <row r="38" spans="1:7" s="399" customFormat="1" ht="25.5">
      <c r="A38" s="379" t="s">
        <v>439</v>
      </c>
      <c r="B38" s="414" t="s">
        <v>517</v>
      </c>
      <c r="C38" s="415" t="s">
        <v>57</v>
      </c>
      <c r="D38" s="416"/>
      <c r="E38" s="414"/>
      <c r="F38" s="417"/>
      <c r="G38" s="417">
        <f t="shared" ref="G38" si="13">G39</f>
        <v>54500000</v>
      </c>
    </row>
    <row r="39" spans="1:7" s="399" customFormat="1" ht="25.5">
      <c r="A39" s="379" t="s">
        <v>440</v>
      </c>
      <c r="B39" s="418" t="s">
        <v>8</v>
      </c>
      <c r="C39" s="419" t="s">
        <v>59</v>
      </c>
      <c r="D39" s="418"/>
      <c r="E39" s="418"/>
      <c r="F39" s="420"/>
      <c r="G39" s="420">
        <f t="shared" ref="G39" si="14">SUM(G40,G47)</f>
        <v>54500000</v>
      </c>
    </row>
    <row r="40" spans="1:7" s="399" customFormat="1" ht="12.75">
      <c r="A40" s="379" t="s">
        <v>441</v>
      </c>
      <c r="B40" s="421">
        <v>521211</v>
      </c>
      <c r="C40" s="422" t="s">
        <v>7</v>
      </c>
      <c r="D40" s="421"/>
      <c r="E40" s="421"/>
      <c r="F40" s="424"/>
      <c r="G40" s="424">
        <f t="shared" ref="G40" si="15">SUM(G41:G46)</f>
        <v>21250000</v>
      </c>
    </row>
    <row r="41" spans="1:7" s="399" customFormat="1" ht="12.75">
      <c r="A41" s="379" t="s">
        <v>442</v>
      </c>
      <c r="B41" s="425"/>
      <c r="C41" s="426" t="s">
        <v>3541</v>
      </c>
      <c r="D41" s="427">
        <v>50</v>
      </c>
      <c r="E41" s="425" t="s">
        <v>10</v>
      </c>
      <c r="F41" s="428">
        <v>75000</v>
      </c>
      <c r="G41" s="428">
        <f t="shared" ref="G41:G46" si="16">ROUNDDOWN(D41*F41,-3)</f>
        <v>3750000</v>
      </c>
    </row>
    <row r="42" spans="1:7" s="399" customFormat="1" ht="12.75">
      <c r="A42" s="379" t="s">
        <v>443</v>
      </c>
      <c r="B42" s="425"/>
      <c r="C42" s="426" t="s">
        <v>3542</v>
      </c>
      <c r="D42" s="427">
        <v>1</v>
      </c>
      <c r="E42" s="425" t="s">
        <v>106</v>
      </c>
      <c r="F42" s="428">
        <v>1000000</v>
      </c>
      <c r="G42" s="428">
        <f t="shared" si="16"/>
        <v>1000000</v>
      </c>
    </row>
    <row r="43" spans="1:7" s="399" customFormat="1" ht="12.75">
      <c r="A43" s="379" t="s">
        <v>444</v>
      </c>
      <c r="B43" s="425"/>
      <c r="C43" s="426" t="s">
        <v>3530</v>
      </c>
      <c r="D43" s="425">
        <v>2</v>
      </c>
      <c r="E43" s="425" t="s">
        <v>106</v>
      </c>
      <c r="F43" s="428">
        <v>1000000</v>
      </c>
      <c r="G43" s="428">
        <f t="shared" si="16"/>
        <v>2000000</v>
      </c>
    </row>
    <row r="44" spans="1:7" s="399" customFormat="1" ht="12.75">
      <c r="A44" s="379" t="s">
        <v>445</v>
      </c>
      <c r="B44" s="425"/>
      <c r="C44" s="426" t="s">
        <v>3531</v>
      </c>
      <c r="D44" s="425">
        <v>2</v>
      </c>
      <c r="E44" s="425" t="s">
        <v>106</v>
      </c>
      <c r="F44" s="428">
        <v>1500000</v>
      </c>
      <c r="G44" s="428">
        <f t="shared" si="16"/>
        <v>3000000</v>
      </c>
    </row>
    <row r="45" spans="1:7" s="399" customFormat="1" ht="12.75">
      <c r="A45" s="379" t="s">
        <v>446</v>
      </c>
      <c r="B45" s="425"/>
      <c r="C45" s="426" t="s">
        <v>3545</v>
      </c>
      <c r="D45" s="425">
        <v>23</v>
      </c>
      <c r="E45" s="425" t="s">
        <v>176</v>
      </c>
      <c r="F45" s="428">
        <v>250000</v>
      </c>
      <c r="G45" s="428">
        <f t="shared" si="16"/>
        <v>5750000</v>
      </c>
    </row>
    <row r="46" spans="1:7" s="399" customFormat="1" ht="12.75">
      <c r="A46" s="379" t="s">
        <v>447</v>
      </c>
      <c r="B46" s="425"/>
      <c r="C46" s="426" t="s">
        <v>3546</v>
      </c>
      <c r="D46" s="425">
        <v>23</v>
      </c>
      <c r="E46" s="425" t="s">
        <v>58</v>
      </c>
      <c r="F46" s="428">
        <v>250000</v>
      </c>
      <c r="G46" s="428">
        <f t="shared" si="16"/>
        <v>5750000</v>
      </c>
    </row>
    <row r="47" spans="1:7" s="399" customFormat="1" ht="12.75">
      <c r="A47" s="379" t="s">
        <v>448</v>
      </c>
      <c r="B47" s="421">
        <v>524111</v>
      </c>
      <c r="C47" s="422" t="s">
        <v>19</v>
      </c>
      <c r="D47" s="423"/>
      <c r="E47" s="421"/>
      <c r="F47" s="424"/>
      <c r="G47" s="424">
        <f t="shared" ref="G47" si="17">G48</f>
        <v>33250000</v>
      </c>
    </row>
    <row r="48" spans="1:7" s="399" customFormat="1" ht="25.5">
      <c r="A48" s="379" t="s">
        <v>449</v>
      </c>
      <c r="B48" s="425"/>
      <c r="C48" s="426" t="s">
        <v>3547</v>
      </c>
      <c r="D48" s="427">
        <v>14</v>
      </c>
      <c r="E48" s="425" t="s">
        <v>755</v>
      </c>
      <c r="F48" s="428">
        <v>2375000</v>
      </c>
      <c r="G48" s="428">
        <f>ROUNDDOWN(D48*F48,-3)</f>
        <v>33250000</v>
      </c>
    </row>
    <row r="49" spans="1:7" s="399" customFormat="1" ht="12.75">
      <c r="A49" s="379" t="s">
        <v>450</v>
      </c>
      <c r="B49" s="414" t="s">
        <v>519</v>
      </c>
      <c r="C49" s="415" t="s">
        <v>61</v>
      </c>
      <c r="D49" s="416"/>
      <c r="E49" s="414"/>
      <c r="F49" s="417"/>
      <c r="G49" s="417">
        <f t="shared" ref="G49" si="18">SUM(G50,G69,G86)</f>
        <v>686300000</v>
      </c>
    </row>
    <row r="50" spans="1:7" s="399" customFormat="1" ht="12.75">
      <c r="A50" s="379" t="s">
        <v>451</v>
      </c>
      <c r="B50" s="418" t="s">
        <v>8</v>
      </c>
      <c r="C50" s="419" t="s">
        <v>62</v>
      </c>
      <c r="D50" s="418"/>
      <c r="E50" s="418"/>
      <c r="F50" s="420"/>
      <c r="G50" s="420">
        <f t="shared" ref="G50" si="19">SUM(G51,G55,G58,G61,G63,G65,G67)</f>
        <v>386924000</v>
      </c>
    </row>
    <row r="51" spans="1:7" s="399" customFormat="1" ht="12.75">
      <c r="A51" s="379" t="s">
        <v>452</v>
      </c>
      <c r="B51" s="421">
        <v>521211</v>
      </c>
      <c r="C51" s="422" t="s">
        <v>7</v>
      </c>
      <c r="D51" s="423"/>
      <c r="E51" s="421"/>
      <c r="F51" s="424"/>
      <c r="G51" s="424">
        <f t="shared" ref="G51" si="20">SUM(G52:G54)</f>
        <v>64900000</v>
      </c>
    </row>
    <row r="52" spans="1:7" s="399" customFormat="1" ht="12.75">
      <c r="A52" s="379" t="s">
        <v>453</v>
      </c>
      <c r="B52" s="425"/>
      <c r="C52" s="426" t="s">
        <v>3529</v>
      </c>
      <c r="D52" s="427">
        <v>12</v>
      </c>
      <c r="E52" s="425" t="s">
        <v>106</v>
      </c>
      <c r="F52" s="428">
        <v>1500000</v>
      </c>
      <c r="G52" s="428">
        <f t="shared" ref="G52:G54" si="21">ROUNDDOWN(D52*F52,-3)</f>
        <v>18000000</v>
      </c>
    </row>
    <row r="53" spans="1:7" s="399" customFormat="1" ht="12.75">
      <c r="A53" s="379" t="s">
        <v>454</v>
      </c>
      <c r="B53" s="425"/>
      <c r="C53" s="426" t="s">
        <v>3548</v>
      </c>
      <c r="D53" s="425">
        <v>100</v>
      </c>
      <c r="E53" s="425" t="s">
        <v>25</v>
      </c>
      <c r="F53" s="428">
        <v>69000</v>
      </c>
      <c r="G53" s="428">
        <f t="shared" si="21"/>
        <v>6900000</v>
      </c>
    </row>
    <row r="54" spans="1:7" s="399" customFormat="1" ht="12.75">
      <c r="A54" s="379" t="s">
        <v>762</v>
      </c>
      <c r="B54" s="425"/>
      <c r="C54" s="426" t="s">
        <v>3549</v>
      </c>
      <c r="D54" s="427">
        <v>80</v>
      </c>
      <c r="E54" s="425" t="s">
        <v>58</v>
      </c>
      <c r="F54" s="428">
        <v>500000</v>
      </c>
      <c r="G54" s="428">
        <f t="shared" si="21"/>
        <v>40000000</v>
      </c>
    </row>
    <row r="55" spans="1:7" s="399" customFormat="1" ht="12.75">
      <c r="A55" s="379" t="s">
        <v>455</v>
      </c>
      <c r="B55" s="421">
        <v>521219</v>
      </c>
      <c r="C55" s="422" t="s">
        <v>53</v>
      </c>
      <c r="D55" s="421"/>
      <c r="E55" s="421"/>
      <c r="F55" s="424"/>
      <c r="G55" s="424">
        <f t="shared" ref="G55" si="22">SUM(G56:G57)</f>
        <v>6000000</v>
      </c>
    </row>
    <row r="56" spans="1:7" s="399" customFormat="1" ht="12.75">
      <c r="A56" s="379" t="s">
        <v>456</v>
      </c>
      <c r="B56" s="425"/>
      <c r="C56" s="426" t="s">
        <v>3550</v>
      </c>
      <c r="D56" s="425">
        <v>4</v>
      </c>
      <c r="E56" s="425" t="s">
        <v>106</v>
      </c>
      <c r="F56" s="428">
        <v>250000</v>
      </c>
      <c r="G56" s="428">
        <f t="shared" ref="G56:G57" si="23">ROUNDDOWN(D56*F56,-3)</f>
        <v>1000000</v>
      </c>
    </row>
    <row r="57" spans="1:7" s="399" customFormat="1" ht="12.75">
      <c r="A57" s="379" t="s">
        <v>457</v>
      </c>
      <c r="B57" s="425"/>
      <c r="C57" s="426" t="s">
        <v>3551</v>
      </c>
      <c r="D57" s="427">
        <v>10</v>
      </c>
      <c r="E57" s="425" t="s">
        <v>106</v>
      </c>
      <c r="F57" s="428">
        <v>500000</v>
      </c>
      <c r="G57" s="428">
        <f t="shared" si="23"/>
        <v>5000000</v>
      </c>
    </row>
    <row r="58" spans="1:7" s="399" customFormat="1" ht="12.75">
      <c r="A58" s="379" t="s">
        <v>458</v>
      </c>
      <c r="B58" s="421">
        <v>521811</v>
      </c>
      <c r="C58" s="422" t="s">
        <v>64</v>
      </c>
      <c r="D58" s="423"/>
      <c r="E58" s="421"/>
      <c r="F58" s="424"/>
      <c r="G58" s="424">
        <f t="shared" ref="G58" si="24">SUM(G59:G60)</f>
        <v>30000000</v>
      </c>
    </row>
    <row r="59" spans="1:7" s="399" customFormat="1" ht="12.75">
      <c r="A59" s="379" t="s">
        <v>459</v>
      </c>
      <c r="B59" s="425"/>
      <c r="C59" s="426" t="s">
        <v>3535</v>
      </c>
      <c r="D59" s="427">
        <v>12</v>
      </c>
      <c r="E59" s="425" t="s">
        <v>106</v>
      </c>
      <c r="F59" s="428">
        <v>1000000</v>
      </c>
      <c r="G59" s="428">
        <f t="shared" ref="G59:G60" si="25">ROUNDDOWN(D59*F59,-3)</f>
        <v>12000000</v>
      </c>
    </row>
    <row r="60" spans="1:7" s="399" customFormat="1" ht="12.75">
      <c r="A60" s="379" t="s">
        <v>460</v>
      </c>
      <c r="B60" s="425"/>
      <c r="C60" s="426" t="s">
        <v>3536</v>
      </c>
      <c r="D60" s="427">
        <v>12</v>
      </c>
      <c r="E60" s="425" t="s">
        <v>106</v>
      </c>
      <c r="F60" s="428">
        <v>1500000</v>
      </c>
      <c r="G60" s="428">
        <f t="shared" si="25"/>
        <v>18000000</v>
      </c>
    </row>
    <row r="61" spans="1:7" s="399" customFormat="1" ht="12.75">
      <c r="A61" s="379" t="s">
        <v>461</v>
      </c>
      <c r="B61" s="421">
        <v>522151</v>
      </c>
      <c r="C61" s="422" t="s">
        <v>11</v>
      </c>
      <c r="D61" s="421"/>
      <c r="E61" s="421"/>
      <c r="F61" s="424"/>
      <c r="G61" s="424">
        <f t="shared" ref="G61" si="26">G62</f>
        <v>25200000</v>
      </c>
    </row>
    <row r="62" spans="1:7" s="399" customFormat="1" ht="12.75">
      <c r="A62" s="379" t="s">
        <v>462</v>
      </c>
      <c r="B62" s="425"/>
      <c r="C62" s="426" t="s">
        <v>3543</v>
      </c>
      <c r="D62" s="427">
        <v>28</v>
      </c>
      <c r="E62" s="425" t="s">
        <v>54</v>
      </c>
      <c r="F62" s="428">
        <v>900000</v>
      </c>
      <c r="G62" s="428">
        <f>ROUNDDOWN(D62*F62,-3)</f>
        <v>25200000</v>
      </c>
    </row>
    <row r="63" spans="1:7" s="399" customFormat="1" ht="12.75">
      <c r="A63" s="379" t="s">
        <v>463</v>
      </c>
      <c r="B63" s="421">
        <v>522192</v>
      </c>
      <c r="C63" s="422" t="s">
        <v>24</v>
      </c>
      <c r="D63" s="421"/>
      <c r="E63" s="421"/>
      <c r="F63" s="424"/>
      <c r="G63" s="424">
        <f t="shared" ref="G63" si="27">G64</f>
        <v>6000000</v>
      </c>
    </row>
    <row r="64" spans="1:7" s="399" customFormat="1" ht="12.75">
      <c r="A64" s="379" t="s">
        <v>464</v>
      </c>
      <c r="B64" s="425"/>
      <c r="C64" s="426" t="s">
        <v>3552</v>
      </c>
      <c r="D64" s="425">
        <v>1</v>
      </c>
      <c r="E64" s="425" t="s">
        <v>60</v>
      </c>
      <c r="F64" s="428">
        <v>6000000</v>
      </c>
      <c r="G64" s="428">
        <f>ROUNDDOWN(D64*F64,-3)</f>
        <v>6000000</v>
      </c>
    </row>
    <row r="65" spans="1:7" s="399" customFormat="1" ht="12.75">
      <c r="A65" s="379" t="s">
        <v>465</v>
      </c>
      <c r="B65" s="421">
        <v>524111</v>
      </c>
      <c r="C65" s="422" t="s">
        <v>19</v>
      </c>
      <c r="D65" s="423"/>
      <c r="E65" s="421"/>
      <c r="F65" s="424"/>
      <c r="G65" s="424">
        <f t="shared" ref="G65" si="28">G66</f>
        <v>253324000</v>
      </c>
    </row>
    <row r="66" spans="1:7" s="399" customFormat="1" ht="25.5">
      <c r="A66" s="379" t="s">
        <v>466</v>
      </c>
      <c r="B66" s="425"/>
      <c r="C66" s="426" t="s">
        <v>3553</v>
      </c>
      <c r="D66" s="427">
        <v>44</v>
      </c>
      <c r="E66" s="425" t="s">
        <v>755</v>
      </c>
      <c r="F66" s="428">
        <v>5757364</v>
      </c>
      <c r="G66" s="428">
        <f>ROUNDDOWN(D66*F66,-3)</f>
        <v>253324000</v>
      </c>
    </row>
    <row r="67" spans="1:7" s="399" customFormat="1" ht="12.75">
      <c r="A67" s="379" t="s">
        <v>467</v>
      </c>
      <c r="B67" s="421">
        <v>524113</v>
      </c>
      <c r="C67" s="422" t="s">
        <v>13</v>
      </c>
      <c r="D67" s="421"/>
      <c r="E67" s="421"/>
      <c r="F67" s="424"/>
      <c r="G67" s="424">
        <f t="shared" ref="G67" si="29">G68</f>
        <v>1500000</v>
      </c>
    </row>
    <row r="68" spans="1:7" s="399" customFormat="1" ht="12.75">
      <c r="A68" s="379" t="s">
        <v>468</v>
      </c>
      <c r="B68" s="425"/>
      <c r="C68" s="426" t="s">
        <v>3534</v>
      </c>
      <c r="D68" s="427">
        <v>10</v>
      </c>
      <c r="E68" s="425" t="s">
        <v>10</v>
      </c>
      <c r="F68" s="428">
        <v>150000</v>
      </c>
      <c r="G68" s="428">
        <f>ROUNDDOWN(D68*F68,-3)</f>
        <v>1500000</v>
      </c>
    </row>
    <row r="69" spans="1:7" s="399" customFormat="1" ht="12.75">
      <c r="A69" s="379" t="s">
        <v>469</v>
      </c>
      <c r="B69" s="418" t="s">
        <v>508</v>
      </c>
      <c r="C69" s="419" t="s">
        <v>65</v>
      </c>
      <c r="D69" s="429"/>
      <c r="E69" s="418"/>
      <c r="F69" s="420"/>
      <c r="G69" s="420">
        <f t="shared" ref="G69" si="30">SUM(G70,G74,G77,G80,G82,G84)</f>
        <v>247816000</v>
      </c>
    </row>
    <row r="70" spans="1:7" s="399" customFormat="1" ht="12.75">
      <c r="A70" s="379" t="s">
        <v>470</v>
      </c>
      <c r="B70" s="421">
        <v>521211</v>
      </c>
      <c r="C70" s="422" t="s">
        <v>7</v>
      </c>
      <c r="D70" s="421"/>
      <c r="E70" s="421"/>
      <c r="F70" s="424"/>
      <c r="G70" s="424">
        <f t="shared" ref="G70" si="31">SUM(G71:G73)</f>
        <v>71456000</v>
      </c>
    </row>
    <row r="71" spans="1:7" s="399" customFormat="1" ht="12.75">
      <c r="A71" s="379" t="s">
        <v>471</v>
      </c>
      <c r="B71" s="425"/>
      <c r="C71" s="426" t="s">
        <v>3554</v>
      </c>
      <c r="D71" s="427">
        <v>224</v>
      </c>
      <c r="E71" s="425" t="s">
        <v>25</v>
      </c>
      <c r="F71" s="428">
        <v>69000</v>
      </c>
      <c r="G71" s="428">
        <f t="shared" ref="G71:G73" si="32">ROUNDDOWN(D71*F71,-3)</f>
        <v>15456000</v>
      </c>
    </row>
    <row r="72" spans="1:7" s="399" customFormat="1" ht="12.75">
      <c r="A72" s="379" t="s">
        <v>472</v>
      </c>
      <c r="B72" s="425"/>
      <c r="C72" s="426" t="s">
        <v>3542</v>
      </c>
      <c r="D72" s="425">
        <v>4</v>
      </c>
      <c r="E72" s="425" t="s">
        <v>106</v>
      </c>
      <c r="F72" s="428">
        <v>1500000</v>
      </c>
      <c r="G72" s="428">
        <f t="shared" si="32"/>
        <v>6000000</v>
      </c>
    </row>
    <row r="73" spans="1:7" s="399" customFormat="1" ht="12.75">
      <c r="A73" s="379" t="s">
        <v>768</v>
      </c>
      <c r="B73" s="425"/>
      <c r="C73" s="426" t="s">
        <v>3555</v>
      </c>
      <c r="D73" s="425">
        <v>100</v>
      </c>
      <c r="E73" s="425" t="s">
        <v>770</v>
      </c>
      <c r="F73" s="428">
        <v>500000</v>
      </c>
      <c r="G73" s="428">
        <f t="shared" si="32"/>
        <v>50000000</v>
      </c>
    </row>
    <row r="74" spans="1:7" s="399" customFormat="1" ht="12.75">
      <c r="A74" s="379" t="s">
        <v>473</v>
      </c>
      <c r="B74" s="421">
        <v>521219</v>
      </c>
      <c r="C74" s="422" t="s">
        <v>53</v>
      </c>
      <c r="D74" s="423"/>
      <c r="E74" s="421"/>
      <c r="F74" s="424"/>
      <c r="G74" s="424">
        <f t="shared" ref="G74" si="33">SUM(G75:G76)</f>
        <v>5000000</v>
      </c>
    </row>
    <row r="75" spans="1:7" s="399" customFormat="1" ht="12.75">
      <c r="A75" s="379" t="s">
        <v>474</v>
      </c>
      <c r="B75" s="425"/>
      <c r="C75" s="426" t="s">
        <v>3550</v>
      </c>
      <c r="D75" s="427">
        <v>4</v>
      </c>
      <c r="E75" s="425" t="s">
        <v>106</v>
      </c>
      <c r="F75" s="428">
        <v>250000</v>
      </c>
      <c r="G75" s="428">
        <f t="shared" ref="G75:G76" si="34">ROUNDDOWN(D75*F75,-3)</f>
        <v>1000000</v>
      </c>
    </row>
    <row r="76" spans="1:7" s="399" customFormat="1" ht="12.75">
      <c r="A76" s="379" t="s">
        <v>771</v>
      </c>
      <c r="B76" s="425"/>
      <c r="C76" s="426" t="s">
        <v>3551</v>
      </c>
      <c r="D76" s="425">
        <v>8</v>
      </c>
      <c r="E76" s="425" t="s">
        <v>106</v>
      </c>
      <c r="F76" s="428">
        <v>500000</v>
      </c>
      <c r="G76" s="428">
        <f t="shared" si="34"/>
        <v>4000000</v>
      </c>
    </row>
    <row r="77" spans="1:7" s="399" customFormat="1" ht="12.75">
      <c r="A77" s="379" t="s">
        <v>475</v>
      </c>
      <c r="B77" s="421">
        <v>521811</v>
      </c>
      <c r="C77" s="422" t="s">
        <v>64</v>
      </c>
      <c r="D77" s="423"/>
      <c r="E77" s="421"/>
      <c r="F77" s="424"/>
      <c r="G77" s="424">
        <f t="shared" ref="G77" si="35">SUM(G78:G79)</f>
        <v>15000000</v>
      </c>
    </row>
    <row r="78" spans="1:7" s="399" customFormat="1" ht="12.75">
      <c r="A78" s="379" t="s">
        <v>476</v>
      </c>
      <c r="B78" s="425"/>
      <c r="C78" s="426" t="s">
        <v>3535</v>
      </c>
      <c r="D78" s="427">
        <v>6</v>
      </c>
      <c r="E78" s="425" t="s">
        <v>106</v>
      </c>
      <c r="F78" s="428">
        <v>1000000</v>
      </c>
      <c r="G78" s="428">
        <f t="shared" ref="G78:G79" si="36">ROUNDDOWN(D78*F78,-3)</f>
        <v>6000000</v>
      </c>
    </row>
    <row r="79" spans="1:7" s="399" customFormat="1" ht="12.75">
      <c r="A79" s="379" t="s">
        <v>477</v>
      </c>
      <c r="B79" s="425"/>
      <c r="C79" s="426" t="s">
        <v>3536</v>
      </c>
      <c r="D79" s="425">
        <v>6</v>
      </c>
      <c r="E79" s="425" t="s">
        <v>106</v>
      </c>
      <c r="F79" s="428">
        <v>1500000</v>
      </c>
      <c r="G79" s="428">
        <f t="shared" si="36"/>
        <v>9000000</v>
      </c>
    </row>
    <row r="80" spans="1:7" s="399" customFormat="1" ht="12.75">
      <c r="A80" s="379" t="s">
        <v>478</v>
      </c>
      <c r="B80" s="421">
        <v>522151</v>
      </c>
      <c r="C80" s="422" t="s">
        <v>11</v>
      </c>
      <c r="D80" s="423"/>
      <c r="E80" s="421"/>
      <c r="F80" s="424"/>
      <c r="G80" s="424">
        <f t="shared" ref="G80" si="37">G81</f>
        <v>16200000</v>
      </c>
    </row>
    <row r="81" spans="1:7" s="399" customFormat="1" ht="12.75">
      <c r="A81" s="379" t="s">
        <v>479</v>
      </c>
      <c r="B81" s="425"/>
      <c r="C81" s="426" t="s">
        <v>3543</v>
      </c>
      <c r="D81" s="425">
        <v>18</v>
      </c>
      <c r="E81" s="425" t="s">
        <v>54</v>
      </c>
      <c r="F81" s="428">
        <v>900000</v>
      </c>
      <c r="G81" s="428">
        <f>ROUNDDOWN(D81*F81,-3)</f>
        <v>16200000</v>
      </c>
    </row>
    <row r="82" spans="1:7" s="399" customFormat="1" ht="12.75">
      <c r="A82" s="379" t="s">
        <v>480</v>
      </c>
      <c r="B82" s="421">
        <v>522192</v>
      </c>
      <c r="C82" s="422" t="s">
        <v>24</v>
      </c>
      <c r="D82" s="421"/>
      <c r="E82" s="421"/>
      <c r="F82" s="424"/>
      <c r="G82" s="424">
        <f t="shared" ref="G82" si="38">G83</f>
        <v>2000000</v>
      </c>
    </row>
    <row r="83" spans="1:7" s="399" customFormat="1" ht="12.75">
      <c r="A83" s="379" t="s">
        <v>481</v>
      </c>
      <c r="B83" s="425"/>
      <c r="C83" s="426" t="s">
        <v>3552</v>
      </c>
      <c r="D83" s="427">
        <v>1</v>
      </c>
      <c r="E83" s="425" t="s">
        <v>60</v>
      </c>
      <c r="F83" s="428">
        <v>2000000</v>
      </c>
      <c r="G83" s="428">
        <f>ROUNDDOWN(D83*F83,-3)</f>
        <v>2000000</v>
      </c>
    </row>
    <row r="84" spans="1:7" s="399" customFormat="1" ht="12.75">
      <c r="A84" s="379" t="s">
        <v>482</v>
      </c>
      <c r="B84" s="421">
        <v>524111</v>
      </c>
      <c r="C84" s="422" t="s">
        <v>19</v>
      </c>
      <c r="D84" s="423"/>
      <c r="E84" s="421"/>
      <c r="F84" s="424"/>
      <c r="G84" s="424">
        <f t="shared" ref="G84" si="39">G85</f>
        <v>138160000</v>
      </c>
    </row>
    <row r="85" spans="1:7" s="399" customFormat="1" ht="12.75">
      <c r="A85" s="379" t="s">
        <v>483</v>
      </c>
      <c r="B85" s="425"/>
      <c r="C85" s="426" t="s">
        <v>3556</v>
      </c>
      <c r="D85" s="425">
        <v>22</v>
      </c>
      <c r="E85" s="425" t="s">
        <v>755</v>
      </c>
      <c r="F85" s="428">
        <v>6280000</v>
      </c>
      <c r="G85" s="428">
        <f>ROUNDDOWN(D85*F85,-3)</f>
        <v>138160000</v>
      </c>
    </row>
    <row r="86" spans="1:7" s="399" customFormat="1" ht="12.75">
      <c r="A86" s="379" t="s">
        <v>773</v>
      </c>
      <c r="B86" s="418" t="s">
        <v>509</v>
      </c>
      <c r="C86" s="419" t="s">
        <v>774</v>
      </c>
      <c r="D86" s="429"/>
      <c r="E86" s="418"/>
      <c r="F86" s="420"/>
      <c r="G86" s="420">
        <f t="shared" ref="G86" si="40">SUM(G87,G92,G94,G96)</f>
        <v>51560000</v>
      </c>
    </row>
    <row r="87" spans="1:7" s="399" customFormat="1" ht="12.75">
      <c r="A87" s="379" t="s">
        <v>775</v>
      </c>
      <c r="B87" s="421">
        <v>521211</v>
      </c>
      <c r="C87" s="422" t="s">
        <v>7</v>
      </c>
      <c r="D87" s="423"/>
      <c r="E87" s="421"/>
      <c r="F87" s="424"/>
      <c r="G87" s="424">
        <f t="shared" ref="G87" si="41">SUM(G88:G91)</f>
        <v>20830000</v>
      </c>
    </row>
    <row r="88" spans="1:7" s="399" customFormat="1" ht="12.75">
      <c r="A88" s="379" t="s">
        <v>776</v>
      </c>
      <c r="B88" s="425"/>
      <c r="C88" s="426" t="s">
        <v>3535</v>
      </c>
      <c r="D88" s="425">
        <v>4</v>
      </c>
      <c r="E88" s="425" t="s">
        <v>106</v>
      </c>
      <c r="F88" s="428">
        <v>1000000</v>
      </c>
      <c r="G88" s="428">
        <f t="shared" ref="G88:G91" si="42">ROUNDDOWN(D88*F88,-3)</f>
        <v>4000000</v>
      </c>
    </row>
    <row r="89" spans="1:7" s="399" customFormat="1" ht="12.75">
      <c r="A89" s="379" t="s">
        <v>777</v>
      </c>
      <c r="B89" s="425"/>
      <c r="C89" s="426" t="s">
        <v>3536</v>
      </c>
      <c r="D89" s="427">
        <v>4</v>
      </c>
      <c r="E89" s="425" t="s">
        <v>106</v>
      </c>
      <c r="F89" s="428">
        <v>1500000</v>
      </c>
      <c r="G89" s="428">
        <f t="shared" si="42"/>
        <v>6000000</v>
      </c>
    </row>
    <row r="90" spans="1:7" s="399" customFormat="1" ht="12.75">
      <c r="A90" s="379" t="s">
        <v>778</v>
      </c>
      <c r="B90" s="425"/>
      <c r="C90" s="426" t="s">
        <v>3557</v>
      </c>
      <c r="D90" s="425">
        <v>70</v>
      </c>
      <c r="E90" s="425" t="s">
        <v>25</v>
      </c>
      <c r="F90" s="428">
        <v>69000</v>
      </c>
      <c r="G90" s="428">
        <f t="shared" si="42"/>
        <v>4830000</v>
      </c>
    </row>
    <row r="91" spans="1:7" s="399" customFormat="1" ht="12.75">
      <c r="A91" s="379" t="s">
        <v>779</v>
      </c>
      <c r="B91" s="425"/>
      <c r="C91" s="426" t="s">
        <v>3558</v>
      </c>
      <c r="D91" s="425">
        <v>4</v>
      </c>
      <c r="E91" s="425" t="s">
        <v>106</v>
      </c>
      <c r="F91" s="428">
        <v>1500000</v>
      </c>
      <c r="G91" s="428">
        <f t="shared" si="42"/>
        <v>6000000</v>
      </c>
    </row>
    <row r="92" spans="1:7" s="399" customFormat="1" ht="12.75">
      <c r="A92" s="379" t="s">
        <v>780</v>
      </c>
      <c r="B92" s="421">
        <v>521219</v>
      </c>
      <c r="C92" s="422" t="s">
        <v>53</v>
      </c>
      <c r="D92" s="423"/>
      <c r="E92" s="421"/>
      <c r="F92" s="424"/>
      <c r="G92" s="424">
        <f t="shared" ref="G92" si="43">G93</f>
        <v>500000</v>
      </c>
    </row>
    <row r="93" spans="1:7" s="399" customFormat="1" ht="12.75">
      <c r="A93" s="379" t="s">
        <v>781</v>
      </c>
      <c r="B93" s="425"/>
      <c r="C93" s="426" t="s">
        <v>3550</v>
      </c>
      <c r="D93" s="427">
        <v>2</v>
      </c>
      <c r="E93" s="425" t="s">
        <v>106</v>
      </c>
      <c r="F93" s="428">
        <v>250000</v>
      </c>
      <c r="G93" s="428">
        <f>ROUNDDOWN(D93*F93,-3)</f>
        <v>500000</v>
      </c>
    </row>
    <row r="94" spans="1:7" s="399" customFormat="1" ht="12.75">
      <c r="A94" s="379" t="s">
        <v>782</v>
      </c>
      <c r="B94" s="421">
        <v>522151</v>
      </c>
      <c r="C94" s="422" t="s">
        <v>11</v>
      </c>
      <c r="D94" s="421"/>
      <c r="E94" s="421"/>
      <c r="F94" s="424"/>
      <c r="G94" s="424">
        <f t="shared" ref="G94" si="44">G95</f>
        <v>7200000</v>
      </c>
    </row>
    <row r="95" spans="1:7" s="399" customFormat="1" ht="12.75">
      <c r="A95" s="379" t="s">
        <v>783</v>
      </c>
      <c r="B95" s="425"/>
      <c r="C95" s="426" t="s">
        <v>3543</v>
      </c>
      <c r="D95" s="427">
        <v>8</v>
      </c>
      <c r="E95" s="425" t="s">
        <v>54</v>
      </c>
      <c r="F95" s="428">
        <v>900000</v>
      </c>
      <c r="G95" s="428">
        <f>ROUNDDOWN(D95*F95,-3)</f>
        <v>7200000</v>
      </c>
    </row>
    <row r="96" spans="1:7" s="399" customFormat="1" ht="12.75">
      <c r="A96" s="379" t="s">
        <v>784</v>
      </c>
      <c r="B96" s="421">
        <v>524111</v>
      </c>
      <c r="C96" s="422" t="s">
        <v>19</v>
      </c>
      <c r="D96" s="423"/>
      <c r="E96" s="421"/>
      <c r="F96" s="424"/>
      <c r="G96" s="424">
        <f t="shared" ref="G96" si="45">G97</f>
        <v>23030000</v>
      </c>
    </row>
    <row r="97" spans="1:7" s="399" customFormat="1" ht="25.5">
      <c r="A97" s="379" t="s">
        <v>785</v>
      </c>
      <c r="B97" s="425"/>
      <c r="C97" s="426" t="s">
        <v>3559</v>
      </c>
      <c r="D97" s="425">
        <v>6</v>
      </c>
      <c r="E97" s="425" t="s">
        <v>755</v>
      </c>
      <c r="F97" s="428">
        <v>3838335</v>
      </c>
      <c r="G97" s="428">
        <f>ROUNDDOWN(D97*F97,-3)</f>
        <v>23030000</v>
      </c>
    </row>
    <row r="98" spans="1:7" s="399" customFormat="1" ht="12.75">
      <c r="A98" s="379" t="s">
        <v>484</v>
      </c>
      <c r="B98" s="414" t="s">
        <v>520</v>
      </c>
      <c r="C98" s="415" t="s">
        <v>67</v>
      </c>
      <c r="D98" s="416"/>
      <c r="E98" s="414"/>
      <c r="F98" s="417"/>
      <c r="G98" s="417">
        <f t="shared" ref="G98" si="46">G99</f>
        <v>135100000</v>
      </c>
    </row>
    <row r="99" spans="1:7" s="399" customFormat="1" ht="12.75">
      <c r="A99" s="379" t="s">
        <v>485</v>
      </c>
      <c r="B99" s="418" t="s">
        <v>8</v>
      </c>
      <c r="C99" s="419" t="s">
        <v>68</v>
      </c>
      <c r="D99" s="418"/>
      <c r="E99" s="418"/>
      <c r="F99" s="420"/>
      <c r="G99" s="420">
        <f>SUM(G100,G105,G107,G109)</f>
        <v>135100000</v>
      </c>
    </row>
    <row r="100" spans="1:7" s="399" customFormat="1" ht="12.75">
      <c r="A100" s="379" t="s">
        <v>486</v>
      </c>
      <c r="B100" s="421">
        <v>521211</v>
      </c>
      <c r="C100" s="422" t="s">
        <v>7</v>
      </c>
      <c r="D100" s="423"/>
      <c r="E100" s="421"/>
      <c r="F100" s="424"/>
      <c r="G100" s="424">
        <f>SUM(G101:G104)</f>
        <v>13500000</v>
      </c>
    </row>
    <row r="101" spans="1:7" s="399" customFormat="1" ht="12.75">
      <c r="A101" s="379" t="s">
        <v>487</v>
      </c>
      <c r="B101" s="425"/>
      <c r="C101" s="426" t="s">
        <v>3529</v>
      </c>
      <c r="D101" s="425">
        <v>3</v>
      </c>
      <c r="E101" s="425" t="s">
        <v>106</v>
      </c>
      <c r="F101" s="428">
        <v>1500000</v>
      </c>
      <c r="G101" s="428">
        <f t="shared" ref="G101:G104" si="47">ROUNDDOWN(D101*F101,-3)</f>
        <v>4500000</v>
      </c>
    </row>
    <row r="102" spans="1:7" s="399" customFormat="1" ht="12.75">
      <c r="A102" s="379" t="s">
        <v>488</v>
      </c>
      <c r="B102" s="425"/>
      <c r="C102" s="426" t="s">
        <v>3560</v>
      </c>
      <c r="D102" s="425">
        <v>20</v>
      </c>
      <c r="E102" s="425" t="s">
        <v>25</v>
      </c>
      <c r="F102" s="428">
        <v>75000</v>
      </c>
      <c r="G102" s="428">
        <f t="shared" si="47"/>
        <v>1500000</v>
      </c>
    </row>
    <row r="103" spans="1:7" s="399" customFormat="1" ht="12.75">
      <c r="A103" s="379" t="s">
        <v>489</v>
      </c>
      <c r="B103" s="425"/>
      <c r="C103" s="426" t="s">
        <v>3530</v>
      </c>
      <c r="D103" s="425">
        <v>3</v>
      </c>
      <c r="E103" s="425" t="s">
        <v>106</v>
      </c>
      <c r="F103" s="428">
        <v>1000000</v>
      </c>
      <c r="G103" s="428">
        <f t="shared" si="47"/>
        <v>3000000</v>
      </c>
    </row>
    <row r="104" spans="1:7" s="399" customFormat="1" ht="12.75">
      <c r="A104" s="379" t="s">
        <v>788</v>
      </c>
      <c r="B104" s="425"/>
      <c r="C104" s="426" t="s">
        <v>3531</v>
      </c>
      <c r="D104" s="427">
        <v>3</v>
      </c>
      <c r="E104" s="425" t="s">
        <v>106</v>
      </c>
      <c r="F104" s="428">
        <v>1500000</v>
      </c>
      <c r="G104" s="428">
        <f t="shared" si="47"/>
        <v>4500000</v>
      </c>
    </row>
    <row r="105" spans="1:7" s="399" customFormat="1" ht="12.75">
      <c r="A105" s="379" t="s">
        <v>490</v>
      </c>
      <c r="B105" s="421">
        <v>521219</v>
      </c>
      <c r="C105" s="422" t="s">
        <v>53</v>
      </c>
      <c r="D105" s="423"/>
      <c r="E105" s="421"/>
      <c r="F105" s="424"/>
      <c r="G105" s="424">
        <f t="shared" ref="G105" si="48">G106</f>
        <v>8884000</v>
      </c>
    </row>
    <row r="106" spans="1:7" s="399" customFormat="1" ht="25.5">
      <c r="A106" s="379" t="s">
        <v>491</v>
      </c>
      <c r="B106" s="425"/>
      <c r="C106" s="426" t="s">
        <v>3561</v>
      </c>
      <c r="D106" s="427">
        <v>1</v>
      </c>
      <c r="E106" s="425" t="s">
        <v>60</v>
      </c>
      <c r="F106" s="428">
        <v>8884000</v>
      </c>
      <c r="G106" s="428">
        <f>ROUNDDOWN(D106*F106,-3)</f>
        <v>8884000</v>
      </c>
    </row>
    <row r="107" spans="1:7" s="399" customFormat="1" ht="12.75">
      <c r="A107" s="379" t="s">
        <v>492</v>
      </c>
      <c r="B107" s="421">
        <v>522151</v>
      </c>
      <c r="C107" s="422" t="s">
        <v>11</v>
      </c>
      <c r="D107" s="421"/>
      <c r="E107" s="421"/>
      <c r="F107" s="424"/>
      <c r="G107" s="424">
        <f t="shared" ref="G107" si="49">G108</f>
        <v>15300000</v>
      </c>
    </row>
    <row r="108" spans="1:7" s="399" customFormat="1" ht="12.75">
      <c r="A108" s="379" t="s">
        <v>493</v>
      </c>
      <c r="B108" s="425"/>
      <c r="C108" s="426" t="s">
        <v>3543</v>
      </c>
      <c r="D108" s="427">
        <v>17</v>
      </c>
      <c r="E108" s="425" t="s">
        <v>54</v>
      </c>
      <c r="F108" s="428">
        <v>900000</v>
      </c>
      <c r="G108" s="428">
        <f>ROUNDDOWN(D108*F108,-3)</f>
        <v>15300000</v>
      </c>
    </row>
    <row r="109" spans="1:7" s="399" customFormat="1" ht="12.75">
      <c r="A109" s="379" t="s">
        <v>795</v>
      </c>
      <c r="B109" s="421">
        <v>524111</v>
      </c>
      <c r="C109" s="422" t="s">
        <v>19</v>
      </c>
      <c r="D109" s="421"/>
      <c r="E109" s="421"/>
      <c r="F109" s="424"/>
      <c r="G109" s="424">
        <f t="shared" ref="G109" si="50">G110</f>
        <v>97416000</v>
      </c>
    </row>
    <row r="110" spans="1:7" s="399" customFormat="1" ht="12.75">
      <c r="A110" s="379" t="s">
        <v>796</v>
      </c>
      <c r="B110" s="425"/>
      <c r="C110" s="426" t="s">
        <v>3562</v>
      </c>
      <c r="D110" s="425">
        <v>36</v>
      </c>
      <c r="E110" s="425" t="s">
        <v>755</v>
      </c>
      <c r="F110" s="428">
        <v>2706000</v>
      </c>
      <c r="G110" s="428">
        <f>ROUNDDOWN(D110*F110,-3)</f>
        <v>97416000</v>
      </c>
    </row>
    <row r="111" spans="1:7" s="399" customFormat="1" ht="12.75">
      <c r="A111" s="379" t="s">
        <v>69</v>
      </c>
      <c r="B111" s="400" t="s">
        <v>69</v>
      </c>
      <c r="C111" s="401" t="s">
        <v>70</v>
      </c>
      <c r="D111" s="400"/>
      <c r="E111" s="400"/>
      <c r="F111" s="402"/>
      <c r="G111" s="402">
        <f>SUM(G112,G458)</f>
        <v>15863164000</v>
      </c>
    </row>
    <row r="112" spans="1:7" s="399" customFormat="1" ht="25.5">
      <c r="A112" s="379" t="s">
        <v>494</v>
      </c>
      <c r="B112" s="403">
        <v>2378</v>
      </c>
      <c r="C112" s="404" t="s">
        <v>71</v>
      </c>
      <c r="D112" s="405"/>
      <c r="E112" s="403"/>
      <c r="F112" s="406"/>
      <c r="G112" s="406">
        <f>SUM(G113,G122,G331,G340)</f>
        <v>7280664000</v>
      </c>
    </row>
    <row r="113" spans="1:7" s="399" customFormat="1" ht="12.75">
      <c r="A113" s="379" t="s">
        <v>798</v>
      </c>
      <c r="B113" s="407" t="s">
        <v>799</v>
      </c>
      <c r="C113" s="408" t="s">
        <v>800</v>
      </c>
      <c r="D113" s="409">
        <v>1</v>
      </c>
      <c r="E113" s="407" t="s">
        <v>42</v>
      </c>
      <c r="F113" s="410"/>
      <c r="G113" s="410">
        <f t="shared" ref="G113:G120" si="51">G114</f>
        <v>115000000</v>
      </c>
    </row>
    <row r="114" spans="1:7" s="399" customFormat="1" ht="38.25">
      <c r="A114" s="379" t="s">
        <v>801</v>
      </c>
      <c r="B114" s="411" t="s">
        <v>3563</v>
      </c>
      <c r="C114" s="412" t="s">
        <v>803</v>
      </c>
      <c r="D114" s="430">
        <v>1</v>
      </c>
      <c r="E114" s="411" t="s">
        <v>42</v>
      </c>
      <c r="F114" s="413"/>
      <c r="G114" s="413">
        <f t="shared" si="51"/>
        <v>115000000</v>
      </c>
    </row>
    <row r="115" spans="1:7" s="399" customFormat="1" ht="25.5">
      <c r="A115" s="379" t="s">
        <v>811</v>
      </c>
      <c r="B115" s="414">
        <v>301</v>
      </c>
      <c r="C115" s="415" t="s">
        <v>813</v>
      </c>
      <c r="D115" s="414"/>
      <c r="E115" s="414"/>
      <c r="F115" s="417"/>
      <c r="G115" s="417">
        <f>SUM(G116,G119)</f>
        <v>115000000</v>
      </c>
    </row>
    <row r="116" spans="1:7" s="399" customFormat="1" ht="12.75">
      <c r="A116" s="379" t="s">
        <v>814</v>
      </c>
      <c r="B116" s="418" t="s">
        <v>8</v>
      </c>
      <c r="C116" s="419" t="s">
        <v>815</v>
      </c>
      <c r="D116" s="429"/>
      <c r="E116" s="418"/>
      <c r="F116" s="420"/>
      <c r="G116" s="420">
        <f t="shared" si="51"/>
        <v>114200000</v>
      </c>
    </row>
    <row r="117" spans="1:7" s="399" customFormat="1" ht="12.75">
      <c r="A117" s="379" t="s">
        <v>816</v>
      </c>
      <c r="B117" s="421">
        <v>532111</v>
      </c>
      <c r="C117" s="422" t="s">
        <v>43</v>
      </c>
      <c r="D117" s="421"/>
      <c r="E117" s="421"/>
      <c r="F117" s="424"/>
      <c r="G117" s="424">
        <f t="shared" si="51"/>
        <v>114200000</v>
      </c>
    </row>
    <row r="118" spans="1:7" s="399" customFormat="1" ht="12.75">
      <c r="A118" s="379" t="s">
        <v>817</v>
      </c>
      <c r="B118" s="425"/>
      <c r="C118" s="426" t="s">
        <v>3564</v>
      </c>
      <c r="D118" s="427">
        <v>1</v>
      </c>
      <c r="E118" s="425" t="s">
        <v>23</v>
      </c>
      <c r="F118" s="428">
        <v>114200000</v>
      </c>
      <c r="G118" s="428">
        <f>ROUNDDOWN(D118*F118,-3)</f>
        <v>114200000</v>
      </c>
    </row>
    <row r="119" spans="1:7" s="399" customFormat="1" ht="12.75">
      <c r="A119" s="379" t="s">
        <v>4833</v>
      </c>
      <c r="B119" s="418" t="s">
        <v>508</v>
      </c>
      <c r="C119" s="419" t="s">
        <v>4820</v>
      </c>
      <c r="D119" s="429"/>
      <c r="E119" s="418"/>
      <c r="F119" s="420"/>
      <c r="G119" s="420">
        <f t="shared" si="51"/>
        <v>800000</v>
      </c>
    </row>
    <row r="120" spans="1:7" s="399" customFormat="1" ht="12.75">
      <c r="A120" s="379" t="s">
        <v>4828</v>
      </c>
      <c r="B120" s="421">
        <v>532111</v>
      </c>
      <c r="C120" s="422" t="s">
        <v>43</v>
      </c>
      <c r="D120" s="421"/>
      <c r="E120" s="421"/>
      <c r="F120" s="424"/>
      <c r="G120" s="424">
        <f t="shared" si="51"/>
        <v>800000</v>
      </c>
    </row>
    <row r="121" spans="1:7" s="399" customFormat="1" ht="12.75">
      <c r="A121" s="379" t="s">
        <v>4834</v>
      </c>
      <c r="B121" s="425"/>
      <c r="C121" s="426" t="s">
        <v>3564</v>
      </c>
      <c r="D121" s="427">
        <v>1</v>
      </c>
      <c r="E121" s="425" t="s">
        <v>23</v>
      </c>
      <c r="F121" s="428">
        <v>800000</v>
      </c>
      <c r="G121" s="428">
        <f>ROUNDDOWN(D121*F121,-3)</f>
        <v>800000</v>
      </c>
    </row>
    <row r="122" spans="1:7" s="399" customFormat="1" ht="12.75">
      <c r="A122" s="379" t="s">
        <v>819</v>
      </c>
      <c r="B122" s="407" t="s">
        <v>820</v>
      </c>
      <c r="C122" s="408" t="s">
        <v>821</v>
      </c>
      <c r="D122" s="407"/>
      <c r="E122" s="407"/>
      <c r="F122" s="410"/>
      <c r="G122" s="410">
        <f>SUM(G123,G137,G257)</f>
        <v>5085940000</v>
      </c>
    </row>
    <row r="123" spans="1:7" s="399" customFormat="1" ht="12.75">
      <c r="A123" s="379" t="s">
        <v>1014</v>
      </c>
      <c r="B123" s="411" t="s">
        <v>3566</v>
      </c>
      <c r="C123" s="412" t="s">
        <v>1016</v>
      </c>
      <c r="D123" s="411">
        <v>1</v>
      </c>
      <c r="E123" s="411" t="s">
        <v>3565</v>
      </c>
      <c r="F123" s="413"/>
      <c r="G123" s="413">
        <f t="shared" ref="G123" si="52">G124</f>
        <v>153780000</v>
      </c>
    </row>
    <row r="124" spans="1:7" s="399" customFormat="1" ht="25.5">
      <c r="A124" s="379" t="s">
        <v>1163</v>
      </c>
      <c r="B124" s="414">
        <v>311</v>
      </c>
      <c r="C124" s="415" t="s">
        <v>1165</v>
      </c>
      <c r="D124" s="414"/>
      <c r="E124" s="414"/>
      <c r="F124" s="417"/>
      <c r="G124" s="417">
        <f>SUM(G125,G134)</f>
        <v>153780000</v>
      </c>
    </row>
    <row r="125" spans="1:7" s="399" customFormat="1" ht="12.75">
      <c r="A125" s="379" t="s">
        <v>1166</v>
      </c>
      <c r="B125" s="418" t="s">
        <v>8</v>
      </c>
      <c r="C125" s="419" t="s">
        <v>75</v>
      </c>
      <c r="D125" s="418"/>
      <c r="E125" s="418"/>
      <c r="F125" s="420"/>
      <c r="G125" s="420">
        <f>SUM(G126,G129,G132)</f>
        <v>113346000</v>
      </c>
    </row>
    <row r="126" spans="1:7" s="399" customFormat="1" ht="12.75">
      <c r="A126" s="379" t="s">
        <v>1167</v>
      </c>
      <c r="B126" s="421">
        <v>521211</v>
      </c>
      <c r="C126" s="422" t="s">
        <v>7</v>
      </c>
      <c r="D126" s="421"/>
      <c r="E126" s="421"/>
      <c r="F126" s="424"/>
      <c r="G126" s="424">
        <f t="shared" ref="G126" si="53">SUM(G127:G128)</f>
        <v>12400000</v>
      </c>
    </row>
    <row r="127" spans="1:7" s="399" customFormat="1" ht="12.75">
      <c r="A127" s="379" t="s">
        <v>1168</v>
      </c>
      <c r="B127" s="425"/>
      <c r="C127" s="426" t="s">
        <v>3529</v>
      </c>
      <c r="D127" s="425">
        <v>4</v>
      </c>
      <c r="E127" s="425" t="s">
        <v>52</v>
      </c>
      <c r="F127" s="428">
        <v>1000000</v>
      </c>
      <c r="G127" s="428">
        <f t="shared" ref="G127:G128" si="54">ROUNDDOWN(D127*F127,-3)</f>
        <v>4000000</v>
      </c>
    </row>
    <row r="128" spans="1:7" s="399" customFormat="1" ht="12.75">
      <c r="A128" s="379" t="s">
        <v>1169</v>
      </c>
      <c r="B128" s="425"/>
      <c r="C128" s="426" t="s">
        <v>3548</v>
      </c>
      <c r="D128" s="425">
        <v>120</v>
      </c>
      <c r="E128" s="425" t="s">
        <v>25</v>
      </c>
      <c r="F128" s="428">
        <v>70000</v>
      </c>
      <c r="G128" s="428">
        <f t="shared" si="54"/>
        <v>8400000</v>
      </c>
    </row>
    <row r="129" spans="1:7" s="399" customFormat="1" ht="12.75">
      <c r="A129" s="379" t="s">
        <v>1173</v>
      </c>
      <c r="B129" s="421">
        <v>521811</v>
      </c>
      <c r="C129" s="422" t="s">
        <v>64</v>
      </c>
      <c r="D129" s="421"/>
      <c r="E129" s="421"/>
      <c r="F129" s="424"/>
      <c r="G129" s="424">
        <f t="shared" ref="G129" si="55">SUM(G130:G131)</f>
        <v>10000000</v>
      </c>
    </row>
    <row r="130" spans="1:7" s="399" customFormat="1" ht="12.75">
      <c r="A130" s="379" t="s">
        <v>1174</v>
      </c>
      <c r="B130" s="425"/>
      <c r="C130" s="426" t="s">
        <v>3535</v>
      </c>
      <c r="D130" s="425">
        <v>4</v>
      </c>
      <c r="E130" s="425" t="s">
        <v>52</v>
      </c>
      <c r="F130" s="428">
        <v>1000000</v>
      </c>
      <c r="G130" s="428">
        <f t="shared" ref="G130:G131" si="56">ROUNDDOWN(D130*F130,-3)</f>
        <v>4000000</v>
      </c>
    </row>
    <row r="131" spans="1:7" s="399" customFormat="1" ht="12.75">
      <c r="A131" s="379" t="s">
        <v>1175</v>
      </c>
      <c r="B131" s="425"/>
      <c r="C131" s="426" t="s">
        <v>3567</v>
      </c>
      <c r="D131" s="425">
        <v>4</v>
      </c>
      <c r="E131" s="425" t="s">
        <v>52</v>
      </c>
      <c r="F131" s="428">
        <v>1500000</v>
      </c>
      <c r="G131" s="428">
        <f t="shared" si="56"/>
        <v>6000000</v>
      </c>
    </row>
    <row r="132" spans="1:7" s="399" customFormat="1" ht="12.75">
      <c r="A132" s="379" t="s">
        <v>1179</v>
      </c>
      <c r="B132" s="421">
        <v>524111</v>
      </c>
      <c r="C132" s="422" t="s">
        <v>19</v>
      </c>
      <c r="D132" s="421"/>
      <c r="E132" s="421"/>
      <c r="F132" s="424"/>
      <c r="G132" s="424">
        <f t="shared" ref="G132" si="57">G133</f>
        <v>90946000</v>
      </c>
    </row>
    <row r="133" spans="1:7" s="399" customFormat="1" ht="12.75">
      <c r="A133" s="379" t="s">
        <v>1180</v>
      </c>
      <c r="B133" s="425"/>
      <c r="C133" s="426" t="s">
        <v>3568</v>
      </c>
      <c r="D133" s="425">
        <v>15</v>
      </c>
      <c r="E133" s="425" t="s">
        <v>25</v>
      </c>
      <c r="F133" s="428">
        <v>6063067</v>
      </c>
      <c r="G133" s="428">
        <f>ROUNDDOWN(D133*F133,-3)</f>
        <v>90946000</v>
      </c>
    </row>
    <row r="134" spans="1:7" s="399" customFormat="1" ht="12.75">
      <c r="A134" s="379" t="s">
        <v>4835</v>
      </c>
      <c r="B134" s="418" t="s">
        <v>508</v>
      </c>
      <c r="C134" s="419" t="s">
        <v>4820</v>
      </c>
      <c r="D134" s="429"/>
      <c r="E134" s="418"/>
      <c r="F134" s="420"/>
      <c r="G134" s="420">
        <f t="shared" ref="G134:G135" si="58">G135</f>
        <v>40434000</v>
      </c>
    </row>
    <row r="135" spans="1:7" s="399" customFormat="1" ht="12.75">
      <c r="A135" s="379" t="s">
        <v>4830</v>
      </c>
      <c r="B135" s="421">
        <v>521219</v>
      </c>
      <c r="C135" s="422" t="s">
        <v>53</v>
      </c>
      <c r="D135" s="421"/>
      <c r="E135" s="421"/>
      <c r="F135" s="424"/>
      <c r="G135" s="424">
        <f t="shared" si="58"/>
        <v>40434000</v>
      </c>
    </row>
    <row r="136" spans="1:7" s="399" customFormat="1" ht="12.75">
      <c r="A136" s="379" t="s">
        <v>4836</v>
      </c>
      <c r="B136" s="425"/>
      <c r="C136" s="426" t="s">
        <v>4837</v>
      </c>
      <c r="D136" s="427">
        <v>1</v>
      </c>
      <c r="E136" s="425" t="s">
        <v>23</v>
      </c>
      <c r="F136" s="428">
        <v>40434000</v>
      </c>
      <c r="G136" s="428">
        <f>ROUNDDOWN(D136*F136,-3)</f>
        <v>40434000</v>
      </c>
    </row>
    <row r="137" spans="1:7" s="399" customFormat="1" ht="12.75">
      <c r="A137" s="379" t="s">
        <v>1247</v>
      </c>
      <c r="B137" s="411" t="s">
        <v>3569</v>
      </c>
      <c r="C137" s="412" t="s">
        <v>1249</v>
      </c>
      <c r="D137" s="411">
        <v>1</v>
      </c>
      <c r="E137" s="411" t="s">
        <v>3565</v>
      </c>
      <c r="F137" s="413"/>
      <c r="G137" s="413">
        <f t="shared" ref="G137" si="59">G138</f>
        <v>2736502000</v>
      </c>
    </row>
    <row r="138" spans="1:7" s="399" customFormat="1" ht="25.5">
      <c r="A138" s="379" t="s">
        <v>1367</v>
      </c>
      <c r="B138" s="414">
        <v>301</v>
      </c>
      <c r="C138" s="415" t="s">
        <v>1368</v>
      </c>
      <c r="D138" s="414"/>
      <c r="E138" s="414"/>
      <c r="F138" s="417"/>
      <c r="G138" s="417">
        <f>SUM(G139,G148,G157,G170,G178,G196,G208,G221,G241)</f>
        <v>2736502000</v>
      </c>
    </row>
    <row r="139" spans="1:7" s="399" customFormat="1" ht="12.75">
      <c r="A139" s="379" t="s">
        <v>1369</v>
      </c>
      <c r="B139" s="418" t="s">
        <v>8</v>
      </c>
      <c r="C139" s="419" t="s">
        <v>148</v>
      </c>
      <c r="D139" s="418"/>
      <c r="E139" s="418"/>
      <c r="F139" s="420"/>
      <c r="G139" s="420">
        <f>SUM(G140,G144,G146)</f>
        <v>18739000</v>
      </c>
    </row>
    <row r="140" spans="1:7" s="399" customFormat="1" ht="12.75">
      <c r="A140" s="379" t="s">
        <v>1370</v>
      </c>
      <c r="B140" s="421">
        <v>521211</v>
      </c>
      <c r="C140" s="422" t="s">
        <v>7</v>
      </c>
      <c r="D140" s="421"/>
      <c r="E140" s="421"/>
      <c r="F140" s="424"/>
      <c r="G140" s="424">
        <f>SUM(G141:G143)</f>
        <v>5000000</v>
      </c>
    </row>
    <row r="141" spans="1:7" s="399" customFormat="1" ht="12.75">
      <c r="A141" s="379" t="s">
        <v>1371</v>
      </c>
      <c r="B141" s="425"/>
      <c r="C141" s="426" t="s">
        <v>3535</v>
      </c>
      <c r="D141" s="425">
        <v>1</v>
      </c>
      <c r="E141" s="425" t="s">
        <v>9</v>
      </c>
      <c r="F141" s="428">
        <v>1500000</v>
      </c>
      <c r="G141" s="428">
        <f t="shared" ref="G141:G143" si="60">ROUNDDOWN(D141*F141,-3)</f>
        <v>1500000</v>
      </c>
    </row>
    <row r="142" spans="1:7" s="399" customFormat="1" ht="12.75">
      <c r="A142" s="379" t="s">
        <v>1372</v>
      </c>
      <c r="B142" s="425"/>
      <c r="C142" s="426" t="s">
        <v>3536</v>
      </c>
      <c r="D142" s="425">
        <v>2</v>
      </c>
      <c r="E142" s="425" t="s">
        <v>9</v>
      </c>
      <c r="F142" s="428">
        <v>1000000</v>
      </c>
      <c r="G142" s="428">
        <f t="shared" si="60"/>
        <v>2000000</v>
      </c>
    </row>
    <row r="143" spans="1:7" s="399" customFormat="1" ht="12.75">
      <c r="A143" s="379" t="s">
        <v>1373</v>
      </c>
      <c r="B143" s="425"/>
      <c r="C143" s="426" t="s">
        <v>3537</v>
      </c>
      <c r="D143" s="425">
        <v>1</v>
      </c>
      <c r="E143" s="425" t="s">
        <v>9</v>
      </c>
      <c r="F143" s="428">
        <v>1500000</v>
      </c>
      <c r="G143" s="428">
        <f t="shared" si="60"/>
        <v>1500000</v>
      </c>
    </row>
    <row r="144" spans="1:7" s="399" customFormat="1" ht="12.75">
      <c r="A144" s="379" t="s">
        <v>1376</v>
      </c>
      <c r="B144" s="421">
        <v>524111</v>
      </c>
      <c r="C144" s="422" t="s">
        <v>19</v>
      </c>
      <c r="D144" s="421"/>
      <c r="E144" s="421"/>
      <c r="F144" s="424"/>
      <c r="G144" s="424">
        <f t="shared" ref="G144" si="61">G145</f>
        <v>12989000</v>
      </c>
    </row>
    <row r="145" spans="1:7" s="399" customFormat="1" ht="12.75">
      <c r="A145" s="379" t="s">
        <v>1377</v>
      </c>
      <c r="B145" s="425"/>
      <c r="C145" s="426" t="s">
        <v>3570</v>
      </c>
      <c r="D145" s="425">
        <v>2</v>
      </c>
      <c r="E145" s="425" t="s">
        <v>10</v>
      </c>
      <c r="F145" s="428">
        <v>6494500</v>
      </c>
      <c r="G145" s="428">
        <f>ROUNDDOWN(D145*F145,-3)</f>
        <v>12989000</v>
      </c>
    </row>
    <row r="146" spans="1:7" s="399" customFormat="1" ht="12.75">
      <c r="A146" s="379" t="s">
        <v>1379</v>
      </c>
      <c r="B146" s="421">
        <v>524113</v>
      </c>
      <c r="C146" s="422" t="s">
        <v>13</v>
      </c>
      <c r="D146" s="421"/>
      <c r="E146" s="421"/>
      <c r="F146" s="424"/>
      <c r="G146" s="424">
        <f t="shared" ref="G146" si="62">G147</f>
        <v>750000</v>
      </c>
    </row>
    <row r="147" spans="1:7" s="399" customFormat="1" ht="12.75">
      <c r="A147" s="379" t="s">
        <v>1380</v>
      </c>
      <c r="B147" s="425"/>
      <c r="C147" s="426" t="s">
        <v>3571</v>
      </c>
      <c r="D147" s="425">
        <v>5</v>
      </c>
      <c r="E147" s="425" t="s">
        <v>10</v>
      </c>
      <c r="F147" s="428">
        <v>150000</v>
      </c>
      <c r="G147" s="428">
        <f>ROUNDDOWN(D147*F147,-3)</f>
        <v>750000</v>
      </c>
    </row>
    <row r="148" spans="1:7" s="399" customFormat="1" ht="12.75">
      <c r="A148" s="379" t="s">
        <v>1382</v>
      </c>
      <c r="B148" s="418" t="s">
        <v>508</v>
      </c>
      <c r="C148" s="419" t="s">
        <v>150</v>
      </c>
      <c r="D148" s="418"/>
      <c r="E148" s="418"/>
      <c r="F148" s="420"/>
      <c r="G148" s="420">
        <f>SUM(G149,G152,G154)</f>
        <v>385665000</v>
      </c>
    </row>
    <row r="149" spans="1:7" s="399" customFormat="1" ht="12.75">
      <c r="A149" s="379" t="s">
        <v>1383</v>
      </c>
      <c r="B149" s="421">
        <v>521211</v>
      </c>
      <c r="C149" s="422" t="s">
        <v>7</v>
      </c>
      <c r="D149" s="421"/>
      <c r="E149" s="421"/>
      <c r="F149" s="424"/>
      <c r="G149" s="424">
        <f t="shared" ref="G149" si="63">SUM(G150:G151)</f>
        <v>10000000</v>
      </c>
    </row>
    <row r="150" spans="1:7" s="399" customFormat="1" ht="12.75">
      <c r="A150" s="379" t="s">
        <v>1384</v>
      </c>
      <c r="B150" s="425"/>
      <c r="C150" s="426" t="s">
        <v>3535</v>
      </c>
      <c r="D150" s="425">
        <v>4</v>
      </c>
      <c r="E150" s="425" t="s">
        <v>9</v>
      </c>
      <c r="F150" s="428">
        <v>1500000</v>
      </c>
      <c r="G150" s="428">
        <f t="shared" ref="G150:G151" si="64">ROUNDDOWN(D150*F150,-3)</f>
        <v>6000000</v>
      </c>
    </row>
    <row r="151" spans="1:7" s="399" customFormat="1" ht="12.75">
      <c r="A151" s="379" t="s">
        <v>1385</v>
      </c>
      <c r="B151" s="425"/>
      <c r="C151" s="426" t="s">
        <v>3536</v>
      </c>
      <c r="D151" s="425">
        <v>4</v>
      </c>
      <c r="E151" s="425" t="s">
        <v>9</v>
      </c>
      <c r="F151" s="428">
        <v>1000000</v>
      </c>
      <c r="G151" s="428">
        <f t="shared" si="64"/>
        <v>4000000</v>
      </c>
    </row>
    <row r="152" spans="1:7" s="399" customFormat="1" ht="12.75">
      <c r="A152" s="379" t="s">
        <v>1388</v>
      </c>
      <c r="B152" s="421">
        <v>522192</v>
      </c>
      <c r="C152" s="422" t="s">
        <v>24</v>
      </c>
      <c r="D152" s="421"/>
      <c r="E152" s="421"/>
      <c r="F152" s="424"/>
      <c r="G152" s="424">
        <f t="shared" ref="G152" si="65">G153</f>
        <v>2031000</v>
      </c>
    </row>
    <row r="153" spans="1:7" s="399" customFormat="1" ht="12.75">
      <c r="A153" s="379" t="s">
        <v>1389</v>
      </c>
      <c r="B153" s="425"/>
      <c r="C153" s="426" t="s">
        <v>3572</v>
      </c>
      <c r="D153" s="425">
        <v>1</v>
      </c>
      <c r="E153" s="425" t="s">
        <v>153</v>
      </c>
      <c r="F153" s="428">
        <v>2031000</v>
      </c>
      <c r="G153" s="428">
        <f>ROUNDDOWN(D153*F153,-3)</f>
        <v>2031000</v>
      </c>
    </row>
    <row r="154" spans="1:7" s="399" customFormat="1" ht="12.75">
      <c r="A154" s="379" t="s">
        <v>1391</v>
      </c>
      <c r="B154" s="421">
        <v>524111</v>
      </c>
      <c r="C154" s="422" t="s">
        <v>19</v>
      </c>
      <c r="D154" s="421"/>
      <c r="E154" s="421"/>
      <c r="F154" s="424"/>
      <c r="G154" s="424">
        <f t="shared" ref="G154" si="66">SUM(G155:G156)</f>
        <v>373634000</v>
      </c>
    </row>
    <row r="155" spans="1:7" s="399" customFormat="1" ht="12.75">
      <c r="A155" s="379" t="s">
        <v>1392</v>
      </c>
      <c r="B155" s="425"/>
      <c r="C155" s="426" t="s">
        <v>3573</v>
      </c>
      <c r="D155" s="425">
        <v>30</v>
      </c>
      <c r="E155" s="425" t="s">
        <v>10</v>
      </c>
      <c r="F155" s="428">
        <v>6441967</v>
      </c>
      <c r="G155" s="428">
        <f t="shared" ref="G155:G156" si="67">ROUNDDOWN(D155*F155,-3)</f>
        <v>193259000</v>
      </c>
    </row>
    <row r="156" spans="1:7" s="399" customFormat="1" ht="25.5">
      <c r="A156" s="379" t="s">
        <v>1394</v>
      </c>
      <c r="B156" s="425"/>
      <c r="C156" s="426" t="s">
        <v>3574</v>
      </c>
      <c r="D156" s="425">
        <v>30</v>
      </c>
      <c r="E156" s="425" t="s">
        <v>755</v>
      </c>
      <c r="F156" s="428">
        <v>6012500</v>
      </c>
      <c r="G156" s="428">
        <f t="shared" si="67"/>
        <v>180375000</v>
      </c>
    </row>
    <row r="157" spans="1:7" s="399" customFormat="1" ht="25.5">
      <c r="A157" s="379" t="s">
        <v>1396</v>
      </c>
      <c r="B157" s="418" t="s">
        <v>509</v>
      </c>
      <c r="C157" s="419" t="s">
        <v>1397</v>
      </c>
      <c r="D157" s="418"/>
      <c r="E157" s="418"/>
      <c r="F157" s="420"/>
      <c r="G157" s="420">
        <f t="shared" ref="G157" si="68">SUM(G158,G164,G166,G168)</f>
        <v>56750000</v>
      </c>
    </row>
    <row r="158" spans="1:7" s="399" customFormat="1" ht="12.75">
      <c r="A158" s="379" t="s">
        <v>1398</v>
      </c>
      <c r="B158" s="421">
        <v>521211</v>
      </c>
      <c r="C158" s="422" t="s">
        <v>7</v>
      </c>
      <c r="D158" s="421"/>
      <c r="E158" s="421"/>
      <c r="F158" s="424"/>
      <c r="G158" s="424">
        <f t="shared" ref="G158" si="69">SUM(G159:G163)</f>
        <v>33500000</v>
      </c>
    </row>
    <row r="159" spans="1:7" s="399" customFormat="1" ht="12.75">
      <c r="A159" s="379" t="s">
        <v>1399</v>
      </c>
      <c r="B159" s="425"/>
      <c r="C159" s="426" t="s">
        <v>4838</v>
      </c>
      <c r="D159" s="425">
        <v>60</v>
      </c>
      <c r="E159" s="425" t="s">
        <v>58</v>
      </c>
      <c r="F159" s="428">
        <v>400000</v>
      </c>
      <c r="G159" s="428">
        <f t="shared" ref="G159:G163" si="70">ROUNDDOWN(D159*F159,-3)</f>
        <v>24000000</v>
      </c>
    </row>
    <row r="160" spans="1:7" s="399" customFormat="1" ht="12.75">
      <c r="A160" s="379" t="s">
        <v>1402</v>
      </c>
      <c r="B160" s="425"/>
      <c r="C160" s="426" t="s">
        <v>3542</v>
      </c>
      <c r="D160" s="425">
        <v>2</v>
      </c>
      <c r="E160" s="425" t="s">
        <v>9</v>
      </c>
      <c r="F160" s="428">
        <v>1500000</v>
      </c>
      <c r="G160" s="428">
        <f t="shared" si="70"/>
        <v>3000000</v>
      </c>
    </row>
    <row r="161" spans="1:7" s="399" customFormat="1" ht="12.75">
      <c r="A161" s="379" t="s">
        <v>1403</v>
      </c>
      <c r="B161" s="425"/>
      <c r="C161" s="426" t="s">
        <v>3530</v>
      </c>
      <c r="D161" s="425">
        <v>2</v>
      </c>
      <c r="E161" s="425" t="s">
        <v>9</v>
      </c>
      <c r="F161" s="428">
        <v>1000000</v>
      </c>
      <c r="G161" s="428">
        <f t="shared" si="70"/>
        <v>2000000</v>
      </c>
    </row>
    <row r="162" spans="1:7" s="399" customFormat="1" ht="12.75">
      <c r="A162" s="379" t="s">
        <v>1404</v>
      </c>
      <c r="B162" s="425"/>
      <c r="C162" s="426" t="s">
        <v>3531</v>
      </c>
      <c r="D162" s="425">
        <v>2</v>
      </c>
      <c r="E162" s="425" t="s">
        <v>9</v>
      </c>
      <c r="F162" s="428">
        <v>1500000</v>
      </c>
      <c r="G162" s="428">
        <f t="shared" si="70"/>
        <v>3000000</v>
      </c>
    </row>
    <row r="163" spans="1:7" s="399" customFormat="1" ht="12.75">
      <c r="A163" s="379" t="s">
        <v>1405</v>
      </c>
      <c r="B163" s="425"/>
      <c r="C163" s="426" t="s">
        <v>3575</v>
      </c>
      <c r="D163" s="425">
        <v>3</v>
      </c>
      <c r="E163" s="425" t="s">
        <v>58</v>
      </c>
      <c r="F163" s="428">
        <v>500000</v>
      </c>
      <c r="G163" s="428">
        <f t="shared" si="70"/>
        <v>1500000</v>
      </c>
    </row>
    <row r="164" spans="1:7" s="399" customFormat="1" ht="12.75">
      <c r="A164" s="379" t="s">
        <v>1407</v>
      </c>
      <c r="B164" s="421">
        <v>522141</v>
      </c>
      <c r="C164" s="422" t="s">
        <v>95</v>
      </c>
      <c r="D164" s="421"/>
      <c r="E164" s="421"/>
      <c r="F164" s="424"/>
      <c r="G164" s="424">
        <f t="shared" ref="G164" si="71">G165</f>
        <v>3000000</v>
      </c>
    </row>
    <row r="165" spans="1:7" s="399" customFormat="1" ht="12.75">
      <c r="A165" s="379" t="s">
        <v>1408</v>
      </c>
      <c r="B165" s="425"/>
      <c r="C165" s="426" t="s">
        <v>3576</v>
      </c>
      <c r="D165" s="425">
        <v>2</v>
      </c>
      <c r="E165" s="425" t="s">
        <v>149</v>
      </c>
      <c r="F165" s="428">
        <v>1500000</v>
      </c>
      <c r="G165" s="428">
        <f>ROUNDDOWN(D165*F165,-3)</f>
        <v>3000000</v>
      </c>
    </row>
    <row r="166" spans="1:7" s="399" customFormat="1" ht="12.75">
      <c r="A166" s="379" t="s">
        <v>1410</v>
      </c>
      <c r="B166" s="421">
        <v>524111</v>
      </c>
      <c r="C166" s="422" t="s">
        <v>19</v>
      </c>
      <c r="D166" s="421"/>
      <c r="E166" s="421"/>
      <c r="F166" s="424"/>
      <c r="G166" s="424">
        <f t="shared" ref="G166" si="72">G167</f>
        <v>18000000</v>
      </c>
    </row>
    <row r="167" spans="1:7" s="399" customFormat="1" ht="25.5">
      <c r="A167" s="379" t="s">
        <v>1411</v>
      </c>
      <c r="B167" s="425"/>
      <c r="C167" s="426" t="s">
        <v>3577</v>
      </c>
      <c r="D167" s="425">
        <v>6</v>
      </c>
      <c r="E167" s="425" t="s">
        <v>10</v>
      </c>
      <c r="F167" s="428">
        <v>3000000</v>
      </c>
      <c r="G167" s="428">
        <f>ROUNDDOWN(D167*F167,-3)</f>
        <v>18000000</v>
      </c>
    </row>
    <row r="168" spans="1:7" s="399" customFormat="1" ht="12.75">
      <c r="A168" s="379" t="s">
        <v>1413</v>
      </c>
      <c r="B168" s="421">
        <v>524113</v>
      </c>
      <c r="C168" s="422" t="s">
        <v>13</v>
      </c>
      <c r="D168" s="421"/>
      <c r="E168" s="421"/>
      <c r="F168" s="424"/>
      <c r="G168" s="424">
        <f t="shared" ref="G168" si="73">G169</f>
        <v>2250000</v>
      </c>
    </row>
    <row r="169" spans="1:7" s="399" customFormat="1" ht="12.75">
      <c r="A169" s="379" t="s">
        <v>1414</v>
      </c>
      <c r="B169" s="425"/>
      <c r="C169" s="426" t="s">
        <v>3578</v>
      </c>
      <c r="D169" s="425">
        <v>15</v>
      </c>
      <c r="E169" s="425" t="s">
        <v>10</v>
      </c>
      <c r="F169" s="428">
        <v>150000</v>
      </c>
      <c r="G169" s="428">
        <f>ROUNDDOWN(D169*F169,-3)</f>
        <v>2250000</v>
      </c>
    </row>
    <row r="170" spans="1:7" s="399" customFormat="1" ht="25.5">
      <c r="A170" s="379" t="s">
        <v>1416</v>
      </c>
      <c r="B170" s="418" t="s">
        <v>511</v>
      </c>
      <c r="C170" s="419" t="s">
        <v>151</v>
      </c>
      <c r="D170" s="418"/>
      <c r="E170" s="418"/>
      <c r="F170" s="420"/>
      <c r="G170" s="420">
        <f>SUM(G171,G176)</f>
        <v>61193000</v>
      </c>
    </row>
    <row r="171" spans="1:7" s="399" customFormat="1" ht="12.75">
      <c r="A171" s="379" t="s">
        <v>1417</v>
      </c>
      <c r="B171" s="421">
        <v>521211</v>
      </c>
      <c r="C171" s="422" t="s">
        <v>7</v>
      </c>
      <c r="D171" s="421"/>
      <c r="E171" s="421"/>
      <c r="F171" s="424"/>
      <c r="G171" s="424">
        <f t="shared" ref="G171" si="74">SUM(G172:G175)</f>
        <v>13500000</v>
      </c>
    </row>
    <row r="172" spans="1:7" s="399" customFormat="1" ht="12.75">
      <c r="A172" s="379" t="s">
        <v>1418</v>
      </c>
      <c r="B172" s="425"/>
      <c r="C172" s="426" t="s">
        <v>3535</v>
      </c>
      <c r="D172" s="425">
        <v>3</v>
      </c>
      <c r="E172" s="425" t="s">
        <v>9</v>
      </c>
      <c r="F172" s="428">
        <v>1000000</v>
      </c>
      <c r="G172" s="428">
        <f t="shared" ref="G172:G175" si="75">ROUNDDOWN(D172*F172,-3)</f>
        <v>3000000</v>
      </c>
    </row>
    <row r="173" spans="1:7" s="399" customFormat="1" ht="12.75">
      <c r="A173" s="379" t="s">
        <v>1419</v>
      </c>
      <c r="B173" s="425"/>
      <c r="C173" s="426" t="s">
        <v>3536</v>
      </c>
      <c r="D173" s="425">
        <v>3</v>
      </c>
      <c r="E173" s="425" t="s">
        <v>9</v>
      </c>
      <c r="F173" s="428">
        <v>1500000</v>
      </c>
      <c r="G173" s="428">
        <f t="shared" si="75"/>
        <v>4500000</v>
      </c>
    </row>
    <row r="174" spans="1:7" s="399" customFormat="1" ht="12.75">
      <c r="A174" s="379" t="s">
        <v>1420</v>
      </c>
      <c r="B174" s="425"/>
      <c r="C174" s="426" t="s">
        <v>3537</v>
      </c>
      <c r="D174" s="425">
        <v>3</v>
      </c>
      <c r="E174" s="425" t="s">
        <v>9</v>
      </c>
      <c r="F174" s="428">
        <v>1500000</v>
      </c>
      <c r="G174" s="428">
        <f t="shared" si="75"/>
        <v>4500000</v>
      </c>
    </row>
    <row r="175" spans="1:7" s="399" customFormat="1" ht="12.75">
      <c r="A175" s="379" t="s">
        <v>1421</v>
      </c>
      <c r="B175" s="425"/>
      <c r="C175" s="426" t="s">
        <v>3579</v>
      </c>
      <c r="D175" s="425">
        <v>3</v>
      </c>
      <c r="E175" s="425" t="s">
        <v>176</v>
      </c>
      <c r="F175" s="428">
        <v>500000</v>
      </c>
      <c r="G175" s="428">
        <f t="shared" si="75"/>
        <v>1500000</v>
      </c>
    </row>
    <row r="176" spans="1:7" s="399" customFormat="1" ht="12.75">
      <c r="A176" s="379" t="s">
        <v>1422</v>
      </c>
      <c r="B176" s="421">
        <v>524111</v>
      </c>
      <c r="C176" s="422" t="s">
        <v>19</v>
      </c>
      <c r="D176" s="421"/>
      <c r="E176" s="421"/>
      <c r="F176" s="424"/>
      <c r="G176" s="424">
        <f t="shared" ref="G176" si="76">G177</f>
        <v>47693000</v>
      </c>
    </row>
    <row r="177" spans="1:7" s="399" customFormat="1" ht="25.5">
      <c r="A177" s="379" t="s">
        <v>1423</v>
      </c>
      <c r="B177" s="425"/>
      <c r="C177" s="426" t="s">
        <v>3580</v>
      </c>
      <c r="D177" s="425">
        <v>10</v>
      </c>
      <c r="E177" s="425" t="s">
        <v>10</v>
      </c>
      <c r="F177" s="428">
        <v>4769300</v>
      </c>
      <c r="G177" s="428">
        <f>ROUNDDOWN(D177*F177,-3)</f>
        <v>47693000</v>
      </c>
    </row>
    <row r="178" spans="1:7" s="399" customFormat="1" ht="12.75">
      <c r="A178" s="379" t="s">
        <v>1427</v>
      </c>
      <c r="B178" s="418" t="s">
        <v>516</v>
      </c>
      <c r="C178" s="419" t="s">
        <v>152</v>
      </c>
      <c r="D178" s="418"/>
      <c r="E178" s="418"/>
      <c r="F178" s="420"/>
      <c r="G178" s="420">
        <f>SUM(G179,G184,G188,G190,G192,G194)</f>
        <v>664155000</v>
      </c>
    </row>
    <row r="179" spans="1:7" s="399" customFormat="1" ht="12.75">
      <c r="A179" s="379" t="s">
        <v>1428</v>
      </c>
      <c r="B179" s="421">
        <v>521211</v>
      </c>
      <c r="C179" s="422" t="s">
        <v>7</v>
      </c>
      <c r="D179" s="421"/>
      <c r="E179" s="421"/>
      <c r="F179" s="424"/>
      <c r="G179" s="424">
        <f t="shared" ref="G179" si="77">SUM(G180:G183)</f>
        <v>38100000</v>
      </c>
    </row>
    <row r="180" spans="1:7" s="399" customFormat="1" ht="12.75">
      <c r="A180" s="379" t="s">
        <v>1429</v>
      </c>
      <c r="B180" s="425"/>
      <c r="C180" s="426" t="s">
        <v>3529</v>
      </c>
      <c r="D180" s="425">
        <v>1</v>
      </c>
      <c r="E180" s="425" t="s">
        <v>9</v>
      </c>
      <c r="F180" s="428">
        <v>1500000</v>
      </c>
      <c r="G180" s="428">
        <f t="shared" ref="G180:G183" si="78">ROUNDDOWN(D180*F180,-3)</f>
        <v>1500000</v>
      </c>
    </row>
    <row r="181" spans="1:7" s="399" customFormat="1" ht="12.75">
      <c r="A181" s="379" t="s">
        <v>1430</v>
      </c>
      <c r="B181" s="425"/>
      <c r="C181" s="426" t="s">
        <v>3538</v>
      </c>
      <c r="D181" s="425">
        <v>1</v>
      </c>
      <c r="E181" s="425" t="s">
        <v>9</v>
      </c>
      <c r="F181" s="428">
        <v>1000000</v>
      </c>
      <c r="G181" s="428">
        <f t="shared" si="78"/>
        <v>1000000</v>
      </c>
    </row>
    <row r="182" spans="1:7" s="399" customFormat="1" ht="12.75">
      <c r="A182" s="379" t="s">
        <v>1431</v>
      </c>
      <c r="B182" s="425"/>
      <c r="C182" s="426" t="s">
        <v>3539</v>
      </c>
      <c r="D182" s="425">
        <v>1</v>
      </c>
      <c r="E182" s="425" t="s">
        <v>9</v>
      </c>
      <c r="F182" s="428">
        <v>1500000</v>
      </c>
      <c r="G182" s="428">
        <f t="shared" si="78"/>
        <v>1500000</v>
      </c>
    </row>
    <row r="183" spans="1:7" s="399" customFormat="1" ht="25.5">
      <c r="A183" s="379" t="s">
        <v>1432</v>
      </c>
      <c r="B183" s="425"/>
      <c r="C183" s="426" t="s">
        <v>4839</v>
      </c>
      <c r="D183" s="425">
        <v>1</v>
      </c>
      <c r="E183" s="425" t="s">
        <v>153</v>
      </c>
      <c r="F183" s="428">
        <v>34100000</v>
      </c>
      <c r="G183" s="428">
        <f t="shared" si="78"/>
        <v>34100000</v>
      </c>
    </row>
    <row r="184" spans="1:7" s="399" customFormat="1" ht="25.5">
      <c r="A184" s="379" t="s">
        <v>1434</v>
      </c>
      <c r="B184" s="421">
        <v>521241</v>
      </c>
      <c r="C184" s="422" t="s">
        <v>621</v>
      </c>
      <c r="D184" s="421"/>
      <c r="E184" s="421"/>
      <c r="F184" s="424"/>
      <c r="G184" s="424">
        <f t="shared" ref="G184" si="79">SUM(G185:G187)</f>
        <v>82535000</v>
      </c>
    </row>
    <row r="185" spans="1:7" s="399" customFormat="1" ht="12.75">
      <c r="A185" s="379" t="s">
        <v>1435</v>
      </c>
      <c r="B185" s="425"/>
      <c r="C185" s="426" t="s">
        <v>3581</v>
      </c>
      <c r="D185" s="425">
        <v>1</v>
      </c>
      <c r="E185" s="425" t="s">
        <v>153</v>
      </c>
      <c r="F185" s="428">
        <v>57400000</v>
      </c>
      <c r="G185" s="428">
        <f t="shared" ref="G185:G187" si="80">ROUNDDOWN(D185*F185,-3)</f>
        <v>57400000</v>
      </c>
    </row>
    <row r="186" spans="1:7" s="399" customFormat="1" ht="25.5">
      <c r="A186" s="379" t="s">
        <v>1437</v>
      </c>
      <c r="B186" s="425"/>
      <c r="C186" s="426" t="s">
        <v>3582</v>
      </c>
      <c r="D186" s="425">
        <v>1</v>
      </c>
      <c r="E186" s="425" t="s">
        <v>4840</v>
      </c>
      <c r="F186" s="428">
        <v>24335000</v>
      </c>
      <c r="G186" s="428">
        <f t="shared" si="80"/>
        <v>24335000</v>
      </c>
    </row>
    <row r="187" spans="1:7" s="399" customFormat="1" ht="12.75">
      <c r="A187" s="379" t="s">
        <v>1439</v>
      </c>
      <c r="B187" s="425"/>
      <c r="C187" s="426" t="s">
        <v>3583</v>
      </c>
      <c r="D187" s="425">
        <v>1</v>
      </c>
      <c r="E187" s="425" t="s">
        <v>32</v>
      </c>
      <c r="F187" s="428">
        <v>800000</v>
      </c>
      <c r="G187" s="428">
        <f t="shared" si="80"/>
        <v>800000</v>
      </c>
    </row>
    <row r="188" spans="1:7" s="399" customFormat="1" ht="12.75">
      <c r="A188" s="379" t="s">
        <v>3903</v>
      </c>
      <c r="B188" s="421">
        <v>522191</v>
      </c>
      <c r="C188" s="422" t="s">
        <v>22</v>
      </c>
      <c r="D188" s="421"/>
      <c r="E188" s="421"/>
      <c r="F188" s="424"/>
      <c r="G188" s="424">
        <f>G189</f>
        <v>1605000</v>
      </c>
    </row>
    <row r="189" spans="1:7" s="399" customFormat="1" ht="12.75">
      <c r="A189" s="379" t="s">
        <v>4841</v>
      </c>
      <c r="B189" s="425"/>
      <c r="C189" s="426" t="s">
        <v>4842</v>
      </c>
      <c r="D189" s="425">
        <v>1</v>
      </c>
      <c r="E189" s="425" t="s">
        <v>153</v>
      </c>
      <c r="F189" s="428">
        <v>1605500</v>
      </c>
      <c r="G189" s="428">
        <f t="shared" ref="G189" si="81">ROUNDDOWN(D189*F189,-3)</f>
        <v>1605000</v>
      </c>
    </row>
    <row r="190" spans="1:7" s="399" customFormat="1" ht="12.75">
      <c r="A190" s="379" t="s">
        <v>1441</v>
      </c>
      <c r="B190" s="421">
        <v>522192</v>
      </c>
      <c r="C190" s="422" t="s">
        <v>24</v>
      </c>
      <c r="D190" s="421"/>
      <c r="E190" s="421"/>
      <c r="F190" s="424"/>
      <c r="G190" s="424">
        <f t="shared" ref="G190" si="82">G191</f>
        <v>4246000</v>
      </c>
    </row>
    <row r="191" spans="1:7" s="399" customFormat="1" ht="12.75">
      <c r="A191" s="379" t="s">
        <v>1442</v>
      </c>
      <c r="B191" s="425"/>
      <c r="C191" s="426" t="s">
        <v>3572</v>
      </c>
      <c r="D191" s="425">
        <v>1</v>
      </c>
      <c r="E191" s="425" t="s">
        <v>153</v>
      </c>
      <c r="F191" s="428">
        <v>4246000</v>
      </c>
      <c r="G191" s="428">
        <f>ROUNDDOWN(D191*F191,-3)</f>
        <v>4246000</v>
      </c>
    </row>
    <row r="192" spans="1:7" s="399" customFormat="1" ht="12.75">
      <c r="A192" s="379" t="s">
        <v>1443</v>
      </c>
      <c r="B192" s="421">
        <v>524111</v>
      </c>
      <c r="C192" s="422" t="s">
        <v>19</v>
      </c>
      <c r="D192" s="421"/>
      <c r="E192" s="421"/>
      <c r="F192" s="424"/>
      <c r="G192" s="424">
        <f t="shared" ref="G192" si="83">G193</f>
        <v>21851000</v>
      </c>
    </row>
    <row r="193" spans="1:7" s="399" customFormat="1" ht="12.75">
      <c r="A193" s="379" t="s">
        <v>1444</v>
      </c>
      <c r="B193" s="425"/>
      <c r="C193" s="426" t="s">
        <v>3584</v>
      </c>
      <c r="D193" s="425">
        <v>5</v>
      </c>
      <c r="E193" s="425" t="s">
        <v>10</v>
      </c>
      <c r="F193" s="428">
        <v>4370200</v>
      </c>
      <c r="G193" s="428">
        <f>ROUNDDOWN(D193*F193,-3)</f>
        <v>21851000</v>
      </c>
    </row>
    <row r="194" spans="1:7" s="399" customFormat="1" ht="12.75">
      <c r="A194" s="379" t="s">
        <v>1446</v>
      </c>
      <c r="B194" s="421">
        <v>524113</v>
      </c>
      <c r="C194" s="422" t="s">
        <v>13</v>
      </c>
      <c r="D194" s="421"/>
      <c r="E194" s="421"/>
      <c r="F194" s="424"/>
      <c r="G194" s="424">
        <f t="shared" ref="G194" si="84">G195</f>
        <v>515818000</v>
      </c>
    </row>
    <row r="195" spans="1:7" s="399" customFormat="1" ht="12.75">
      <c r="A195" s="379" t="s">
        <v>1447</v>
      </c>
      <c r="B195" s="425"/>
      <c r="C195" s="426" t="s">
        <v>4837</v>
      </c>
      <c r="D195" s="425">
        <v>1</v>
      </c>
      <c r="E195" s="425" t="s">
        <v>23</v>
      </c>
      <c r="F195" s="428">
        <v>515818000</v>
      </c>
      <c r="G195" s="428">
        <f>ROUNDDOWN(D195*F195,-3)</f>
        <v>515818000</v>
      </c>
    </row>
    <row r="196" spans="1:7" s="399" customFormat="1" ht="25.5">
      <c r="A196" s="379" t="s">
        <v>1448</v>
      </c>
      <c r="B196" s="418" t="s">
        <v>566</v>
      </c>
      <c r="C196" s="419" t="s">
        <v>154</v>
      </c>
      <c r="D196" s="418"/>
      <c r="E196" s="418"/>
      <c r="F196" s="420"/>
      <c r="G196" s="420">
        <f>SUM(G197,G201,G204,G206)</f>
        <v>450000000</v>
      </c>
    </row>
    <row r="197" spans="1:7" s="399" customFormat="1" ht="12.75">
      <c r="A197" s="379" t="s">
        <v>1449</v>
      </c>
      <c r="B197" s="421">
        <v>521211</v>
      </c>
      <c r="C197" s="422" t="s">
        <v>7</v>
      </c>
      <c r="D197" s="421"/>
      <c r="E197" s="421"/>
      <c r="F197" s="424"/>
      <c r="G197" s="424">
        <f t="shared" ref="G197" si="85">SUM(G198:G200)</f>
        <v>4000000</v>
      </c>
    </row>
    <row r="198" spans="1:7" s="399" customFormat="1" ht="12.75">
      <c r="A198" s="379" t="s">
        <v>1450</v>
      </c>
      <c r="B198" s="425"/>
      <c r="C198" s="426" t="s">
        <v>3529</v>
      </c>
      <c r="D198" s="425">
        <v>1</v>
      </c>
      <c r="E198" s="425" t="s">
        <v>9</v>
      </c>
      <c r="F198" s="428">
        <v>1500000</v>
      </c>
      <c r="G198" s="428">
        <f t="shared" ref="G198:G200" si="86">ROUNDDOWN(D198*F198,-3)</f>
        <v>1500000</v>
      </c>
    </row>
    <row r="199" spans="1:7" s="399" customFormat="1" ht="12.75">
      <c r="A199" s="379" t="s">
        <v>1451</v>
      </c>
      <c r="B199" s="425"/>
      <c r="C199" s="426" t="s">
        <v>3538</v>
      </c>
      <c r="D199" s="425">
        <v>1</v>
      </c>
      <c r="E199" s="425" t="s">
        <v>9</v>
      </c>
      <c r="F199" s="428">
        <v>1000000</v>
      </c>
      <c r="G199" s="428">
        <f t="shared" si="86"/>
        <v>1000000</v>
      </c>
    </row>
    <row r="200" spans="1:7" s="399" customFormat="1" ht="12.75">
      <c r="A200" s="379" t="s">
        <v>1452</v>
      </c>
      <c r="B200" s="425"/>
      <c r="C200" s="426" t="s">
        <v>3539</v>
      </c>
      <c r="D200" s="425">
        <v>1</v>
      </c>
      <c r="E200" s="425" t="s">
        <v>9</v>
      </c>
      <c r="F200" s="428">
        <v>1500000</v>
      </c>
      <c r="G200" s="428">
        <f t="shared" si="86"/>
        <v>1500000</v>
      </c>
    </row>
    <row r="201" spans="1:7" s="399" customFormat="1" ht="12.75">
      <c r="A201" s="379" t="s">
        <v>1453</v>
      </c>
      <c r="B201" s="421">
        <v>521219</v>
      </c>
      <c r="C201" s="422" t="s">
        <v>53</v>
      </c>
      <c r="D201" s="421"/>
      <c r="E201" s="421"/>
      <c r="F201" s="424"/>
      <c r="G201" s="424">
        <f>SUM(G202:G203)</f>
        <v>4298000</v>
      </c>
    </row>
    <row r="202" spans="1:7" s="399" customFormat="1" ht="25.5">
      <c r="A202" s="379" t="s">
        <v>1454</v>
      </c>
      <c r="B202" s="425"/>
      <c r="C202" s="426" t="s">
        <v>4843</v>
      </c>
      <c r="D202" s="425">
        <v>1</v>
      </c>
      <c r="E202" s="425" t="s">
        <v>60</v>
      </c>
      <c r="F202" s="428">
        <v>3105000</v>
      </c>
      <c r="G202" s="428">
        <f t="shared" ref="G202:G203" si="87">ROUNDDOWN(D202*F202,-3)</f>
        <v>3105000</v>
      </c>
    </row>
    <row r="203" spans="1:7" s="399" customFormat="1" ht="25.5">
      <c r="A203" s="379" t="s">
        <v>1456</v>
      </c>
      <c r="B203" s="425"/>
      <c r="C203" s="426" t="s">
        <v>4844</v>
      </c>
      <c r="D203" s="425">
        <v>1</v>
      </c>
      <c r="E203" s="425" t="s">
        <v>60</v>
      </c>
      <c r="F203" s="428">
        <v>1193000</v>
      </c>
      <c r="G203" s="428">
        <f t="shared" si="87"/>
        <v>1193000</v>
      </c>
    </row>
    <row r="204" spans="1:7" s="399" customFormat="1" ht="12.75">
      <c r="A204" s="379" t="s">
        <v>1462</v>
      </c>
      <c r="B204" s="421">
        <v>522151</v>
      </c>
      <c r="C204" s="422" t="s">
        <v>11</v>
      </c>
      <c r="D204" s="421"/>
      <c r="E204" s="421"/>
      <c r="F204" s="424"/>
      <c r="G204" s="424">
        <f t="shared" ref="G204" si="88">G205</f>
        <v>432643000</v>
      </c>
    </row>
    <row r="205" spans="1:7" s="399" customFormat="1" ht="12.75">
      <c r="A205" s="379" t="s">
        <v>1463</v>
      </c>
      <c r="B205" s="425"/>
      <c r="C205" s="426" t="s">
        <v>4845</v>
      </c>
      <c r="D205" s="425">
        <v>1</v>
      </c>
      <c r="E205" s="425" t="s">
        <v>23</v>
      </c>
      <c r="F205" s="428">
        <v>432643000</v>
      </c>
      <c r="G205" s="428">
        <f>ROUNDDOWN(D205*F205,-3)</f>
        <v>432643000</v>
      </c>
    </row>
    <row r="206" spans="1:7" s="399" customFormat="1" ht="12.75">
      <c r="A206" s="379" t="s">
        <v>1466</v>
      </c>
      <c r="B206" s="421">
        <v>524111</v>
      </c>
      <c r="C206" s="422" t="s">
        <v>19</v>
      </c>
      <c r="D206" s="421"/>
      <c r="E206" s="421"/>
      <c r="F206" s="424"/>
      <c r="G206" s="424">
        <f t="shared" ref="G206" si="89">G207</f>
        <v>9059000</v>
      </c>
    </row>
    <row r="207" spans="1:7" s="399" customFormat="1" ht="25.5">
      <c r="A207" s="379" t="s">
        <v>1467</v>
      </c>
      <c r="B207" s="425"/>
      <c r="C207" s="426" t="s">
        <v>3585</v>
      </c>
      <c r="D207" s="425">
        <v>2</v>
      </c>
      <c r="E207" s="425" t="s">
        <v>10</v>
      </c>
      <c r="F207" s="428">
        <v>4529500</v>
      </c>
      <c r="G207" s="428">
        <f>ROUNDDOWN(D207*F207,-3)</f>
        <v>9059000</v>
      </c>
    </row>
    <row r="208" spans="1:7" s="399" customFormat="1" ht="12.75">
      <c r="A208" s="379" t="s">
        <v>1469</v>
      </c>
      <c r="B208" s="418" t="s">
        <v>567</v>
      </c>
      <c r="C208" s="419" t="s">
        <v>56</v>
      </c>
      <c r="D208" s="418"/>
      <c r="E208" s="418"/>
      <c r="F208" s="420"/>
      <c r="G208" s="420">
        <f>SUM(G209,G213,G215,G217,G219)</f>
        <v>350000000</v>
      </c>
    </row>
    <row r="209" spans="1:7" s="399" customFormat="1" ht="12.75">
      <c r="A209" s="379" t="s">
        <v>1470</v>
      </c>
      <c r="B209" s="421">
        <v>521211</v>
      </c>
      <c r="C209" s="422" t="s">
        <v>7</v>
      </c>
      <c r="D209" s="421"/>
      <c r="E209" s="421"/>
      <c r="F209" s="424"/>
      <c r="G209" s="424">
        <f>SUM(G210:G212)</f>
        <v>12550000</v>
      </c>
    </row>
    <row r="210" spans="1:7" s="399" customFormat="1" ht="12.75">
      <c r="A210" s="379" t="s">
        <v>1471</v>
      </c>
      <c r="B210" s="425"/>
      <c r="C210" s="426" t="s">
        <v>3541</v>
      </c>
      <c r="D210" s="425">
        <v>134</v>
      </c>
      <c r="E210" s="425" t="s">
        <v>10</v>
      </c>
      <c r="F210" s="428">
        <v>75000</v>
      </c>
      <c r="G210" s="428">
        <f t="shared" ref="G210:G212" si="90">ROUNDDOWN(D210*F210,-3)</f>
        <v>10050000</v>
      </c>
    </row>
    <row r="211" spans="1:7" s="399" customFormat="1" ht="12.75">
      <c r="A211" s="379" t="s">
        <v>1472</v>
      </c>
      <c r="B211" s="425"/>
      <c r="C211" s="426" t="s">
        <v>3538</v>
      </c>
      <c r="D211" s="425">
        <v>1</v>
      </c>
      <c r="E211" s="425" t="s">
        <v>9</v>
      </c>
      <c r="F211" s="428">
        <v>1000000</v>
      </c>
      <c r="G211" s="428">
        <f t="shared" si="90"/>
        <v>1000000</v>
      </c>
    </row>
    <row r="212" spans="1:7" s="399" customFormat="1" ht="12.75">
      <c r="A212" s="379" t="s">
        <v>1473</v>
      </c>
      <c r="B212" s="425"/>
      <c r="C212" s="426" t="s">
        <v>3539</v>
      </c>
      <c r="D212" s="425">
        <v>1</v>
      </c>
      <c r="E212" s="425" t="s">
        <v>9</v>
      </c>
      <c r="F212" s="428">
        <v>1500000</v>
      </c>
      <c r="G212" s="428">
        <f t="shared" si="90"/>
        <v>1500000</v>
      </c>
    </row>
    <row r="213" spans="1:7" s="399" customFormat="1" ht="12.75">
      <c r="A213" s="379" t="s">
        <v>1475</v>
      </c>
      <c r="B213" s="421">
        <v>521219</v>
      </c>
      <c r="C213" s="422" t="s">
        <v>53</v>
      </c>
      <c r="D213" s="421"/>
      <c r="E213" s="421"/>
      <c r="F213" s="424"/>
      <c r="G213" s="424">
        <f t="shared" ref="G213:G215" si="91">G214</f>
        <v>1192000</v>
      </c>
    </row>
    <row r="214" spans="1:7" s="399" customFormat="1" ht="12.75">
      <c r="A214" s="379" t="s">
        <v>1476</v>
      </c>
      <c r="B214" s="425"/>
      <c r="C214" s="426" t="s">
        <v>3550</v>
      </c>
      <c r="D214" s="425">
        <v>1</v>
      </c>
      <c r="E214" s="425" t="s">
        <v>153</v>
      </c>
      <c r="F214" s="428">
        <v>1192000</v>
      </c>
      <c r="G214" s="428">
        <f>ROUNDDOWN(D214*F214,-3)</f>
        <v>1192000</v>
      </c>
    </row>
    <row r="215" spans="1:7" s="399" customFormat="1" ht="12.75">
      <c r="A215" s="379" t="s">
        <v>4826</v>
      </c>
      <c r="B215" s="421">
        <v>521811</v>
      </c>
      <c r="C215" s="422" t="s">
        <v>64</v>
      </c>
      <c r="D215" s="421"/>
      <c r="E215" s="421"/>
      <c r="F215" s="424"/>
      <c r="G215" s="424">
        <f t="shared" si="91"/>
        <v>266494000</v>
      </c>
    </row>
    <row r="216" spans="1:7" s="399" customFormat="1" ht="12.75">
      <c r="A216" s="379" t="s">
        <v>4846</v>
      </c>
      <c r="B216" s="425"/>
      <c r="C216" s="426" t="s">
        <v>4845</v>
      </c>
      <c r="D216" s="425">
        <v>1</v>
      </c>
      <c r="E216" s="425" t="s">
        <v>23</v>
      </c>
      <c r="F216" s="428">
        <v>266494000</v>
      </c>
      <c r="G216" s="428">
        <f>ROUNDDOWN(D216*F216,-3)</f>
        <v>266494000</v>
      </c>
    </row>
    <row r="217" spans="1:7" s="399" customFormat="1" ht="12.75">
      <c r="A217" s="379" t="s">
        <v>1477</v>
      </c>
      <c r="B217" s="421">
        <v>522151</v>
      </c>
      <c r="C217" s="422" t="s">
        <v>11</v>
      </c>
      <c r="D217" s="421"/>
      <c r="E217" s="421"/>
      <c r="F217" s="424"/>
      <c r="G217" s="424">
        <f t="shared" ref="G217" si="92">G218</f>
        <v>9000000</v>
      </c>
    </row>
    <row r="218" spans="1:7" s="399" customFormat="1" ht="12.75">
      <c r="A218" s="379" t="s">
        <v>1478</v>
      </c>
      <c r="B218" s="425"/>
      <c r="C218" s="426" t="s">
        <v>3586</v>
      </c>
      <c r="D218" s="425">
        <v>9</v>
      </c>
      <c r="E218" s="425" t="s">
        <v>12</v>
      </c>
      <c r="F218" s="428">
        <v>1000000</v>
      </c>
      <c r="G218" s="428">
        <f>ROUNDDOWN(D218*F218,-3)</f>
        <v>9000000</v>
      </c>
    </row>
    <row r="219" spans="1:7" s="399" customFormat="1" ht="12.75">
      <c r="A219" s="379" t="s">
        <v>1480</v>
      </c>
      <c r="B219" s="421">
        <v>524111</v>
      </c>
      <c r="C219" s="422" t="s">
        <v>19</v>
      </c>
      <c r="D219" s="421"/>
      <c r="E219" s="421"/>
      <c r="F219" s="424"/>
      <c r="G219" s="424">
        <f t="shared" ref="G219" si="93">G220</f>
        <v>60764000</v>
      </c>
    </row>
    <row r="220" spans="1:7" s="399" customFormat="1" ht="12.75">
      <c r="A220" s="379" t="s">
        <v>1481</v>
      </c>
      <c r="B220" s="425"/>
      <c r="C220" s="426" t="s">
        <v>3587</v>
      </c>
      <c r="D220" s="425">
        <v>10</v>
      </c>
      <c r="E220" s="425" t="s">
        <v>10</v>
      </c>
      <c r="F220" s="428">
        <v>6076400</v>
      </c>
      <c r="G220" s="428">
        <f>ROUNDDOWN(D220*F220,-3)</f>
        <v>60764000</v>
      </c>
    </row>
    <row r="221" spans="1:7" s="399" customFormat="1" ht="25.5">
      <c r="A221" s="379" t="s">
        <v>1483</v>
      </c>
      <c r="B221" s="418" t="s">
        <v>568</v>
      </c>
      <c r="C221" s="419" t="s">
        <v>1484</v>
      </c>
      <c r="D221" s="418"/>
      <c r="E221" s="418"/>
      <c r="F221" s="420"/>
      <c r="G221" s="420">
        <f t="shared" ref="G221" si="94">SUM(G222,G232,G235,G239)</f>
        <v>639737000</v>
      </c>
    </row>
    <row r="222" spans="1:7" s="399" customFormat="1" ht="12.75">
      <c r="A222" s="379" t="s">
        <v>1485</v>
      </c>
      <c r="B222" s="421">
        <v>521211</v>
      </c>
      <c r="C222" s="422" t="s">
        <v>7</v>
      </c>
      <c r="D222" s="421"/>
      <c r="E222" s="421"/>
      <c r="F222" s="424"/>
      <c r="G222" s="424">
        <f t="shared" ref="G222" si="95">SUM(G223:G231)</f>
        <v>118575000</v>
      </c>
    </row>
    <row r="223" spans="1:7" s="399" customFormat="1" ht="12.75">
      <c r="A223" s="379" t="s">
        <v>1486</v>
      </c>
      <c r="B223" s="425"/>
      <c r="C223" s="426" t="s">
        <v>3541</v>
      </c>
      <c r="D223" s="425">
        <v>569</v>
      </c>
      <c r="E223" s="425" t="s">
        <v>10</v>
      </c>
      <c r="F223" s="428">
        <v>75000</v>
      </c>
      <c r="G223" s="428">
        <f t="shared" ref="G223:G231" si="96">ROUNDDOWN(D223*F223,-3)</f>
        <v>42675000</v>
      </c>
    </row>
    <row r="224" spans="1:7" s="399" customFormat="1" ht="12.75">
      <c r="A224" s="379" t="s">
        <v>1487</v>
      </c>
      <c r="B224" s="425"/>
      <c r="C224" s="426" t="s">
        <v>3542</v>
      </c>
      <c r="D224" s="425">
        <v>2</v>
      </c>
      <c r="E224" s="425" t="s">
        <v>23</v>
      </c>
      <c r="F224" s="428">
        <v>1000000</v>
      </c>
      <c r="G224" s="428">
        <f t="shared" si="96"/>
        <v>2000000</v>
      </c>
    </row>
    <row r="225" spans="1:7" s="399" customFormat="1" ht="12.75">
      <c r="A225" s="379" t="s">
        <v>1488</v>
      </c>
      <c r="B225" s="425"/>
      <c r="C225" s="426" t="s">
        <v>3530</v>
      </c>
      <c r="D225" s="425">
        <v>2</v>
      </c>
      <c r="E225" s="425" t="s">
        <v>9</v>
      </c>
      <c r="F225" s="428">
        <v>1000000</v>
      </c>
      <c r="G225" s="428">
        <f t="shared" si="96"/>
        <v>2000000</v>
      </c>
    </row>
    <row r="226" spans="1:7" s="399" customFormat="1" ht="12.75">
      <c r="A226" s="379" t="s">
        <v>1489</v>
      </c>
      <c r="B226" s="425"/>
      <c r="C226" s="426" t="s">
        <v>3531</v>
      </c>
      <c r="D226" s="425">
        <v>2</v>
      </c>
      <c r="E226" s="425" t="s">
        <v>9</v>
      </c>
      <c r="F226" s="428">
        <v>1500000</v>
      </c>
      <c r="G226" s="428">
        <f t="shared" si="96"/>
        <v>3000000</v>
      </c>
    </row>
    <row r="227" spans="1:7" s="399" customFormat="1" ht="12.75">
      <c r="A227" s="379" t="s">
        <v>1490</v>
      </c>
      <c r="B227" s="425"/>
      <c r="C227" s="426" t="s">
        <v>3588</v>
      </c>
      <c r="D227" s="425">
        <v>20</v>
      </c>
      <c r="E227" s="425" t="s">
        <v>58</v>
      </c>
      <c r="F227" s="428">
        <v>450000</v>
      </c>
      <c r="G227" s="428">
        <f t="shared" si="96"/>
        <v>9000000</v>
      </c>
    </row>
    <row r="228" spans="1:7" s="399" customFormat="1" ht="12.75">
      <c r="A228" s="379" t="s">
        <v>1492</v>
      </c>
      <c r="B228" s="425"/>
      <c r="C228" s="426" t="s">
        <v>3589</v>
      </c>
      <c r="D228" s="425">
        <v>20</v>
      </c>
      <c r="E228" s="425" t="s">
        <v>58</v>
      </c>
      <c r="F228" s="428">
        <v>450000</v>
      </c>
      <c r="G228" s="428">
        <f t="shared" si="96"/>
        <v>9000000</v>
      </c>
    </row>
    <row r="229" spans="1:7" s="399" customFormat="1" ht="12.75">
      <c r="A229" s="379" t="s">
        <v>1494</v>
      </c>
      <c r="B229" s="425"/>
      <c r="C229" s="426" t="s">
        <v>3590</v>
      </c>
      <c r="D229" s="425">
        <v>1</v>
      </c>
      <c r="E229" s="425" t="s">
        <v>23</v>
      </c>
      <c r="F229" s="428">
        <v>25000000</v>
      </c>
      <c r="G229" s="428">
        <f t="shared" si="96"/>
        <v>25000000</v>
      </c>
    </row>
    <row r="230" spans="1:7" s="399" customFormat="1" ht="12.75">
      <c r="A230" s="379" t="s">
        <v>1496</v>
      </c>
      <c r="B230" s="425"/>
      <c r="C230" s="426" t="s">
        <v>3591</v>
      </c>
      <c r="D230" s="425">
        <v>1</v>
      </c>
      <c r="E230" s="425" t="s">
        <v>23</v>
      </c>
      <c r="F230" s="428">
        <v>25000000</v>
      </c>
      <c r="G230" s="428">
        <f t="shared" si="96"/>
        <v>25000000</v>
      </c>
    </row>
    <row r="231" spans="1:7" s="399" customFormat="1" ht="12.75">
      <c r="A231" s="379" t="s">
        <v>1498</v>
      </c>
      <c r="B231" s="425"/>
      <c r="C231" s="426" t="s">
        <v>3592</v>
      </c>
      <c r="D231" s="425">
        <v>3</v>
      </c>
      <c r="E231" s="425" t="s">
        <v>58</v>
      </c>
      <c r="F231" s="428">
        <v>300000</v>
      </c>
      <c r="G231" s="428">
        <f t="shared" si="96"/>
        <v>900000</v>
      </c>
    </row>
    <row r="232" spans="1:7" s="399" customFormat="1" ht="12.75">
      <c r="A232" s="379" t="s">
        <v>1500</v>
      </c>
      <c r="B232" s="421">
        <v>521219</v>
      </c>
      <c r="C232" s="422" t="s">
        <v>53</v>
      </c>
      <c r="D232" s="421"/>
      <c r="E232" s="421"/>
      <c r="F232" s="424"/>
      <c r="G232" s="424">
        <f t="shared" ref="G232" si="97">SUM(G233:G234)</f>
        <v>393200000</v>
      </c>
    </row>
    <row r="233" spans="1:7" s="399" customFormat="1" ht="12.75">
      <c r="A233" s="379" t="s">
        <v>1501</v>
      </c>
      <c r="B233" s="425"/>
      <c r="C233" s="426" t="s">
        <v>3593</v>
      </c>
      <c r="D233" s="425">
        <v>1</v>
      </c>
      <c r="E233" s="425" t="s">
        <v>23</v>
      </c>
      <c r="F233" s="428">
        <v>196600000</v>
      </c>
      <c r="G233" s="428">
        <f t="shared" ref="G233:G234" si="98">ROUNDDOWN(D233*F233,-3)</f>
        <v>196600000</v>
      </c>
    </row>
    <row r="234" spans="1:7" s="399" customFormat="1" ht="12.75">
      <c r="A234" s="379" t="s">
        <v>1503</v>
      </c>
      <c r="B234" s="425"/>
      <c r="C234" s="426" t="s">
        <v>3594</v>
      </c>
      <c r="D234" s="425">
        <v>1</v>
      </c>
      <c r="E234" s="425" t="s">
        <v>23</v>
      </c>
      <c r="F234" s="428">
        <v>196600000</v>
      </c>
      <c r="G234" s="428">
        <f t="shared" si="98"/>
        <v>196600000</v>
      </c>
    </row>
    <row r="235" spans="1:7" s="399" customFormat="1" ht="12.75">
      <c r="A235" s="379" t="s">
        <v>1505</v>
      </c>
      <c r="B235" s="421">
        <v>522141</v>
      </c>
      <c r="C235" s="422" t="s">
        <v>95</v>
      </c>
      <c r="D235" s="421"/>
      <c r="E235" s="421"/>
      <c r="F235" s="424"/>
      <c r="G235" s="424">
        <f t="shared" ref="G235" si="99">SUM(G236:G238)</f>
        <v>120000000</v>
      </c>
    </row>
    <row r="236" spans="1:7" s="399" customFormat="1" ht="12.75">
      <c r="A236" s="379" t="s">
        <v>1506</v>
      </c>
      <c r="B236" s="425"/>
      <c r="C236" s="426" t="s">
        <v>3595</v>
      </c>
      <c r="D236" s="425">
        <v>2</v>
      </c>
      <c r="E236" s="425" t="s">
        <v>23</v>
      </c>
      <c r="F236" s="428">
        <v>40000000</v>
      </c>
      <c r="G236" s="428">
        <f t="shared" ref="G236:G238" si="100">ROUNDDOWN(D236*F236,-3)</f>
        <v>80000000</v>
      </c>
    </row>
    <row r="237" spans="1:7" s="399" customFormat="1" ht="12.75">
      <c r="A237" s="379" t="s">
        <v>1508</v>
      </c>
      <c r="B237" s="425"/>
      <c r="C237" s="426" t="s">
        <v>3596</v>
      </c>
      <c r="D237" s="425">
        <v>2</v>
      </c>
      <c r="E237" s="425" t="s">
        <v>23</v>
      </c>
      <c r="F237" s="428">
        <v>10000000</v>
      </c>
      <c r="G237" s="428">
        <f t="shared" si="100"/>
        <v>20000000</v>
      </c>
    </row>
    <row r="238" spans="1:7" s="399" customFormat="1" ht="12.75">
      <c r="A238" s="379" t="s">
        <v>1510</v>
      </c>
      <c r="B238" s="425"/>
      <c r="C238" s="426" t="s">
        <v>3597</v>
      </c>
      <c r="D238" s="425">
        <v>2</v>
      </c>
      <c r="E238" s="425" t="s">
        <v>23</v>
      </c>
      <c r="F238" s="428">
        <v>10000000</v>
      </c>
      <c r="G238" s="428">
        <f t="shared" si="100"/>
        <v>20000000</v>
      </c>
    </row>
    <row r="239" spans="1:7" s="399" customFormat="1" ht="12.75">
      <c r="A239" s="379" t="s">
        <v>1512</v>
      </c>
      <c r="B239" s="421">
        <v>524111</v>
      </c>
      <c r="C239" s="422" t="s">
        <v>19</v>
      </c>
      <c r="D239" s="421"/>
      <c r="E239" s="421"/>
      <c r="F239" s="424"/>
      <c r="G239" s="424">
        <f t="shared" ref="G239" si="101">G240</f>
        <v>7962000</v>
      </c>
    </row>
    <row r="240" spans="1:7" s="399" customFormat="1" ht="25.5">
      <c r="A240" s="379" t="s">
        <v>1513</v>
      </c>
      <c r="B240" s="425"/>
      <c r="C240" s="426" t="s">
        <v>3598</v>
      </c>
      <c r="D240" s="425">
        <v>4</v>
      </c>
      <c r="E240" s="425" t="s">
        <v>10</v>
      </c>
      <c r="F240" s="428">
        <v>1990500</v>
      </c>
      <c r="G240" s="428">
        <f>ROUNDDOWN(D240*F240,-3)</f>
        <v>7962000</v>
      </c>
    </row>
    <row r="241" spans="1:7" s="399" customFormat="1" ht="25.5">
      <c r="A241" s="379" t="s">
        <v>1515</v>
      </c>
      <c r="B241" s="418" t="s">
        <v>569</v>
      </c>
      <c r="C241" s="419" t="s">
        <v>1516</v>
      </c>
      <c r="D241" s="418"/>
      <c r="E241" s="418"/>
      <c r="F241" s="420"/>
      <c r="G241" s="420">
        <f>SUM(G242,G250,G253,G255)</f>
        <v>110263000</v>
      </c>
    </row>
    <row r="242" spans="1:7" s="399" customFormat="1" ht="12.75">
      <c r="A242" s="379" t="s">
        <v>1517</v>
      </c>
      <c r="B242" s="421">
        <v>521211</v>
      </c>
      <c r="C242" s="422" t="s">
        <v>7</v>
      </c>
      <c r="D242" s="421"/>
      <c r="E242" s="421"/>
      <c r="F242" s="424"/>
      <c r="G242" s="424">
        <f t="shared" ref="G242" si="102">SUM(G243:G249)</f>
        <v>17550000</v>
      </c>
    </row>
    <row r="243" spans="1:7" s="399" customFormat="1" ht="12.75">
      <c r="A243" s="379" t="s">
        <v>1518</v>
      </c>
      <c r="B243" s="425"/>
      <c r="C243" s="426" t="s">
        <v>3541</v>
      </c>
      <c r="D243" s="425">
        <v>20</v>
      </c>
      <c r="E243" s="425" t="s">
        <v>10</v>
      </c>
      <c r="F243" s="428">
        <v>75000</v>
      </c>
      <c r="G243" s="428">
        <f t="shared" ref="G243:G249" si="103">ROUNDDOWN(D243*F243,-3)</f>
        <v>1500000</v>
      </c>
    </row>
    <row r="244" spans="1:7" s="399" customFormat="1" ht="12.75">
      <c r="A244" s="379" t="s">
        <v>1519</v>
      </c>
      <c r="B244" s="425"/>
      <c r="C244" s="426" t="s">
        <v>3542</v>
      </c>
      <c r="D244" s="425">
        <v>2</v>
      </c>
      <c r="E244" s="425" t="s">
        <v>23</v>
      </c>
      <c r="F244" s="428">
        <v>1000000</v>
      </c>
      <c r="G244" s="428">
        <f t="shared" si="103"/>
        <v>2000000</v>
      </c>
    </row>
    <row r="245" spans="1:7" s="399" customFormat="1" ht="12.75">
      <c r="A245" s="379" t="s">
        <v>1520</v>
      </c>
      <c r="B245" s="425"/>
      <c r="C245" s="426" t="s">
        <v>3530</v>
      </c>
      <c r="D245" s="425">
        <v>2</v>
      </c>
      <c r="E245" s="425" t="s">
        <v>9</v>
      </c>
      <c r="F245" s="428">
        <v>1000000</v>
      </c>
      <c r="G245" s="428">
        <f t="shared" si="103"/>
        <v>2000000</v>
      </c>
    </row>
    <row r="246" spans="1:7" s="399" customFormat="1" ht="12.75">
      <c r="A246" s="379" t="s">
        <v>1521</v>
      </c>
      <c r="B246" s="425"/>
      <c r="C246" s="426" t="s">
        <v>3531</v>
      </c>
      <c r="D246" s="425">
        <v>2</v>
      </c>
      <c r="E246" s="425" t="s">
        <v>9</v>
      </c>
      <c r="F246" s="428">
        <v>1500000</v>
      </c>
      <c r="G246" s="428">
        <f t="shared" si="103"/>
        <v>3000000</v>
      </c>
    </row>
    <row r="247" spans="1:7" s="399" customFormat="1" ht="12.75">
      <c r="A247" s="379" t="s">
        <v>1522</v>
      </c>
      <c r="B247" s="425"/>
      <c r="C247" s="426" t="s">
        <v>3599</v>
      </c>
      <c r="D247" s="425">
        <v>10</v>
      </c>
      <c r="E247" s="425" t="s">
        <v>58</v>
      </c>
      <c r="F247" s="428">
        <v>250000</v>
      </c>
      <c r="G247" s="428">
        <f t="shared" si="103"/>
        <v>2500000</v>
      </c>
    </row>
    <row r="248" spans="1:7" s="399" customFormat="1" ht="12.75">
      <c r="A248" s="379" t="s">
        <v>1524</v>
      </c>
      <c r="B248" s="425"/>
      <c r="C248" s="426" t="s">
        <v>3600</v>
      </c>
      <c r="D248" s="425">
        <v>500</v>
      </c>
      <c r="E248" s="425" t="s">
        <v>58</v>
      </c>
      <c r="F248" s="428">
        <v>6000</v>
      </c>
      <c r="G248" s="428">
        <f t="shared" si="103"/>
        <v>3000000</v>
      </c>
    </row>
    <row r="249" spans="1:7" s="399" customFormat="1" ht="25.5">
      <c r="A249" s="379" t="s">
        <v>1526</v>
      </c>
      <c r="B249" s="425"/>
      <c r="C249" s="426" t="s">
        <v>3601</v>
      </c>
      <c r="D249" s="425">
        <v>100</v>
      </c>
      <c r="E249" s="425" t="s">
        <v>58</v>
      </c>
      <c r="F249" s="428">
        <v>35500</v>
      </c>
      <c r="G249" s="428">
        <f t="shared" si="103"/>
        <v>3550000</v>
      </c>
    </row>
    <row r="250" spans="1:7" s="399" customFormat="1" ht="12.75">
      <c r="A250" s="379" t="s">
        <v>1528</v>
      </c>
      <c r="B250" s="421">
        <v>521219</v>
      </c>
      <c r="C250" s="422" t="s">
        <v>53</v>
      </c>
      <c r="D250" s="421"/>
      <c r="E250" s="421"/>
      <c r="F250" s="424"/>
      <c r="G250" s="424">
        <f>SUM(G251:G252)</f>
        <v>27651000</v>
      </c>
    </row>
    <row r="251" spans="1:7" s="399" customFormat="1" ht="12.75">
      <c r="A251" s="379" t="s">
        <v>1529</v>
      </c>
      <c r="B251" s="425"/>
      <c r="C251" s="426" t="s">
        <v>3550</v>
      </c>
      <c r="D251" s="425">
        <v>12</v>
      </c>
      <c r="E251" s="425" t="s">
        <v>66</v>
      </c>
      <c r="F251" s="428">
        <v>250000</v>
      </c>
      <c r="G251" s="428">
        <f>ROUNDDOWN(D251*F251,-3)</f>
        <v>3000000</v>
      </c>
    </row>
    <row r="252" spans="1:7" s="399" customFormat="1" ht="25.5">
      <c r="A252" s="379" t="s">
        <v>4847</v>
      </c>
      <c r="B252" s="425"/>
      <c r="C252" s="426" t="s">
        <v>4848</v>
      </c>
      <c r="D252" s="425">
        <v>1</v>
      </c>
      <c r="E252" s="425" t="s">
        <v>66</v>
      </c>
      <c r="F252" s="428">
        <v>24651000</v>
      </c>
      <c r="G252" s="428">
        <f>ROUNDDOWN(D252*F252,-3)</f>
        <v>24651000</v>
      </c>
    </row>
    <row r="253" spans="1:7" s="399" customFormat="1" ht="12.75">
      <c r="A253" s="379" t="s">
        <v>1530</v>
      </c>
      <c r="B253" s="421">
        <v>522151</v>
      </c>
      <c r="C253" s="422" t="s">
        <v>11</v>
      </c>
      <c r="D253" s="421"/>
      <c r="E253" s="421"/>
      <c r="F253" s="424"/>
      <c r="G253" s="424">
        <f t="shared" ref="G253" si="104">G254</f>
        <v>40000000</v>
      </c>
    </row>
    <row r="254" spans="1:7" s="399" customFormat="1" ht="12.75">
      <c r="A254" s="379" t="s">
        <v>1531</v>
      </c>
      <c r="B254" s="425"/>
      <c r="C254" s="426" t="s">
        <v>3586</v>
      </c>
      <c r="D254" s="425">
        <v>40</v>
      </c>
      <c r="E254" s="425" t="s">
        <v>54</v>
      </c>
      <c r="F254" s="428">
        <v>1000000</v>
      </c>
      <c r="G254" s="428">
        <f>ROUNDDOWN(D254*F254,-3)</f>
        <v>40000000</v>
      </c>
    </row>
    <row r="255" spans="1:7" s="399" customFormat="1" ht="12.75">
      <c r="A255" s="379" t="s">
        <v>1532</v>
      </c>
      <c r="B255" s="421">
        <v>524111</v>
      </c>
      <c r="C255" s="422" t="s">
        <v>19</v>
      </c>
      <c r="D255" s="421"/>
      <c r="E255" s="421"/>
      <c r="F255" s="424"/>
      <c r="G255" s="424">
        <f t="shared" ref="G255" si="105">G256</f>
        <v>25062000</v>
      </c>
    </row>
    <row r="256" spans="1:7" s="399" customFormat="1" ht="25.5">
      <c r="A256" s="379" t="s">
        <v>1533</v>
      </c>
      <c r="B256" s="425"/>
      <c r="C256" s="426" t="s">
        <v>3602</v>
      </c>
      <c r="D256" s="425">
        <v>10</v>
      </c>
      <c r="E256" s="425" t="s">
        <v>10</v>
      </c>
      <c r="F256" s="428">
        <v>2506200</v>
      </c>
      <c r="G256" s="428">
        <f>ROUNDDOWN(D256*F256,-3)</f>
        <v>25062000</v>
      </c>
    </row>
    <row r="257" spans="1:7" s="399" customFormat="1" ht="12.75">
      <c r="A257" s="379" t="s">
        <v>1678</v>
      </c>
      <c r="B257" s="411" t="s">
        <v>3603</v>
      </c>
      <c r="C257" s="412" t="s">
        <v>1680</v>
      </c>
      <c r="D257" s="411">
        <v>1</v>
      </c>
      <c r="E257" s="411" t="s">
        <v>3565</v>
      </c>
      <c r="F257" s="413"/>
      <c r="G257" s="413">
        <f>G258</f>
        <v>2195658000</v>
      </c>
    </row>
    <row r="258" spans="1:7" s="399" customFormat="1" ht="12.75">
      <c r="A258" s="379" t="s">
        <v>1826</v>
      </c>
      <c r="B258" s="414" t="s">
        <v>546</v>
      </c>
      <c r="C258" s="415" t="s">
        <v>89</v>
      </c>
      <c r="D258" s="414"/>
      <c r="E258" s="414"/>
      <c r="F258" s="417"/>
      <c r="G258" s="417">
        <f t="shared" ref="G258" si="106">SUM(G259,G280,G286,G299,G314)</f>
        <v>2195658000</v>
      </c>
    </row>
    <row r="259" spans="1:7" s="399" customFormat="1" ht="25.5">
      <c r="A259" s="379" t="s">
        <v>2149</v>
      </c>
      <c r="B259" s="418" t="s">
        <v>1786</v>
      </c>
      <c r="C259" s="419" t="s">
        <v>2150</v>
      </c>
      <c r="D259" s="418"/>
      <c r="E259" s="418"/>
      <c r="F259" s="420"/>
      <c r="G259" s="420">
        <f t="shared" ref="G259" si="107">SUM(G260,G270)</f>
        <v>1254380000</v>
      </c>
    </row>
    <row r="260" spans="1:7" s="399" customFormat="1" ht="12.75">
      <c r="A260" s="379" t="s">
        <v>2151</v>
      </c>
      <c r="B260" s="421">
        <v>521111</v>
      </c>
      <c r="C260" s="422" t="s">
        <v>90</v>
      </c>
      <c r="D260" s="421"/>
      <c r="E260" s="421"/>
      <c r="F260" s="424"/>
      <c r="G260" s="424">
        <f t="shared" ref="G260" si="108">SUM(G261:G269)</f>
        <v>1076220000</v>
      </c>
    </row>
    <row r="261" spans="1:7" s="399" customFormat="1" ht="12.75">
      <c r="A261" s="379" t="s">
        <v>2152</v>
      </c>
      <c r="B261" s="425"/>
      <c r="C261" s="426" t="s">
        <v>3606</v>
      </c>
      <c r="D261" s="425">
        <v>60</v>
      </c>
      <c r="E261" s="425" t="s">
        <v>116</v>
      </c>
      <c r="F261" s="428">
        <v>1265000</v>
      </c>
      <c r="G261" s="428">
        <f t="shared" ref="G261:G269" si="109">ROUNDDOWN(D261*F261,-3)</f>
        <v>75900000</v>
      </c>
    </row>
    <row r="262" spans="1:7" s="399" customFormat="1" ht="12.75">
      <c r="A262" s="379" t="s">
        <v>2153</v>
      </c>
      <c r="B262" s="425"/>
      <c r="C262" s="426" t="s">
        <v>3607</v>
      </c>
      <c r="D262" s="425">
        <v>1</v>
      </c>
      <c r="E262" s="425" t="s">
        <v>60</v>
      </c>
      <c r="F262" s="428">
        <v>40000000</v>
      </c>
      <c r="G262" s="428">
        <f t="shared" si="109"/>
        <v>40000000</v>
      </c>
    </row>
    <row r="263" spans="1:7" s="399" customFormat="1" ht="12.75">
      <c r="A263" s="379" t="s">
        <v>2155</v>
      </c>
      <c r="B263" s="425"/>
      <c r="C263" s="426" t="s">
        <v>3608</v>
      </c>
      <c r="D263" s="425">
        <v>156</v>
      </c>
      <c r="E263" s="425" t="s">
        <v>21</v>
      </c>
      <c r="F263" s="428">
        <v>4858000</v>
      </c>
      <c r="G263" s="428">
        <f t="shared" si="109"/>
        <v>757848000</v>
      </c>
    </row>
    <row r="264" spans="1:7" s="399" customFormat="1" ht="12.75">
      <c r="A264" s="379" t="s">
        <v>2157</v>
      </c>
      <c r="B264" s="425"/>
      <c r="C264" s="426" t="s">
        <v>3609</v>
      </c>
      <c r="D264" s="425">
        <v>13</v>
      </c>
      <c r="E264" s="425" t="s">
        <v>32</v>
      </c>
      <c r="F264" s="428">
        <v>5344000</v>
      </c>
      <c r="G264" s="428">
        <f t="shared" si="109"/>
        <v>69472000</v>
      </c>
    </row>
    <row r="265" spans="1:7" s="399" customFormat="1" ht="25.5">
      <c r="A265" s="379" t="s">
        <v>2158</v>
      </c>
      <c r="B265" s="425"/>
      <c r="C265" s="426" t="s">
        <v>3610</v>
      </c>
      <c r="D265" s="425">
        <v>12</v>
      </c>
      <c r="E265" s="425" t="s">
        <v>78</v>
      </c>
      <c r="F265" s="428">
        <v>400000</v>
      </c>
      <c r="G265" s="428">
        <f t="shared" si="109"/>
        <v>4800000</v>
      </c>
    </row>
    <row r="266" spans="1:7" s="399" customFormat="1" ht="12.75">
      <c r="A266" s="379" t="s">
        <v>2160</v>
      </c>
      <c r="B266" s="425"/>
      <c r="C266" s="426" t="s">
        <v>3611</v>
      </c>
      <c r="D266" s="425">
        <v>1</v>
      </c>
      <c r="E266" s="425" t="s">
        <v>60</v>
      </c>
      <c r="F266" s="428">
        <v>67000000</v>
      </c>
      <c r="G266" s="428">
        <f t="shared" si="109"/>
        <v>67000000</v>
      </c>
    </row>
    <row r="267" spans="1:7" s="399" customFormat="1" ht="12.75">
      <c r="A267" s="379" t="s">
        <v>2162</v>
      </c>
      <c r="B267" s="425"/>
      <c r="C267" s="426" t="s">
        <v>3612</v>
      </c>
      <c r="D267" s="425">
        <v>12</v>
      </c>
      <c r="E267" s="425" t="s">
        <v>115</v>
      </c>
      <c r="F267" s="428">
        <v>750000</v>
      </c>
      <c r="G267" s="428">
        <f t="shared" si="109"/>
        <v>9000000</v>
      </c>
    </row>
    <row r="268" spans="1:7" s="399" customFormat="1" ht="12.75">
      <c r="A268" s="379" t="s">
        <v>2164</v>
      </c>
      <c r="B268" s="425"/>
      <c r="C268" s="426" t="s">
        <v>3613</v>
      </c>
      <c r="D268" s="425">
        <v>12</v>
      </c>
      <c r="E268" s="425" t="s">
        <v>115</v>
      </c>
      <c r="F268" s="428">
        <v>1600000</v>
      </c>
      <c r="G268" s="428">
        <f t="shared" si="109"/>
        <v>19200000</v>
      </c>
    </row>
    <row r="269" spans="1:7" s="399" customFormat="1" ht="12.75">
      <c r="A269" s="379" t="s">
        <v>2166</v>
      </c>
      <c r="B269" s="425"/>
      <c r="C269" s="426" t="s">
        <v>3614</v>
      </c>
      <c r="D269" s="425">
        <v>12</v>
      </c>
      <c r="E269" s="425" t="s">
        <v>78</v>
      </c>
      <c r="F269" s="428">
        <v>2750000</v>
      </c>
      <c r="G269" s="428">
        <f t="shared" si="109"/>
        <v>33000000</v>
      </c>
    </row>
    <row r="270" spans="1:7" s="399" customFormat="1" ht="12.75">
      <c r="A270" s="379" t="s">
        <v>2168</v>
      </c>
      <c r="B270" s="421">
        <v>521811</v>
      </c>
      <c r="C270" s="422" t="s">
        <v>64</v>
      </c>
      <c r="D270" s="421"/>
      <c r="E270" s="421"/>
      <c r="F270" s="424"/>
      <c r="G270" s="424">
        <f t="shared" ref="G270" si="110">SUM(G271:G279)</f>
        <v>178160000</v>
      </c>
    </row>
    <row r="271" spans="1:7" s="399" customFormat="1" ht="12.75">
      <c r="A271" s="379" t="s">
        <v>2169</v>
      </c>
      <c r="B271" s="425"/>
      <c r="C271" s="426" t="s">
        <v>3535</v>
      </c>
      <c r="D271" s="425">
        <v>40</v>
      </c>
      <c r="E271" s="425" t="s">
        <v>9</v>
      </c>
      <c r="F271" s="428">
        <v>1000000</v>
      </c>
      <c r="G271" s="428">
        <f t="shared" ref="G271:G279" si="111">ROUNDDOWN(D271*F271,-3)</f>
        <v>40000000</v>
      </c>
    </row>
    <row r="272" spans="1:7" s="399" customFormat="1" ht="12.75">
      <c r="A272" s="379" t="s">
        <v>2170</v>
      </c>
      <c r="B272" s="425"/>
      <c r="C272" s="426" t="s">
        <v>3536</v>
      </c>
      <c r="D272" s="425">
        <v>40</v>
      </c>
      <c r="E272" s="425" t="s">
        <v>9</v>
      </c>
      <c r="F272" s="428">
        <v>1500000</v>
      </c>
      <c r="G272" s="428">
        <f t="shared" si="111"/>
        <v>60000000</v>
      </c>
    </row>
    <row r="273" spans="1:7" s="399" customFormat="1" ht="12.75">
      <c r="A273" s="379" t="s">
        <v>2171</v>
      </c>
      <c r="B273" s="425"/>
      <c r="C273" s="426" t="s">
        <v>3615</v>
      </c>
      <c r="D273" s="425">
        <v>192</v>
      </c>
      <c r="E273" s="425" t="s">
        <v>9</v>
      </c>
      <c r="F273" s="428">
        <v>50000</v>
      </c>
      <c r="G273" s="428">
        <f t="shared" si="111"/>
        <v>9600000</v>
      </c>
    </row>
    <row r="274" spans="1:7" s="399" customFormat="1" ht="12.75">
      <c r="A274" s="379" t="s">
        <v>2173</v>
      </c>
      <c r="B274" s="425"/>
      <c r="C274" s="426" t="s">
        <v>3616</v>
      </c>
      <c r="D274" s="425">
        <v>192</v>
      </c>
      <c r="E274" s="425" t="s">
        <v>9</v>
      </c>
      <c r="F274" s="428">
        <v>55000</v>
      </c>
      <c r="G274" s="428">
        <f t="shared" si="111"/>
        <v>10560000</v>
      </c>
    </row>
    <row r="275" spans="1:7" s="399" customFormat="1" ht="12.75">
      <c r="A275" s="379" t="s">
        <v>2175</v>
      </c>
      <c r="B275" s="425"/>
      <c r="C275" s="426" t="s">
        <v>3617</v>
      </c>
      <c r="D275" s="425">
        <v>50</v>
      </c>
      <c r="E275" s="425" t="s">
        <v>2177</v>
      </c>
      <c r="F275" s="428">
        <v>220000</v>
      </c>
      <c r="G275" s="428">
        <f t="shared" si="111"/>
        <v>11000000</v>
      </c>
    </row>
    <row r="276" spans="1:7" s="399" customFormat="1" ht="12.75">
      <c r="A276" s="379" t="s">
        <v>2178</v>
      </c>
      <c r="B276" s="425"/>
      <c r="C276" s="426" t="s">
        <v>3618</v>
      </c>
      <c r="D276" s="425">
        <v>50</v>
      </c>
      <c r="E276" s="425" t="s">
        <v>2177</v>
      </c>
      <c r="F276" s="428">
        <v>240000</v>
      </c>
      <c r="G276" s="428">
        <f t="shared" si="111"/>
        <v>12000000</v>
      </c>
    </row>
    <row r="277" spans="1:7" s="399" customFormat="1" ht="12.75">
      <c r="A277" s="379" t="s">
        <v>2180</v>
      </c>
      <c r="B277" s="425"/>
      <c r="C277" s="426" t="s">
        <v>3619</v>
      </c>
      <c r="D277" s="425">
        <v>800</v>
      </c>
      <c r="E277" s="425" t="s">
        <v>120</v>
      </c>
      <c r="F277" s="428">
        <v>5000</v>
      </c>
      <c r="G277" s="428">
        <f t="shared" si="111"/>
        <v>4000000</v>
      </c>
    </row>
    <row r="278" spans="1:7" s="399" customFormat="1" ht="12.75">
      <c r="A278" s="379" t="s">
        <v>2182</v>
      </c>
      <c r="B278" s="425"/>
      <c r="C278" s="426" t="s">
        <v>3620</v>
      </c>
      <c r="D278" s="425">
        <v>50</v>
      </c>
      <c r="E278" s="425" t="s">
        <v>1401</v>
      </c>
      <c r="F278" s="428">
        <v>220000</v>
      </c>
      <c r="G278" s="428">
        <f t="shared" si="111"/>
        <v>11000000</v>
      </c>
    </row>
    <row r="279" spans="1:7" s="399" customFormat="1" ht="12.75">
      <c r="A279" s="379" t="s">
        <v>2184</v>
      </c>
      <c r="B279" s="425"/>
      <c r="C279" s="426" t="s">
        <v>3621</v>
      </c>
      <c r="D279" s="425">
        <v>800</v>
      </c>
      <c r="E279" s="425" t="s">
        <v>120</v>
      </c>
      <c r="F279" s="428">
        <v>25000</v>
      </c>
      <c r="G279" s="428">
        <f t="shared" si="111"/>
        <v>20000000</v>
      </c>
    </row>
    <row r="280" spans="1:7" s="399" customFormat="1" ht="12.75">
      <c r="A280" s="379" t="s">
        <v>2186</v>
      </c>
      <c r="B280" s="418" t="s">
        <v>2187</v>
      </c>
      <c r="C280" s="419" t="s">
        <v>2188</v>
      </c>
      <c r="D280" s="418"/>
      <c r="E280" s="418"/>
      <c r="F280" s="420"/>
      <c r="G280" s="420">
        <f t="shared" ref="G280" si="112">SUM(G281,G283)</f>
        <v>148852000</v>
      </c>
    </row>
    <row r="281" spans="1:7" s="399" customFormat="1" ht="12.75">
      <c r="A281" s="379" t="s">
        <v>2189</v>
      </c>
      <c r="B281" s="421">
        <v>521114</v>
      </c>
      <c r="C281" s="422" t="s">
        <v>94</v>
      </c>
      <c r="D281" s="421"/>
      <c r="E281" s="421"/>
      <c r="F281" s="424"/>
      <c r="G281" s="424">
        <f t="shared" ref="G281" si="113">G282</f>
        <v>30000000</v>
      </c>
    </row>
    <row r="282" spans="1:7" s="399" customFormat="1" ht="12.75">
      <c r="A282" s="379" t="s">
        <v>2190</v>
      </c>
      <c r="B282" s="425"/>
      <c r="C282" s="426" t="s">
        <v>3622</v>
      </c>
      <c r="D282" s="425">
        <v>12</v>
      </c>
      <c r="E282" s="425" t="s">
        <v>78</v>
      </c>
      <c r="F282" s="428">
        <v>2500000</v>
      </c>
      <c r="G282" s="428">
        <f>ROUNDDOWN(D282*F282,-3)</f>
        <v>30000000</v>
      </c>
    </row>
    <row r="283" spans="1:7" s="399" customFormat="1" ht="12.75">
      <c r="A283" s="379" t="s">
        <v>2192</v>
      </c>
      <c r="B283" s="421">
        <v>522141</v>
      </c>
      <c r="C283" s="422" t="s">
        <v>95</v>
      </c>
      <c r="D283" s="421"/>
      <c r="E283" s="421"/>
      <c r="F283" s="424"/>
      <c r="G283" s="424">
        <f t="shared" ref="G283" si="114">SUM(G284:G285)</f>
        <v>118852000</v>
      </c>
    </row>
    <row r="284" spans="1:7" s="399" customFormat="1" ht="12.75">
      <c r="A284" s="379" t="s">
        <v>2193</v>
      </c>
      <c r="B284" s="425"/>
      <c r="C284" s="426" t="s">
        <v>3623</v>
      </c>
      <c r="D284" s="425">
        <v>12</v>
      </c>
      <c r="E284" s="425" t="s">
        <v>78</v>
      </c>
      <c r="F284" s="428">
        <v>5000000</v>
      </c>
      <c r="G284" s="428">
        <f t="shared" ref="G284:G285" si="115">ROUNDDOWN(D284*F284,-3)</f>
        <v>60000000</v>
      </c>
    </row>
    <row r="285" spans="1:7" s="399" customFormat="1" ht="12.75">
      <c r="A285" s="379" t="s">
        <v>2195</v>
      </c>
      <c r="B285" s="425"/>
      <c r="C285" s="426" t="s">
        <v>3624</v>
      </c>
      <c r="D285" s="425">
        <v>1</v>
      </c>
      <c r="E285" s="425" t="s">
        <v>60</v>
      </c>
      <c r="F285" s="428">
        <v>58852000</v>
      </c>
      <c r="G285" s="428">
        <f t="shared" si="115"/>
        <v>58852000</v>
      </c>
    </row>
    <row r="286" spans="1:7" s="399" customFormat="1" ht="12.75">
      <c r="A286" s="379" t="s">
        <v>2197</v>
      </c>
      <c r="B286" s="418" t="s">
        <v>2198</v>
      </c>
      <c r="C286" s="419" t="s">
        <v>2199</v>
      </c>
      <c r="D286" s="418"/>
      <c r="E286" s="418"/>
      <c r="F286" s="420"/>
      <c r="G286" s="420">
        <f t="shared" ref="G286" si="116">SUM(G287,G297)</f>
        <v>533050000</v>
      </c>
    </row>
    <row r="287" spans="1:7" s="399" customFormat="1" ht="12.75">
      <c r="A287" s="379" t="s">
        <v>2200</v>
      </c>
      <c r="B287" s="421">
        <v>523121</v>
      </c>
      <c r="C287" s="422" t="s">
        <v>99</v>
      </c>
      <c r="D287" s="421"/>
      <c r="E287" s="421"/>
      <c r="F287" s="424"/>
      <c r="G287" s="424">
        <f t="shared" ref="G287" si="117">SUM(G288:G296)</f>
        <v>497050000</v>
      </c>
    </row>
    <row r="288" spans="1:7" s="399" customFormat="1" ht="25.5">
      <c r="A288" s="379" t="s">
        <v>2201</v>
      </c>
      <c r="B288" s="425"/>
      <c r="C288" s="426" t="s">
        <v>3625</v>
      </c>
      <c r="D288" s="425">
        <v>1</v>
      </c>
      <c r="E288" s="425" t="s">
        <v>44</v>
      </c>
      <c r="F288" s="428">
        <v>38730000</v>
      </c>
      <c r="G288" s="428">
        <f t="shared" ref="G288:G296" si="118">ROUNDDOWN(D288*F288,-3)</f>
        <v>38730000</v>
      </c>
    </row>
    <row r="289" spans="1:7" s="399" customFormat="1" ht="12.75">
      <c r="A289" s="379" t="s">
        <v>2203</v>
      </c>
      <c r="B289" s="425"/>
      <c r="C289" s="426" t="s">
        <v>3626</v>
      </c>
      <c r="D289" s="425">
        <v>9</v>
      </c>
      <c r="E289" s="425" t="s">
        <v>3627</v>
      </c>
      <c r="F289" s="428">
        <v>32850000</v>
      </c>
      <c r="G289" s="428">
        <f t="shared" si="118"/>
        <v>295650000</v>
      </c>
    </row>
    <row r="290" spans="1:7" s="399" customFormat="1" ht="25.5">
      <c r="A290" s="379" t="s">
        <v>2205</v>
      </c>
      <c r="B290" s="425"/>
      <c r="C290" s="426" t="s">
        <v>3628</v>
      </c>
      <c r="D290" s="425">
        <v>5</v>
      </c>
      <c r="E290" s="425" t="s">
        <v>42</v>
      </c>
      <c r="F290" s="428">
        <v>3640000</v>
      </c>
      <c r="G290" s="428">
        <f t="shared" si="118"/>
        <v>18200000</v>
      </c>
    </row>
    <row r="291" spans="1:7" s="399" customFormat="1" ht="12.75">
      <c r="A291" s="379" t="s">
        <v>2207</v>
      </c>
      <c r="B291" s="425"/>
      <c r="C291" s="426" t="s">
        <v>3629</v>
      </c>
      <c r="D291" s="425">
        <v>40</v>
      </c>
      <c r="E291" s="425" t="s">
        <v>42</v>
      </c>
      <c r="F291" s="428">
        <v>730000</v>
      </c>
      <c r="G291" s="428">
        <f t="shared" si="118"/>
        <v>29200000</v>
      </c>
    </row>
    <row r="292" spans="1:7" s="399" customFormat="1" ht="12.75">
      <c r="A292" s="379" t="s">
        <v>2208</v>
      </c>
      <c r="B292" s="425"/>
      <c r="C292" s="426" t="s">
        <v>3630</v>
      </c>
      <c r="D292" s="425">
        <v>35</v>
      </c>
      <c r="E292" s="425" t="s">
        <v>44</v>
      </c>
      <c r="F292" s="428">
        <v>730000</v>
      </c>
      <c r="G292" s="428">
        <f t="shared" si="118"/>
        <v>25550000</v>
      </c>
    </row>
    <row r="293" spans="1:7" s="399" customFormat="1" ht="12.75">
      <c r="A293" s="379" t="s">
        <v>2209</v>
      </c>
      <c r="B293" s="425"/>
      <c r="C293" s="426" t="s">
        <v>3631</v>
      </c>
      <c r="D293" s="425">
        <v>35</v>
      </c>
      <c r="E293" s="425" t="s">
        <v>44</v>
      </c>
      <c r="F293" s="428">
        <v>690000</v>
      </c>
      <c r="G293" s="428">
        <f t="shared" si="118"/>
        <v>24150000</v>
      </c>
    </row>
    <row r="294" spans="1:7" s="399" customFormat="1" ht="12.75">
      <c r="A294" s="379" t="s">
        <v>2210</v>
      </c>
      <c r="B294" s="425"/>
      <c r="C294" s="426" t="s">
        <v>3632</v>
      </c>
      <c r="D294" s="425">
        <v>3</v>
      </c>
      <c r="E294" s="425" t="s">
        <v>44</v>
      </c>
      <c r="F294" s="428">
        <v>3500000</v>
      </c>
      <c r="G294" s="428">
        <f t="shared" si="118"/>
        <v>10500000</v>
      </c>
    </row>
    <row r="295" spans="1:7" s="399" customFormat="1" ht="12.75">
      <c r="A295" s="379" t="s">
        <v>2211</v>
      </c>
      <c r="B295" s="425"/>
      <c r="C295" s="426" t="s">
        <v>3633</v>
      </c>
      <c r="D295" s="425">
        <v>6</v>
      </c>
      <c r="E295" s="425" t="s">
        <v>44</v>
      </c>
      <c r="F295" s="428">
        <v>470000</v>
      </c>
      <c r="G295" s="428">
        <f t="shared" si="118"/>
        <v>2820000</v>
      </c>
    </row>
    <row r="296" spans="1:7" s="399" customFormat="1" ht="12.75">
      <c r="A296" s="379" t="s">
        <v>2213</v>
      </c>
      <c r="B296" s="425"/>
      <c r="C296" s="426" t="s">
        <v>3634</v>
      </c>
      <c r="D296" s="425">
        <v>1</v>
      </c>
      <c r="E296" s="425" t="s">
        <v>60</v>
      </c>
      <c r="F296" s="428">
        <v>52250000</v>
      </c>
      <c r="G296" s="428">
        <f t="shared" si="118"/>
        <v>52250000</v>
      </c>
    </row>
    <row r="297" spans="1:7" s="399" customFormat="1" ht="12.75">
      <c r="A297" s="379" t="s">
        <v>2214</v>
      </c>
      <c r="B297" s="421">
        <v>523199</v>
      </c>
      <c r="C297" s="422" t="s">
        <v>102</v>
      </c>
      <c r="D297" s="421"/>
      <c r="E297" s="421"/>
      <c r="F297" s="424"/>
      <c r="G297" s="424">
        <f t="shared" ref="G297" si="119">G298</f>
        <v>36000000</v>
      </c>
    </row>
    <row r="298" spans="1:7" s="399" customFormat="1" ht="12.75">
      <c r="A298" s="379" t="s">
        <v>2215</v>
      </c>
      <c r="B298" s="425"/>
      <c r="C298" s="426" t="s">
        <v>3635</v>
      </c>
      <c r="D298" s="425">
        <v>24</v>
      </c>
      <c r="E298" s="425" t="s">
        <v>96</v>
      </c>
      <c r="F298" s="428">
        <v>1500000</v>
      </c>
      <c r="G298" s="428">
        <f>ROUNDDOWN(D298*F298,-3)</f>
        <v>36000000</v>
      </c>
    </row>
    <row r="299" spans="1:7" s="399" customFormat="1" ht="25.5">
      <c r="A299" s="379" t="s">
        <v>2217</v>
      </c>
      <c r="B299" s="418" t="s">
        <v>2218</v>
      </c>
      <c r="C299" s="419" t="s">
        <v>2219</v>
      </c>
      <c r="D299" s="418"/>
      <c r="E299" s="418"/>
      <c r="F299" s="420"/>
      <c r="G299" s="420">
        <f t="shared" ref="G299" si="120">SUM(G300,G303)</f>
        <v>159376000</v>
      </c>
    </row>
    <row r="300" spans="1:7" s="399" customFormat="1" ht="12.75">
      <c r="A300" s="379" t="s">
        <v>2220</v>
      </c>
      <c r="B300" s="421">
        <v>521111</v>
      </c>
      <c r="C300" s="422" t="s">
        <v>90</v>
      </c>
      <c r="D300" s="421"/>
      <c r="E300" s="421"/>
      <c r="F300" s="424"/>
      <c r="G300" s="424">
        <f t="shared" ref="G300" si="121">SUM(G301:G302)</f>
        <v>101016000</v>
      </c>
    </row>
    <row r="301" spans="1:7" s="399" customFormat="1" ht="12.75">
      <c r="A301" s="379" t="s">
        <v>2221</v>
      </c>
      <c r="B301" s="425"/>
      <c r="C301" s="426" t="s">
        <v>3636</v>
      </c>
      <c r="D301" s="425">
        <v>100</v>
      </c>
      <c r="E301" s="425" t="s">
        <v>2223</v>
      </c>
      <c r="F301" s="428">
        <v>856760</v>
      </c>
      <c r="G301" s="428">
        <f t="shared" ref="G301:G302" si="122">ROUNDDOWN(D301*F301,-3)</f>
        <v>85676000</v>
      </c>
    </row>
    <row r="302" spans="1:7" s="399" customFormat="1" ht="12.75">
      <c r="A302" s="379" t="s">
        <v>2224</v>
      </c>
      <c r="B302" s="425"/>
      <c r="C302" s="426" t="s">
        <v>3637</v>
      </c>
      <c r="D302" s="425">
        <v>26</v>
      </c>
      <c r="E302" s="425" t="s">
        <v>121</v>
      </c>
      <c r="F302" s="428">
        <v>590000</v>
      </c>
      <c r="G302" s="428">
        <f t="shared" si="122"/>
        <v>15340000</v>
      </c>
    </row>
    <row r="303" spans="1:7" s="399" customFormat="1" ht="12.75">
      <c r="A303" s="379" t="s">
        <v>2226</v>
      </c>
      <c r="B303" s="421">
        <v>521115</v>
      </c>
      <c r="C303" s="422" t="s">
        <v>104</v>
      </c>
      <c r="D303" s="421"/>
      <c r="E303" s="421"/>
      <c r="F303" s="424"/>
      <c r="G303" s="424">
        <f t="shared" ref="G303" si="123">SUM(G304:G313)</f>
        <v>58360000</v>
      </c>
    </row>
    <row r="304" spans="1:7" s="399" customFormat="1" ht="12.75">
      <c r="A304" s="379" t="s">
        <v>2227</v>
      </c>
      <c r="B304" s="425"/>
      <c r="C304" s="426" t="s">
        <v>3638</v>
      </c>
      <c r="D304" s="425">
        <v>12</v>
      </c>
      <c r="E304" s="425" t="s">
        <v>32</v>
      </c>
      <c r="F304" s="428">
        <v>2920000</v>
      </c>
      <c r="G304" s="428">
        <f t="shared" ref="G304:G313" si="124">ROUNDDOWN(D304*F304,-3)</f>
        <v>35040000</v>
      </c>
    </row>
    <row r="305" spans="1:7" s="399" customFormat="1" ht="25.5">
      <c r="A305" s="379" t="s">
        <v>2229</v>
      </c>
      <c r="B305" s="425"/>
      <c r="C305" s="426" t="s">
        <v>3639</v>
      </c>
      <c r="D305" s="425">
        <v>12</v>
      </c>
      <c r="E305" s="425" t="s">
        <v>32</v>
      </c>
      <c r="F305" s="428">
        <v>326000</v>
      </c>
      <c r="G305" s="428">
        <f t="shared" si="124"/>
        <v>3912000</v>
      </c>
    </row>
    <row r="306" spans="1:7" s="399" customFormat="1" ht="12.75">
      <c r="A306" s="379" t="s">
        <v>2231</v>
      </c>
      <c r="B306" s="425"/>
      <c r="C306" s="426" t="s">
        <v>3640</v>
      </c>
      <c r="D306" s="425">
        <v>12</v>
      </c>
      <c r="E306" s="425" t="s">
        <v>32</v>
      </c>
      <c r="F306" s="428">
        <v>324000</v>
      </c>
      <c r="G306" s="428">
        <f t="shared" si="124"/>
        <v>3888000</v>
      </c>
    </row>
    <row r="307" spans="1:7" s="399" customFormat="1" ht="25.5">
      <c r="A307" s="379" t="s">
        <v>2233</v>
      </c>
      <c r="B307" s="425"/>
      <c r="C307" s="426" t="s">
        <v>3641</v>
      </c>
      <c r="D307" s="425">
        <v>12</v>
      </c>
      <c r="E307" s="425" t="s">
        <v>32</v>
      </c>
      <c r="F307" s="428">
        <v>680000</v>
      </c>
      <c r="G307" s="428">
        <f t="shared" si="124"/>
        <v>8160000</v>
      </c>
    </row>
    <row r="308" spans="1:7" s="399" customFormat="1" ht="12.75">
      <c r="A308" s="379" t="s">
        <v>2235</v>
      </c>
      <c r="B308" s="425"/>
      <c r="C308" s="426" t="s">
        <v>3642</v>
      </c>
      <c r="D308" s="425">
        <v>12</v>
      </c>
      <c r="E308" s="425" t="s">
        <v>32</v>
      </c>
      <c r="F308" s="428">
        <v>200000</v>
      </c>
      <c r="G308" s="428">
        <f t="shared" si="124"/>
        <v>2400000</v>
      </c>
    </row>
    <row r="309" spans="1:7" s="399" customFormat="1" ht="12.75">
      <c r="A309" s="379" t="s">
        <v>2237</v>
      </c>
      <c r="B309" s="425"/>
      <c r="C309" s="426" t="s">
        <v>3643</v>
      </c>
      <c r="D309" s="425">
        <v>12</v>
      </c>
      <c r="E309" s="425" t="s">
        <v>32</v>
      </c>
      <c r="F309" s="428">
        <v>80000</v>
      </c>
      <c r="G309" s="428">
        <f t="shared" si="124"/>
        <v>960000</v>
      </c>
    </row>
    <row r="310" spans="1:7" s="399" customFormat="1" ht="12.75">
      <c r="A310" s="379" t="s">
        <v>2239</v>
      </c>
      <c r="B310" s="425"/>
      <c r="C310" s="426" t="s">
        <v>3644</v>
      </c>
      <c r="D310" s="425">
        <v>12</v>
      </c>
      <c r="E310" s="425" t="s">
        <v>32</v>
      </c>
      <c r="F310" s="428">
        <v>200000</v>
      </c>
      <c r="G310" s="428">
        <f t="shared" si="124"/>
        <v>2400000</v>
      </c>
    </row>
    <row r="311" spans="1:7" s="399" customFormat="1" ht="12.75">
      <c r="A311" s="379" t="s">
        <v>2241</v>
      </c>
      <c r="B311" s="425"/>
      <c r="C311" s="426" t="s">
        <v>3645</v>
      </c>
      <c r="D311" s="425">
        <v>1</v>
      </c>
      <c r="E311" s="425" t="s">
        <v>755</v>
      </c>
      <c r="F311" s="428">
        <v>400000</v>
      </c>
      <c r="G311" s="428">
        <f t="shared" si="124"/>
        <v>400000</v>
      </c>
    </row>
    <row r="312" spans="1:7" s="399" customFormat="1" ht="12.75">
      <c r="A312" s="379" t="s">
        <v>2243</v>
      </c>
      <c r="B312" s="425"/>
      <c r="C312" s="426" t="s">
        <v>3646</v>
      </c>
      <c r="D312" s="425">
        <v>1</v>
      </c>
      <c r="E312" s="425" t="s">
        <v>25</v>
      </c>
      <c r="F312" s="428">
        <v>300000</v>
      </c>
      <c r="G312" s="428">
        <f t="shared" si="124"/>
        <v>300000</v>
      </c>
    </row>
    <row r="313" spans="1:7" s="399" customFormat="1" ht="25.5">
      <c r="A313" s="379" t="s">
        <v>2245</v>
      </c>
      <c r="B313" s="425"/>
      <c r="C313" s="426" t="s">
        <v>3647</v>
      </c>
      <c r="D313" s="425">
        <v>3</v>
      </c>
      <c r="E313" s="425" t="s">
        <v>25</v>
      </c>
      <c r="F313" s="428">
        <v>300000</v>
      </c>
      <c r="G313" s="428">
        <f t="shared" si="124"/>
        <v>900000</v>
      </c>
    </row>
    <row r="314" spans="1:7" s="399" customFormat="1" ht="12.75">
      <c r="A314" s="379" t="s">
        <v>3648</v>
      </c>
      <c r="B314" s="418" t="s">
        <v>3649</v>
      </c>
      <c r="C314" s="419" t="s">
        <v>3650</v>
      </c>
      <c r="D314" s="418"/>
      <c r="E314" s="418"/>
      <c r="F314" s="420"/>
      <c r="G314" s="420">
        <f t="shared" ref="G314" si="125">SUM(G315,G320,G325)</f>
        <v>100000000</v>
      </c>
    </row>
    <row r="315" spans="1:7" s="399" customFormat="1" ht="12.75">
      <c r="A315" s="379" t="s">
        <v>3651</v>
      </c>
      <c r="B315" s="421">
        <v>521111</v>
      </c>
      <c r="C315" s="422" t="s">
        <v>90</v>
      </c>
      <c r="D315" s="421"/>
      <c r="E315" s="421"/>
      <c r="F315" s="424"/>
      <c r="G315" s="424">
        <f t="shared" ref="G315" si="126">SUM(G316:G319)</f>
        <v>45000000</v>
      </c>
    </row>
    <row r="316" spans="1:7" s="399" customFormat="1" ht="12.75">
      <c r="A316" s="379" t="s">
        <v>3652</v>
      </c>
      <c r="B316" s="425"/>
      <c r="C316" s="426" t="s">
        <v>3653</v>
      </c>
      <c r="D316" s="425">
        <v>1</v>
      </c>
      <c r="E316" s="425" t="s">
        <v>60</v>
      </c>
      <c r="F316" s="428">
        <v>3000000</v>
      </c>
      <c r="G316" s="428">
        <f t="shared" ref="G316:G319" si="127">ROUNDDOWN(D316*F316,-3)</f>
        <v>3000000</v>
      </c>
    </row>
    <row r="317" spans="1:7" s="399" customFormat="1" ht="12.75">
      <c r="A317" s="379" t="s">
        <v>3654</v>
      </c>
      <c r="B317" s="425"/>
      <c r="C317" s="426" t="s">
        <v>3655</v>
      </c>
      <c r="D317" s="425">
        <v>48</v>
      </c>
      <c r="E317" s="425" t="s">
        <v>58</v>
      </c>
      <c r="F317" s="428">
        <v>500000</v>
      </c>
      <c r="G317" s="428">
        <f t="shared" si="127"/>
        <v>24000000</v>
      </c>
    </row>
    <row r="318" spans="1:7" s="399" customFormat="1" ht="12.75">
      <c r="A318" s="379" t="s">
        <v>3656</v>
      </c>
      <c r="B318" s="425"/>
      <c r="C318" s="426" t="s">
        <v>3657</v>
      </c>
      <c r="D318" s="425">
        <v>12</v>
      </c>
      <c r="E318" s="425" t="s">
        <v>78</v>
      </c>
      <c r="F318" s="428">
        <v>500000</v>
      </c>
      <c r="G318" s="428">
        <f t="shared" si="127"/>
        <v>6000000</v>
      </c>
    </row>
    <row r="319" spans="1:7" s="399" customFormat="1" ht="12.75">
      <c r="A319" s="379" t="s">
        <v>3658</v>
      </c>
      <c r="B319" s="425"/>
      <c r="C319" s="426" t="s">
        <v>3659</v>
      </c>
      <c r="D319" s="425">
        <v>60</v>
      </c>
      <c r="E319" s="425" t="s">
        <v>116</v>
      </c>
      <c r="F319" s="428">
        <v>200000</v>
      </c>
      <c r="G319" s="428">
        <f t="shared" si="127"/>
        <v>12000000</v>
      </c>
    </row>
    <row r="320" spans="1:7" s="399" customFormat="1" ht="12.75">
      <c r="A320" s="379" t="s">
        <v>3660</v>
      </c>
      <c r="B320" s="421">
        <v>521811</v>
      </c>
      <c r="C320" s="422" t="s">
        <v>64</v>
      </c>
      <c r="D320" s="421"/>
      <c r="E320" s="421"/>
      <c r="F320" s="424"/>
      <c r="G320" s="424">
        <f t="shared" ref="G320" si="128">SUM(G321:G324)</f>
        <v>26000000</v>
      </c>
    </row>
    <row r="321" spans="1:7" s="399" customFormat="1" ht="12.75">
      <c r="A321" s="379" t="s">
        <v>3661</v>
      </c>
      <c r="B321" s="425"/>
      <c r="C321" s="426" t="s">
        <v>3535</v>
      </c>
      <c r="D321" s="425">
        <v>8</v>
      </c>
      <c r="E321" s="425" t="s">
        <v>9</v>
      </c>
      <c r="F321" s="428">
        <v>1000000</v>
      </c>
      <c r="G321" s="428">
        <f t="shared" ref="G321:G324" si="129">ROUNDDOWN(D321*F321,-3)</f>
        <v>8000000</v>
      </c>
    </row>
    <row r="322" spans="1:7" s="399" customFormat="1" ht="12.75">
      <c r="A322" s="379" t="s">
        <v>3662</v>
      </c>
      <c r="B322" s="425"/>
      <c r="C322" s="426" t="s">
        <v>3536</v>
      </c>
      <c r="D322" s="425">
        <v>8</v>
      </c>
      <c r="E322" s="425" t="s">
        <v>9</v>
      </c>
      <c r="F322" s="428">
        <v>1500000</v>
      </c>
      <c r="G322" s="428">
        <f t="shared" si="129"/>
        <v>12000000</v>
      </c>
    </row>
    <row r="323" spans="1:7" s="399" customFormat="1" ht="12.75">
      <c r="A323" s="379" t="s">
        <v>3663</v>
      </c>
      <c r="B323" s="425"/>
      <c r="C323" s="426" t="s">
        <v>3664</v>
      </c>
      <c r="D323" s="425">
        <v>200</v>
      </c>
      <c r="E323" s="425" t="s">
        <v>120</v>
      </c>
      <c r="F323" s="428">
        <v>5000</v>
      </c>
      <c r="G323" s="428">
        <f t="shared" si="129"/>
        <v>1000000</v>
      </c>
    </row>
    <row r="324" spans="1:7" s="399" customFormat="1" ht="12.75">
      <c r="A324" s="379" t="s">
        <v>3665</v>
      </c>
      <c r="B324" s="425"/>
      <c r="C324" s="426" t="s">
        <v>3666</v>
      </c>
      <c r="D324" s="425">
        <v>200</v>
      </c>
      <c r="E324" s="425" t="s">
        <v>120</v>
      </c>
      <c r="F324" s="428">
        <v>25000</v>
      </c>
      <c r="G324" s="428">
        <f t="shared" si="129"/>
        <v>5000000</v>
      </c>
    </row>
    <row r="325" spans="1:7" s="399" customFormat="1" ht="12.75">
      <c r="A325" s="379" t="s">
        <v>3667</v>
      </c>
      <c r="B325" s="421">
        <v>523121</v>
      </c>
      <c r="C325" s="422" t="s">
        <v>99</v>
      </c>
      <c r="D325" s="421"/>
      <c r="E325" s="421"/>
      <c r="F325" s="424"/>
      <c r="G325" s="424">
        <f t="shared" ref="G325" si="130">SUM(G326:G330)</f>
        <v>29000000</v>
      </c>
    </row>
    <row r="326" spans="1:7" s="399" customFormat="1" ht="12.75">
      <c r="A326" s="379" t="s">
        <v>3668</v>
      </c>
      <c r="B326" s="425"/>
      <c r="C326" s="426" t="s">
        <v>3669</v>
      </c>
      <c r="D326" s="425">
        <v>1</v>
      </c>
      <c r="E326" s="425" t="s">
        <v>42</v>
      </c>
      <c r="F326" s="428">
        <v>7200000</v>
      </c>
      <c r="G326" s="428">
        <f t="shared" ref="G326:G330" si="131">ROUNDDOWN(D326*F326,-3)</f>
        <v>7200000</v>
      </c>
    </row>
    <row r="327" spans="1:7" s="399" customFormat="1" ht="12.75">
      <c r="A327" s="379" t="s">
        <v>3670</v>
      </c>
      <c r="B327" s="425"/>
      <c r="C327" s="426" t="s">
        <v>3671</v>
      </c>
      <c r="D327" s="425">
        <v>10</v>
      </c>
      <c r="E327" s="425" t="s">
        <v>42</v>
      </c>
      <c r="F327" s="428">
        <v>730000</v>
      </c>
      <c r="G327" s="428">
        <f t="shared" si="131"/>
        <v>7300000</v>
      </c>
    </row>
    <row r="328" spans="1:7" s="399" customFormat="1" ht="12.75">
      <c r="A328" s="379" t="s">
        <v>3672</v>
      </c>
      <c r="B328" s="425"/>
      <c r="C328" s="426" t="s">
        <v>3673</v>
      </c>
      <c r="D328" s="425">
        <v>10</v>
      </c>
      <c r="E328" s="425" t="s">
        <v>44</v>
      </c>
      <c r="F328" s="428">
        <v>730000</v>
      </c>
      <c r="G328" s="428">
        <f t="shared" si="131"/>
        <v>7300000</v>
      </c>
    </row>
    <row r="329" spans="1:7" s="399" customFormat="1" ht="12.75">
      <c r="A329" s="379" t="s">
        <v>3674</v>
      </c>
      <c r="B329" s="425"/>
      <c r="C329" s="426" t="s">
        <v>3675</v>
      </c>
      <c r="D329" s="425">
        <v>10</v>
      </c>
      <c r="E329" s="425" t="s">
        <v>44</v>
      </c>
      <c r="F329" s="428">
        <v>690000</v>
      </c>
      <c r="G329" s="428">
        <f t="shared" si="131"/>
        <v>6900000</v>
      </c>
    </row>
    <row r="330" spans="1:7" s="399" customFormat="1" ht="12.75">
      <c r="A330" s="379" t="s">
        <v>3676</v>
      </c>
      <c r="B330" s="425"/>
      <c r="C330" s="426" t="s">
        <v>3677</v>
      </c>
      <c r="D330" s="425">
        <v>1</v>
      </c>
      <c r="E330" s="425" t="s">
        <v>60</v>
      </c>
      <c r="F330" s="428">
        <v>300000</v>
      </c>
      <c r="G330" s="428">
        <f t="shared" si="131"/>
        <v>300000</v>
      </c>
    </row>
    <row r="331" spans="1:7" s="399" customFormat="1" ht="12.75">
      <c r="A331" s="379" t="s">
        <v>2247</v>
      </c>
      <c r="B331" s="407" t="s">
        <v>2248</v>
      </c>
      <c r="C331" s="408" t="s">
        <v>2249</v>
      </c>
      <c r="D331" s="407">
        <v>1</v>
      </c>
      <c r="E331" s="407" t="s">
        <v>42</v>
      </c>
      <c r="F331" s="410"/>
      <c r="G331" s="410">
        <f t="shared" ref="G331:G338" si="132">G332</f>
        <v>540934000</v>
      </c>
    </row>
    <row r="332" spans="1:7" s="399" customFormat="1" ht="12.75">
      <c r="A332" s="379" t="s">
        <v>2250</v>
      </c>
      <c r="B332" s="411" t="s">
        <v>3678</v>
      </c>
      <c r="C332" s="412" t="s">
        <v>2252</v>
      </c>
      <c r="D332" s="411">
        <v>1</v>
      </c>
      <c r="E332" s="411" t="s">
        <v>42</v>
      </c>
      <c r="F332" s="413"/>
      <c r="G332" s="413">
        <f t="shared" si="132"/>
        <v>540934000</v>
      </c>
    </row>
    <row r="333" spans="1:7" s="399" customFormat="1" ht="25.5">
      <c r="A333" s="379" t="s">
        <v>2268</v>
      </c>
      <c r="B333" s="414">
        <v>301</v>
      </c>
      <c r="C333" s="415" t="s">
        <v>2269</v>
      </c>
      <c r="D333" s="414"/>
      <c r="E333" s="414"/>
      <c r="F333" s="417"/>
      <c r="G333" s="417">
        <f>SUM(G334,G337)</f>
        <v>540934000</v>
      </c>
    </row>
    <row r="334" spans="1:7" s="399" customFormat="1" ht="12.75">
      <c r="A334" s="379" t="s">
        <v>2270</v>
      </c>
      <c r="B334" s="418" t="s">
        <v>8</v>
      </c>
      <c r="C334" s="419" t="s">
        <v>2271</v>
      </c>
      <c r="D334" s="418"/>
      <c r="E334" s="418"/>
      <c r="F334" s="420"/>
      <c r="G334" s="420">
        <f t="shared" si="132"/>
        <v>540000000</v>
      </c>
    </row>
    <row r="335" spans="1:7" s="399" customFormat="1" ht="12.75">
      <c r="A335" s="379" t="s">
        <v>2272</v>
      </c>
      <c r="B335" s="421">
        <v>532111</v>
      </c>
      <c r="C335" s="422" t="s">
        <v>43</v>
      </c>
      <c r="D335" s="421"/>
      <c r="E335" s="421"/>
      <c r="F335" s="424"/>
      <c r="G335" s="424">
        <f t="shared" si="132"/>
        <v>540000000</v>
      </c>
    </row>
    <row r="336" spans="1:7" s="399" customFormat="1" ht="12.75">
      <c r="A336" s="379" t="s">
        <v>2273</v>
      </c>
      <c r="B336" s="425"/>
      <c r="C336" s="426" t="s">
        <v>3679</v>
      </c>
      <c r="D336" s="425">
        <v>1</v>
      </c>
      <c r="E336" s="425" t="s">
        <v>42</v>
      </c>
      <c r="F336" s="428">
        <v>540000000</v>
      </c>
      <c r="G336" s="428">
        <f>ROUNDDOWN(D336*F336,-3)</f>
        <v>540000000</v>
      </c>
    </row>
    <row r="337" spans="1:7" s="399" customFormat="1" ht="12.75">
      <c r="A337" s="379" t="s">
        <v>4849</v>
      </c>
      <c r="B337" s="418" t="s">
        <v>508</v>
      </c>
      <c r="C337" s="419" t="s">
        <v>4820</v>
      </c>
      <c r="D337" s="418"/>
      <c r="E337" s="418"/>
      <c r="F337" s="420"/>
      <c r="G337" s="420">
        <f t="shared" si="132"/>
        <v>934000</v>
      </c>
    </row>
    <row r="338" spans="1:7" s="399" customFormat="1" ht="12.75">
      <c r="A338" s="379" t="s">
        <v>4827</v>
      </c>
      <c r="B338" s="421">
        <v>532111</v>
      </c>
      <c r="C338" s="422" t="s">
        <v>43</v>
      </c>
      <c r="D338" s="421"/>
      <c r="E338" s="421"/>
      <c r="F338" s="424"/>
      <c r="G338" s="424">
        <f t="shared" si="132"/>
        <v>934000</v>
      </c>
    </row>
    <row r="339" spans="1:7" s="399" customFormat="1" ht="12.75">
      <c r="A339" s="379" t="s">
        <v>4850</v>
      </c>
      <c r="B339" s="425"/>
      <c r="C339" s="426" t="s">
        <v>4845</v>
      </c>
      <c r="D339" s="425">
        <v>1</v>
      </c>
      <c r="E339" s="425" t="s">
        <v>9</v>
      </c>
      <c r="F339" s="428">
        <v>934000</v>
      </c>
      <c r="G339" s="428">
        <f>ROUNDDOWN(D339*F339,-3)</f>
        <v>934000</v>
      </c>
    </row>
    <row r="340" spans="1:7" s="399" customFormat="1" ht="12.75">
      <c r="A340" s="379" t="s">
        <v>2444</v>
      </c>
      <c r="B340" s="407" t="s">
        <v>2445</v>
      </c>
      <c r="C340" s="408" t="s">
        <v>2446</v>
      </c>
      <c r="D340" s="407">
        <v>1</v>
      </c>
      <c r="E340" s="407" t="s">
        <v>3681</v>
      </c>
      <c r="F340" s="410"/>
      <c r="G340" s="410">
        <f>SUM(G341,G375,G416)</f>
        <v>1538790000</v>
      </c>
    </row>
    <row r="341" spans="1:7" s="399" customFormat="1" ht="12.75">
      <c r="A341" s="379" t="s">
        <v>2447</v>
      </c>
      <c r="B341" s="411" t="s">
        <v>3682</v>
      </c>
      <c r="C341" s="412" t="s">
        <v>2449</v>
      </c>
      <c r="D341" s="411">
        <v>1</v>
      </c>
      <c r="E341" s="411" t="s">
        <v>3681</v>
      </c>
      <c r="F341" s="413"/>
      <c r="G341" s="413">
        <f t="shared" ref="G341" si="133">G342</f>
        <v>615138000</v>
      </c>
    </row>
    <row r="342" spans="1:7" s="399" customFormat="1" ht="25.5">
      <c r="A342" s="379" t="s">
        <v>2718</v>
      </c>
      <c r="B342" s="414">
        <v>301</v>
      </c>
      <c r="C342" s="415" t="s">
        <v>2719</v>
      </c>
      <c r="D342" s="414"/>
      <c r="E342" s="414"/>
      <c r="F342" s="417"/>
      <c r="G342" s="417">
        <f>SUM(G343,G353,G363,G372)</f>
        <v>615138000</v>
      </c>
    </row>
    <row r="343" spans="1:7" s="399" customFormat="1" ht="12.75">
      <c r="A343" s="379" t="s">
        <v>2720</v>
      </c>
      <c r="B343" s="418" t="s">
        <v>8</v>
      </c>
      <c r="C343" s="419" t="s">
        <v>129</v>
      </c>
      <c r="D343" s="418"/>
      <c r="E343" s="418"/>
      <c r="F343" s="420"/>
      <c r="G343" s="420">
        <f>SUM(G344,G346,G348,G351)</f>
        <v>22164000</v>
      </c>
    </row>
    <row r="344" spans="1:7" s="399" customFormat="1" ht="12.75">
      <c r="A344" s="379" t="s">
        <v>2721</v>
      </c>
      <c r="B344" s="421">
        <v>521211</v>
      </c>
      <c r="C344" s="422" t="s">
        <v>7</v>
      </c>
      <c r="D344" s="421"/>
      <c r="E344" s="421"/>
      <c r="F344" s="424"/>
      <c r="G344" s="424">
        <f>SUM(G345:G345)</f>
        <v>6000000</v>
      </c>
    </row>
    <row r="345" spans="1:7" s="399" customFormat="1" ht="12.75">
      <c r="A345" s="379" t="s">
        <v>2722</v>
      </c>
      <c r="B345" s="425"/>
      <c r="C345" s="426" t="s">
        <v>3529</v>
      </c>
      <c r="D345" s="425">
        <v>4</v>
      </c>
      <c r="E345" s="425" t="s">
        <v>9</v>
      </c>
      <c r="F345" s="428">
        <v>1500000</v>
      </c>
      <c r="G345" s="428">
        <f t="shared" ref="G345" si="134">ROUNDDOWN(D345*F345,-3)</f>
        <v>6000000</v>
      </c>
    </row>
    <row r="346" spans="1:7" s="399" customFormat="1" ht="12.75">
      <c r="A346" s="379" t="s">
        <v>2726</v>
      </c>
      <c r="B346" s="421">
        <v>521219</v>
      </c>
      <c r="C346" s="422" t="s">
        <v>53</v>
      </c>
      <c r="D346" s="421"/>
      <c r="E346" s="421"/>
      <c r="F346" s="424"/>
      <c r="G346" s="424">
        <f t="shared" ref="G346" si="135">G347</f>
        <v>1000000</v>
      </c>
    </row>
    <row r="347" spans="1:7" s="399" customFormat="1" ht="12.75">
      <c r="A347" s="379" t="s">
        <v>2727</v>
      </c>
      <c r="B347" s="425"/>
      <c r="C347" s="426" t="s">
        <v>3550</v>
      </c>
      <c r="D347" s="425">
        <v>4</v>
      </c>
      <c r="E347" s="425" t="s">
        <v>2728</v>
      </c>
      <c r="F347" s="428">
        <v>250000</v>
      </c>
      <c r="G347" s="428">
        <f>ROUNDDOWN(D347*F347,-3)</f>
        <v>1000000</v>
      </c>
    </row>
    <row r="348" spans="1:7" s="399" customFormat="1" ht="12.75">
      <c r="A348" s="379" t="s">
        <v>2729</v>
      </c>
      <c r="B348" s="421">
        <v>521811</v>
      </c>
      <c r="C348" s="422" t="s">
        <v>64</v>
      </c>
      <c r="D348" s="421"/>
      <c r="E348" s="421"/>
      <c r="F348" s="424"/>
      <c r="G348" s="424">
        <f t="shared" ref="G348" si="136">SUM(G349:G350)</f>
        <v>10000000</v>
      </c>
    </row>
    <row r="349" spans="1:7" s="399" customFormat="1" ht="12.75">
      <c r="A349" s="379" t="s">
        <v>2730</v>
      </c>
      <c r="B349" s="425"/>
      <c r="C349" s="426" t="s">
        <v>3535</v>
      </c>
      <c r="D349" s="425">
        <v>4</v>
      </c>
      <c r="E349" s="425" t="s">
        <v>106</v>
      </c>
      <c r="F349" s="428">
        <v>1000000</v>
      </c>
      <c r="G349" s="428">
        <f t="shared" ref="G349:G350" si="137">ROUNDDOWN(D349*F349,-3)</f>
        <v>4000000</v>
      </c>
    </row>
    <row r="350" spans="1:7" s="399" customFormat="1" ht="12.75">
      <c r="A350" s="379" t="s">
        <v>2731</v>
      </c>
      <c r="B350" s="425"/>
      <c r="C350" s="426" t="s">
        <v>3536</v>
      </c>
      <c r="D350" s="425">
        <v>4</v>
      </c>
      <c r="E350" s="425" t="s">
        <v>106</v>
      </c>
      <c r="F350" s="428">
        <v>1500000</v>
      </c>
      <c r="G350" s="428">
        <f t="shared" si="137"/>
        <v>6000000</v>
      </c>
    </row>
    <row r="351" spans="1:7" s="399" customFormat="1" ht="12.75">
      <c r="A351" s="379" t="s">
        <v>2732</v>
      </c>
      <c r="B351" s="421">
        <v>524111</v>
      </c>
      <c r="C351" s="422" t="s">
        <v>19</v>
      </c>
      <c r="D351" s="421"/>
      <c r="E351" s="421"/>
      <c r="F351" s="424"/>
      <c r="G351" s="424">
        <f t="shared" ref="G351" si="138">G352</f>
        <v>5164000</v>
      </c>
    </row>
    <row r="352" spans="1:7" s="399" customFormat="1" ht="25.5">
      <c r="A352" s="379" t="s">
        <v>2733</v>
      </c>
      <c r="B352" s="425"/>
      <c r="C352" s="426" t="s">
        <v>3684</v>
      </c>
      <c r="D352" s="425">
        <v>1</v>
      </c>
      <c r="E352" s="425" t="s">
        <v>10</v>
      </c>
      <c r="F352" s="428">
        <v>5164000</v>
      </c>
      <c r="G352" s="428">
        <f>ROUNDDOWN(D352*F352,-3)</f>
        <v>5164000</v>
      </c>
    </row>
    <row r="353" spans="1:7" s="399" customFormat="1" ht="12.75">
      <c r="A353" s="379" t="s">
        <v>2735</v>
      </c>
      <c r="B353" s="418" t="s">
        <v>508</v>
      </c>
      <c r="C353" s="419" t="s">
        <v>130</v>
      </c>
      <c r="D353" s="418"/>
      <c r="E353" s="418"/>
      <c r="F353" s="420"/>
      <c r="G353" s="420">
        <f>SUM(G354,G356,G358,G361)</f>
        <v>78000000</v>
      </c>
    </row>
    <row r="354" spans="1:7" s="399" customFormat="1" ht="12.75">
      <c r="A354" s="379" t="s">
        <v>2736</v>
      </c>
      <c r="B354" s="421">
        <v>521211</v>
      </c>
      <c r="C354" s="422" t="s">
        <v>7</v>
      </c>
      <c r="D354" s="421"/>
      <c r="E354" s="421"/>
      <c r="F354" s="424"/>
      <c r="G354" s="424">
        <f>SUM(G355:G355)</f>
        <v>12000000</v>
      </c>
    </row>
    <row r="355" spans="1:7" s="399" customFormat="1" ht="12.75">
      <c r="A355" s="379" t="s">
        <v>2737</v>
      </c>
      <c r="B355" s="425"/>
      <c r="C355" s="426" t="s">
        <v>3529</v>
      </c>
      <c r="D355" s="425">
        <v>8</v>
      </c>
      <c r="E355" s="425" t="s">
        <v>9</v>
      </c>
      <c r="F355" s="428">
        <v>1500000</v>
      </c>
      <c r="G355" s="428">
        <f t="shared" ref="G355" si="139">ROUNDDOWN(D355*F355,-3)</f>
        <v>12000000</v>
      </c>
    </row>
    <row r="356" spans="1:7" s="399" customFormat="1" ht="12.75">
      <c r="A356" s="379" t="s">
        <v>2740</v>
      </c>
      <c r="B356" s="421">
        <v>521219</v>
      </c>
      <c r="C356" s="422" t="s">
        <v>53</v>
      </c>
      <c r="D356" s="421"/>
      <c r="E356" s="421"/>
      <c r="F356" s="424"/>
      <c r="G356" s="424">
        <f t="shared" ref="G356" si="140">G357</f>
        <v>1000000</v>
      </c>
    </row>
    <row r="357" spans="1:7" s="399" customFormat="1" ht="12.75">
      <c r="A357" s="379" t="s">
        <v>2741</v>
      </c>
      <c r="B357" s="425"/>
      <c r="C357" s="426" t="s">
        <v>3550</v>
      </c>
      <c r="D357" s="425">
        <v>4</v>
      </c>
      <c r="E357" s="425" t="s">
        <v>9</v>
      </c>
      <c r="F357" s="428">
        <v>250000</v>
      </c>
      <c r="G357" s="428">
        <f>ROUNDDOWN(D357*F357,-3)</f>
        <v>1000000</v>
      </c>
    </row>
    <row r="358" spans="1:7" s="399" customFormat="1" ht="12.75">
      <c r="A358" s="379" t="s">
        <v>2742</v>
      </c>
      <c r="B358" s="421">
        <v>521811</v>
      </c>
      <c r="C358" s="422" t="s">
        <v>64</v>
      </c>
      <c r="D358" s="421"/>
      <c r="E358" s="421"/>
      <c r="F358" s="424"/>
      <c r="G358" s="424">
        <f t="shared" ref="G358" si="141">SUM(G359:G360)</f>
        <v>20000000</v>
      </c>
    </row>
    <row r="359" spans="1:7" s="399" customFormat="1" ht="12.75">
      <c r="A359" s="379" t="s">
        <v>2743</v>
      </c>
      <c r="B359" s="425"/>
      <c r="C359" s="426" t="s">
        <v>3535</v>
      </c>
      <c r="D359" s="425">
        <v>8</v>
      </c>
      <c r="E359" s="425" t="s">
        <v>106</v>
      </c>
      <c r="F359" s="428">
        <v>1000000</v>
      </c>
      <c r="G359" s="428">
        <f t="shared" ref="G359:G360" si="142">ROUNDDOWN(D359*F359,-3)</f>
        <v>8000000</v>
      </c>
    </row>
    <row r="360" spans="1:7" s="399" customFormat="1" ht="12.75">
      <c r="A360" s="379" t="s">
        <v>2744</v>
      </c>
      <c r="B360" s="425"/>
      <c r="C360" s="426" t="s">
        <v>3536</v>
      </c>
      <c r="D360" s="425">
        <v>8</v>
      </c>
      <c r="E360" s="425" t="s">
        <v>106</v>
      </c>
      <c r="F360" s="428">
        <v>1500000</v>
      </c>
      <c r="G360" s="428">
        <f t="shared" si="142"/>
        <v>12000000</v>
      </c>
    </row>
    <row r="361" spans="1:7" s="399" customFormat="1" ht="12.75">
      <c r="A361" s="379" t="s">
        <v>2747</v>
      </c>
      <c r="B361" s="421">
        <v>524111</v>
      </c>
      <c r="C361" s="422" t="s">
        <v>19</v>
      </c>
      <c r="D361" s="421"/>
      <c r="E361" s="421"/>
      <c r="F361" s="424"/>
      <c r="G361" s="424">
        <f t="shared" ref="G361" si="143">G362</f>
        <v>45000000</v>
      </c>
    </row>
    <row r="362" spans="1:7" s="399" customFormat="1" ht="12.75">
      <c r="A362" s="379" t="s">
        <v>2748</v>
      </c>
      <c r="B362" s="425"/>
      <c r="C362" s="426" t="s">
        <v>3685</v>
      </c>
      <c r="D362" s="425">
        <v>10</v>
      </c>
      <c r="E362" s="425" t="s">
        <v>10</v>
      </c>
      <c r="F362" s="428">
        <v>4500000</v>
      </c>
      <c r="G362" s="428">
        <f>ROUNDDOWN(D362*F362,-3)</f>
        <v>45000000</v>
      </c>
    </row>
    <row r="363" spans="1:7" s="399" customFormat="1" ht="12.75">
      <c r="A363" s="379" t="s">
        <v>2750</v>
      </c>
      <c r="B363" s="418" t="s">
        <v>509</v>
      </c>
      <c r="C363" s="419" t="s">
        <v>131</v>
      </c>
      <c r="D363" s="418"/>
      <c r="E363" s="418"/>
      <c r="F363" s="420"/>
      <c r="G363" s="420">
        <f>SUM(G364,G367,G370)</f>
        <v>80408000</v>
      </c>
    </row>
    <row r="364" spans="1:7" s="399" customFormat="1" ht="12.75">
      <c r="A364" s="379" t="s">
        <v>2751</v>
      </c>
      <c r="B364" s="421">
        <v>521211</v>
      </c>
      <c r="C364" s="422" t="s">
        <v>7</v>
      </c>
      <c r="D364" s="421"/>
      <c r="E364" s="421"/>
      <c r="F364" s="424"/>
      <c r="G364" s="424">
        <f>SUM(G365:G366)</f>
        <v>21000000</v>
      </c>
    </row>
    <row r="365" spans="1:7" s="399" customFormat="1" ht="12.75">
      <c r="A365" s="379" t="s">
        <v>2752</v>
      </c>
      <c r="B365" s="425"/>
      <c r="C365" s="426" t="s">
        <v>3529</v>
      </c>
      <c r="D365" s="425">
        <v>7</v>
      </c>
      <c r="E365" s="425" t="s">
        <v>9</v>
      </c>
      <c r="F365" s="428">
        <v>1500000</v>
      </c>
      <c r="G365" s="428">
        <f t="shared" ref="G365:G366" si="144">ROUNDDOWN(D365*F365,-3)</f>
        <v>10500000</v>
      </c>
    </row>
    <row r="366" spans="1:7" s="399" customFormat="1" ht="12.75">
      <c r="A366" s="379" t="s">
        <v>2753</v>
      </c>
      <c r="B366" s="425"/>
      <c r="C366" s="426" t="s">
        <v>3683</v>
      </c>
      <c r="D366" s="425">
        <v>150</v>
      </c>
      <c r="E366" s="425" t="s">
        <v>10</v>
      </c>
      <c r="F366" s="428">
        <v>70000</v>
      </c>
      <c r="G366" s="428">
        <f t="shared" si="144"/>
        <v>10500000</v>
      </c>
    </row>
    <row r="367" spans="1:7" s="399" customFormat="1" ht="12.75">
      <c r="A367" s="379" t="s">
        <v>2755</v>
      </c>
      <c r="B367" s="421">
        <v>521811</v>
      </c>
      <c r="C367" s="422" t="s">
        <v>64</v>
      </c>
      <c r="D367" s="421"/>
      <c r="E367" s="421"/>
      <c r="F367" s="424"/>
      <c r="G367" s="424">
        <f t="shared" ref="G367" si="145">SUM(G368:G369)</f>
        <v>17500000</v>
      </c>
    </row>
    <row r="368" spans="1:7" s="399" customFormat="1" ht="12.75">
      <c r="A368" s="379" t="s">
        <v>2756</v>
      </c>
      <c r="B368" s="425"/>
      <c r="C368" s="426" t="s">
        <v>3535</v>
      </c>
      <c r="D368" s="425">
        <v>7</v>
      </c>
      <c r="E368" s="425" t="s">
        <v>106</v>
      </c>
      <c r="F368" s="428">
        <v>1000000</v>
      </c>
      <c r="G368" s="428">
        <f t="shared" ref="G368:G369" si="146">ROUNDDOWN(D368*F368,-3)</f>
        <v>7000000</v>
      </c>
    </row>
    <row r="369" spans="1:7" s="399" customFormat="1" ht="12.75">
      <c r="A369" s="379" t="s">
        <v>2757</v>
      </c>
      <c r="B369" s="425"/>
      <c r="C369" s="426" t="s">
        <v>3536</v>
      </c>
      <c r="D369" s="425">
        <v>7</v>
      </c>
      <c r="E369" s="425" t="s">
        <v>106</v>
      </c>
      <c r="F369" s="428">
        <v>1500000</v>
      </c>
      <c r="G369" s="428">
        <f t="shared" si="146"/>
        <v>10500000</v>
      </c>
    </row>
    <row r="370" spans="1:7" s="399" customFormat="1" ht="12.75">
      <c r="A370" s="379" t="s">
        <v>2760</v>
      </c>
      <c r="B370" s="421">
        <v>524111</v>
      </c>
      <c r="C370" s="422" t="s">
        <v>19</v>
      </c>
      <c r="D370" s="421"/>
      <c r="E370" s="421"/>
      <c r="F370" s="424"/>
      <c r="G370" s="424">
        <f t="shared" ref="G370" si="147">G371</f>
        <v>41908000</v>
      </c>
    </row>
    <row r="371" spans="1:7" s="399" customFormat="1" ht="25.5">
      <c r="A371" s="379" t="s">
        <v>2761</v>
      </c>
      <c r="B371" s="425"/>
      <c r="C371" s="426" t="s">
        <v>3686</v>
      </c>
      <c r="D371" s="425">
        <v>8</v>
      </c>
      <c r="E371" s="425" t="s">
        <v>10</v>
      </c>
      <c r="F371" s="428">
        <v>5238500</v>
      </c>
      <c r="G371" s="428">
        <f>ROUNDDOWN(D371*F371,-3)</f>
        <v>41908000</v>
      </c>
    </row>
    <row r="372" spans="1:7" s="399" customFormat="1" ht="12.75">
      <c r="A372" s="379" t="s">
        <v>4851</v>
      </c>
      <c r="B372" s="418" t="s">
        <v>511</v>
      </c>
      <c r="C372" s="419" t="s">
        <v>4820</v>
      </c>
      <c r="D372" s="418"/>
      <c r="E372" s="418"/>
      <c r="F372" s="420"/>
      <c r="G372" s="420">
        <f>G373</f>
        <v>434566000</v>
      </c>
    </row>
    <row r="373" spans="1:7" s="399" customFormat="1" ht="12.75">
      <c r="A373" s="379" t="s">
        <v>4825</v>
      </c>
      <c r="B373" s="421">
        <v>524111</v>
      </c>
      <c r="C373" s="422" t="s">
        <v>19</v>
      </c>
      <c r="D373" s="421"/>
      <c r="E373" s="421"/>
      <c r="F373" s="424"/>
      <c r="G373" s="424">
        <f>G374</f>
        <v>434566000</v>
      </c>
    </row>
    <row r="374" spans="1:7" s="399" customFormat="1" ht="12.75">
      <c r="A374" s="379" t="s">
        <v>4852</v>
      </c>
      <c r="B374" s="425"/>
      <c r="C374" s="426" t="s">
        <v>4837</v>
      </c>
      <c r="D374" s="425">
        <v>1</v>
      </c>
      <c r="E374" s="425" t="s">
        <v>23</v>
      </c>
      <c r="F374" s="428">
        <v>434566000</v>
      </c>
      <c r="G374" s="428">
        <f t="shared" ref="G374" si="148">ROUNDDOWN(D374*F374,-3)</f>
        <v>434566000</v>
      </c>
    </row>
    <row r="375" spans="1:7" s="399" customFormat="1" ht="12.75">
      <c r="A375" s="379" t="s">
        <v>2763</v>
      </c>
      <c r="B375" s="411" t="s">
        <v>3687</v>
      </c>
      <c r="C375" s="412" t="s">
        <v>2765</v>
      </c>
      <c r="D375" s="411">
        <v>2</v>
      </c>
      <c r="E375" s="411" t="s">
        <v>3681</v>
      </c>
      <c r="F375" s="413"/>
      <c r="G375" s="413">
        <f>SUM(G376,G401)</f>
        <v>633732000</v>
      </c>
    </row>
    <row r="376" spans="1:7" s="399" customFormat="1" ht="25.5">
      <c r="A376" s="379" t="s">
        <v>3031</v>
      </c>
      <c r="B376" s="414">
        <v>301</v>
      </c>
      <c r="C376" s="415" t="s">
        <v>3032</v>
      </c>
      <c r="D376" s="414"/>
      <c r="E376" s="414"/>
      <c r="F376" s="417"/>
      <c r="G376" s="417">
        <f>SUM(G377,G387,G398)</f>
        <v>507200000</v>
      </c>
    </row>
    <row r="377" spans="1:7" s="399" customFormat="1" ht="25.5">
      <c r="A377" s="379" t="s">
        <v>3033</v>
      </c>
      <c r="B377" s="418" t="s">
        <v>8</v>
      </c>
      <c r="C377" s="419" t="s">
        <v>174</v>
      </c>
      <c r="D377" s="418"/>
      <c r="E377" s="418"/>
      <c r="F377" s="420"/>
      <c r="G377" s="420">
        <f>SUM(G378,G383,G385)</f>
        <v>43789000</v>
      </c>
    </row>
    <row r="378" spans="1:7" s="399" customFormat="1" ht="12.75">
      <c r="A378" s="379" t="s">
        <v>3034</v>
      </c>
      <c r="B378" s="421">
        <v>521211</v>
      </c>
      <c r="C378" s="422" t="s">
        <v>7</v>
      </c>
      <c r="D378" s="421"/>
      <c r="E378" s="421"/>
      <c r="F378" s="424"/>
      <c r="G378" s="424">
        <f>SUM(G379:G382)</f>
        <v>23250000</v>
      </c>
    </row>
    <row r="379" spans="1:7" s="399" customFormat="1" ht="12.75">
      <c r="A379" s="379" t="s">
        <v>3035</v>
      </c>
      <c r="B379" s="425"/>
      <c r="C379" s="426" t="s">
        <v>3529</v>
      </c>
      <c r="D379" s="425">
        <v>3</v>
      </c>
      <c r="E379" s="425" t="s">
        <v>9</v>
      </c>
      <c r="F379" s="428">
        <v>1500000</v>
      </c>
      <c r="G379" s="428">
        <f t="shared" ref="G379:G382" si="149">ROUNDDOWN(D379*F379,-3)</f>
        <v>4500000</v>
      </c>
    </row>
    <row r="380" spans="1:7" s="399" customFormat="1" ht="12.75">
      <c r="A380" s="379" t="s">
        <v>3036</v>
      </c>
      <c r="B380" s="425"/>
      <c r="C380" s="426" t="s">
        <v>3683</v>
      </c>
      <c r="D380" s="425">
        <v>150</v>
      </c>
      <c r="E380" s="425" t="s">
        <v>10</v>
      </c>
      <c r="F380" s="428">
        <v>75000</v>
      </c>
      <c r="G380" s="428">
        <f t="shared" si="149"/>
        <v>11250000</v>
      </c>
    </row>
    <row r="381" spans="1:7" s="399" customFormat="1" ht="12.75">
      <c r="A381" s="379" t="s">
        <v>3037</v>
      </c>
      <c r="B381" s="425"/>
      <c r="C381" s="426" t="s">
        <v>3530</v>
      </c>
      <c r="D381" s="425">
        <v>3</v>
      </c>
      <c r="E381" s="425" t="s">
        <v>106</v>
      </c>
      <c r="F381" s="428">
        <v>1000000</v>
      </c>
      <c r="G381" s="428">
        <f t="shared" si="149"/>
        <v>3000000</v>
      </c>
    </row>
    <row r="382" spans="1:7" s="399" customFormat="1" ht="12.75">
      <c r="A382" s="379" t="s">
        <v>3038</v>
      </c>
      <c r="B382" s="425"/>
      <c r="C382" s="426" t="s">
        <v>3531</v>
      </c>
      <c r="D382" s="425">
        <v>3</v>
      </c>
      <c r="E382" s="425" t="s">
        <v>106</v>
      </c>
      <c r="F382" s="428">
        <v>1500000</v>
      </c>
      <c r="G382" s="428">
        <f t="shared" si="149"/>
        <v>4500000</v>
      </c>
    </row>
    <row r="383" spans="1:7" s="399" customFormat="1" ht="12.75">
      <c r="A383" s="379" t="s">
        <v>3040</v>
      </c>
      <c r="B383" s="421">
        <v>521219</v>
      </c>
      <c r="C383" s="422" t="s">
        <v>53</v>
      </c>
      <c r="D383" s="421"/>
      <c r="E383" s="421"/>
      <c r="F383" s="424"/>
      <c r="G383" s="424">
        <f t="shared" ref="G383" si="150">G384</f>
        <v>2000000</v>
      </c>
    </row>
    <row r="384" spans="1:7" s="399" customFormat="1" ht="25.5">
      <c r="A384" s="379" t="s">
        <v>3041</v>
      </c>
      <c r="B384" s="425"/>
      <c r="C384" s="426" t="s">
        <v>3688</v>
      </c>
      <c r="D384" s="425">
        <v>1</v>
      </c>
      <c r="E384" s="425" t="s">
        <v>153</v>
      </c>
      <c r="F384" s="428">
        <v>2000000</v>
      </c>
      <c r="G384" s="428">
        <f>ROUNDDOWN(D384*F384,-3)</f>
        <v>2000000</v>
      </c>
    </row>
    <row r="385" spans="1:7" s="399" customFormat="1" ht="12.75">
      <c r="A385" s="379" t="s">
        <v>3043</v>
      </c>
      <c r="B385" s="421">
        <v>524111</v>
      </c>
      <c r="C385" s="422" t="s">
        <v>19</v>
      </c>
      <c r="D385" s="421"/>
      <c r="E385" s="421"/>
      <c r="F385" s="424"/>
      <c r="G385" s="424">
        <f t="shared" ref="G385" si="151">G386</f>
        <v>18539000</v>
      </c>
    </row>
    <row r="386" spans="1:7" s="399" customFormat="1" ht="12.75">
      <c r="A386" s="379" t="s">
        <v>3044</v>
      </c>
      <c r="B386" s="425"/>
      <c r="C386" s="426" t="s">
        <v>3689</v>
      </c>
      <c r="D386" s="425">
        <v>3</v>
      </c>
      <c r="E386" s="425" t="s">
        <v>10</v>
      </c>
      <c r="F386" s="428">
        <v>6179667</v>
      </c>
      <c r="G386" s="428">
        <f>ROUNDDOWN(D386*F386,-3)</f>
        <v>18539000</v>
      </c>
    </row>
    <row r="387" spans="1:7" s="399" customFormat="1" ht="12.75">
      <c r="A387" s="379" t="s">
        <v>3046</v>
      </c>
      <c r="B387" s="418" t="s">
        <v>508</v>
      </c>
      <c r="C387" s="419" t="s">
        <v>175</v>
      </c>
      <c r="D387" s="418"/>
      <c r="E387" s="418"/>
      <c r="F387" s="420"/>
      <c r="G387" s="420">
        <f>SUM(G388,G394,G396)</f>
        <v>75940000</v>
      </c>
    </row>
    <row r="388" spans="1:7" s="399" customFormat="1" ht="12.75">
      <c r="A388" s="379" t="s">
        <v>3047</v>
      </c>
      <c r="B388" s="421">
        <v>521211</v>
      </c>
      <c r="C388" s="422" t="s">
        <v>7</v>
      </c>
      <c r="D388" s="421"/>
      <c r="E388" s="421"/>
      <c r="F388" s="424"/>
      <c r="G388" s="424">
        <f>SUM(G389:G393)</f>
        <v>13525000</v>
      </c>
    </row>
    <row r="389" spans="1:7" s="399" customFormat="1" ht="12.75">
      <c r="A389" s="379" t="s">
        <v>3048</v>
      </c>
      <c r="B389" s="425"/>
      <c r="C389" s="426" t="s">
        <v>3529</v>
      </c>
      <c r="D389" s="425">
        <v>2</v>
      </c>
      <c r="E389" s="425" t="s">
        <v>9</v>
      </c>
      <c r="F389" s="428">
        <v>1500000</v>
      </c>
      <c r="G389" s="428">
        <f t="shared" ref="G389:G393" si="152">ROUNDDOWN(D389*F389,-3)</f>
        <v>3000000</v>
      </c>
    </row>
    <row r="390" spans="1:7" s="399" customFormat="1" ht="12.75">
      <c r="A390" s="379" t="s">
        <v>3049</v>
      </c>
      <c r="B390" s="425"/>
      <c r="C390" s="426" t="s">
        <v>3683</v>
      </c>
      <c r="D390" s="425">
        <v>47</v>
      </c>
      <c r="E390" s="425" t="s">
        <v>10</v>
      </c>
      <c r="F390" s="428">
        <v>75000</v>
      </c>
      <c r="G390" s="428">
        <f t="shared" si="152"/>
        <v>3525000</v>
      </c>
    </row>
    <row r="391" spans="1:7" s="399" customFormat="1" ht="12.75">
      <c r="A391" s="379" t="s">
        <v>3050</v>
      </c>
      <c r="B391" s="425"/>
      <c r="C391" s="426" t="s">
        <v>3690</v>
      </c>
      <c r="D391" s="425">
        <v>4</v>
      </c>
      <c r="E391" s="425" t="s">
        <v>176</v>
      </c>
      <c r="F391" s="428">
        <v>500000</v>
      </c>
      <c r="G391" s="428">
        <f t="shared" si="152"/>
        <v>2000000</v>
      </c>
    </row>
    <row r="392" spans="1:7" s="399" customFormat="1" ht="12.75">
      <c r="A392" s="379" t="s">
        <v>3052</v>
      </c>
      <c r="B392" s="425"/>
      <c r="C392" s="426" t="s">
        <v>3532</v>
      </c>
      <c r="D392" s="425">
        <v>2</v>
      </c>
      <c r="E392" s="425" t="s">
        <v>106</v>
      </c>
      <c r="F392" s="428">
        <v>1000000</v>
      </c>
      <c r="G392" s="428">
        <f t="shared" si="152"/>
        <v>2000000</v>
      </c>
    </row>
    <row r="393" spans="1:7" s="399" customFormat="1" ht="12.75">
      <c r="A393" s="379" t="s">
        <v>3053</v>
      </c>
      <c r="B393" s="425"/>
      <c r="C393" s="426" t="s">
        <v>3533</v>
      </c>
      <c r="D393" s="425">
        <v>2</v>
      </c>
      <c r="E393" s="425" t="s">
        <v>106</v>
      </c>
      <c r="F393" s="428">
        <v>1500000</v>
      </c>
      <c r="G393" s="428">
        <f t="shared" si="152"/>
        <v>3000000</v>
      </c>
    </row>
    <row r="394" spans="1:7" s="399" customFormat="1" ht="12.75">
      <c r="A394" s="379" t="s">
        <v>3056</v>
      </c>
      <c r="B394" s="421">
        <v>521219</v>
      </c>
      <c r="C394" s="422" t="s">
        <v>53</v>
      </c>
      <c r="D394" s="421"/>
      <c r="E394" s="421"/>
      <c r="F394" s="424"/>
      <c r="G394" s="424">
        <f>SUM(G395:G395)</f>
        <v>2000000</v>
      </c>
    </row>
    <row r="395" spans="1:7" s="399" customFormat="1" ht="25.5">
      <c r="A395" s="379" t="s">
        <v>3057</v>
      </c>
      <c r="B395" s="425"/>
      <c r="C395" s="426" t="s">
        <v>4853</v>
      </c>
      <c r="D395" s="425">
        <v>1</v>
      </c>
      <c r="E395" s="425" t="s">
        <v>60</v>
      </c>
      <c r="F395" s="428">
        <v>2000000</v>
      </c>
      <c r="G395" s="428">
        <f t="shared" ref="G395" si="153">ROUNDDOWN(D395*F395,-3)</f>
        <v>2000000</v>
      </c>
    </row>
    <row r="396" spans="1:7" s="399" customFormat="1" ht="12.75">
      <c r="A396" s="379" t="s">
        <v>3063</v>
      </c>
      <c r="B396" s="421">
        <v>524111</v>
      </c>
      <c r="C396" s="422" t="s">
        <v>19</v>
      </c>
      <c r="D396" s="421"/>
      <c r="E396" s="421"/>
      <c r="F396" s="424"/>
      <c r="G396" s="424">
        <f t="shared" ref="G396" si="154">G397</f>
        <v>60415000</v>
      </c>
    </row>
    <row r="397" spans="1:7" s="399" customFormat="1" ht="12.75">
      <c r="A397" s="379" t="s">
        <v>3064</v>
      </c>
      <c r="B397" s="425"/>
      <c r="C397" s="426" t="s">
        <v>3691</v>
      </c>
      <c r="D397" s="425">
        <v>12</v>
      </c>
      <c r="E397" s="425" t="s">
        <v>10</v>
      </c>
      <c r="F397" s="428">
        <v>5034585</v>
      </c>
      <c r="G397" s="428">
        <f>ROUNDDOWN(D397*F397,-3)</f>
        <v>60415000</v>
      </c>
    </row>
    <row r="398" spans="1:7" s="399" customFormat="1" ht="12.75">
      <c r="A398" s="379" t="s">
        <v>4854</v>
      </c>
      <c r="B398" s="418" t="s">
        <v>509</v>
      </c>
      <c r="C398" s="419" t="s">
        <v>4820</v>
      </c>
      <c r="D398" s="418"/>
      <c r="E398" s="418"/>
      <c r="F398" s="420"/>
      <c r="G398" s="420">
        <f>G399</f>
        <v>387471000</v>
      </c>
    </row>
    <row r="399" spans="1:7" s="399" customFormat="1" ht="12.75">
      <c r="A399" s="379" t="s">
        <v>4824</v>
      </c>
      <c r="B399" s="421">
        <v>524111</v>
      </c>
      <c r="C399" s="422" t="s">
        <v>19</v>
      </c>
      <c r="D399" s="421"/>
      <c r="E399" s="421"/>
      <c r="F399" s="424"/>
      <c r="G399" s="424">
        <f>G400</f>
        <v>387471000</v>
      </c>
    </row>
    <row r="400" spans="1:7" s="399" customFormat="1" ht="12.75">
      <c r="A400" s="379" t="s">
        <v>4855</v>
      </c>
      <c r="B400" s="425"/>
      <c r="C400" s="426" t="s">
        <v>4837</v>
      </c>
      <c r="D400" s="425">
        <v>1</v>
      </c>
      <c r="E400" s="425" t="s">
        <v>9</v>
      </c>
      <c r="F400" s="428">
        <v>387471000</v>
      </c>
      <c r="G400" s="428">
        <f t="shared" ref="G400" si="155">ROUNDDOWN(D400*F400,-3)</f>
        <v>387471000</v>
      </c>
    </row>
    <row r="401" spans="1:7" s="399" customFormat="1" ht="25.5">
      <c r="A401" s="379" t="s">
        <v>3068</v>
      </c>
      <c r="B401" s="414">
        <v>302</v>
      </c>
      <c r="C401" s="415" t="s">
        <v>3070</v>
      </c>
      <c r="D401" s="414"/>
      <c r="E401" s="414"/>
      <c r="F401" s="417"/>
      <c r="G401" s="417">
        <f>SUM(G402,G413)</f>
        <v>126532000</v>
      </c>
    </row>
    <row r="402" spans="1:7" s="399" customFormat="1" ht="12.75">
      <c r="A402" s="379" t="s">
        <v>3071</v>
      </c>
      <c r="B402" s="418" t="s">
        <v>8</v>
      </c>
      <c r="C402" s="419" t="s">
        <v>178</v>
      </c>
      <c r="D402" s="418"/>
      <c r="E402" s="418"/>
      <c r="F402" s="420"/>
      <c r="G402" s="420">
        <f t="shared" ref="G402" si="156">SUM(G403,G409,G411)</f>
        <v>50069000</v>
      </c>
    </row>
    <row r="403" spans="1:7" s="399" customFormat="1" ht="12.75">
      <c r="A403" s="379" t="s">
        <v>3072</v>
      </c>
      <c r="B403" s="421">
        <v>521211</v>
      </c>
      <c r="C403" s="422" t="s">
        <v>7</v>
      </c>
      <c r="D403" s="421"/>
      <c r="E403" s="421"/>
      <c r="F403" s="424"/>
      <c r="G403" s="424">
        <f t="shared" ref="G403" si="157">SUM(G404:G408)</f>
        <v>17900000</v>
      </c>
    </row>
    <row r="404" spans="1:7" s="399" customFormat="1" ht="12.75">
      <c r="A404" s="379" t="s">
        <v>3073</v>
      </c>
      <c r="B404" s="425"/>
      <c r="C404" s="426" t="s">
        <v>3529</v>
      </c>
      <c r="D404" s="425">
        <v>4</v>
      </c>
      <c r="E404" s="425" t="s">
        <v>9</v>
      </c>
      <c r="F404" s="428">
        <v>1500000</v>
      </c>
      <c r="G404" s="428">
        <f t="shared" ref="G404:G408" si="158">ROUNDDOWN(D404*F404,-3)</f>
        <v>6000000</v>
      </c>
    </row>
    <row r="405" spans="1:7" s="399" customFormat="1" ht="12.75">
      <c r="A405" s="379" t="s">
        <v>3074</v>
      </c>
      <c r="B405" s="425"/>
      <c r="C405" s="426" t="s">
        <v>3683</v>
      </c>
      <c r="D405" s="425">
        <v>12</v>
      </c>
      <c r="E405" s="425" t="s">
        <v>10</v>
      </c>
      <c r="F405" s="428">
        <v>75000</v>
      </c>
      <c r="G405" s="428">
        <f t="shared" si="158"/>
        <v>900000</v>
      </c>
    </row>
    <row r="406" spans="1:7" s="399" customFormat="1" ht="12.75">
      <c r="A406" s="379" t="s">
        <v>3075</v>
      </c>
      <c r="B406" s="425"/>
      <c r="C406" s="426" t="s">
        <v>3530</v>
      </c>
      <c r="D406" s="425">
        <v>4</v>
      </c>
      <c r="E406" s="425" t="s">
        <v>106</v>
      </c>
      <c r="F406" s="428">
        <v>1000000</v>
      </c>
      <c r="G406" s="428">
        <f t="shared" si="158"/>
        <v>4000000</v>
      </c>
    </row>
    <row r="407" spans="1:7" s="399" customFormat="1" ht="12.75">
      <c r="A407" s="379" t="s">
        <v>3076</v>
      </c>
      <c r="B407" s="425"/>
      <c r="C407" s="426" t="s">
        <v>3531</v>
      </c>
      <c r="D407" s="425">
        <v>4</v>
      </c>
      <c r="E407" s="425" t="s">
        <v>106</v>
      </c>
      <c r="F407" s="428">
        <v>1500000</v>
      </c>
      <c r="G407" s="428">
        <f t="shared" si="158"/>
        <v>6000000</v>
      </c>
    </row>
    <row r="408" spans="1:7" s="399" customFormat="1" ht="12.75">
      <c r="A408" s="379" t="s">
        <v>3077</v>
      </c>
      <c r="B408" s="425"/>
      <c r="C408" s="426" t="s">
        <v>3692</v>
      </c>
      <c r="D408" s="425">
        <v>2</v>
      </c>
      <c r="E408" s="425" t="s">
        <v>176</v>
      </c>
      <c r="F408" s="428">
        <v>500000</v>
      </c>
      <c r="G408" s="428">
        <f t="shared" si="158"/>
        <v>1000000</v>
      </c>
    </row>
    <row r="409" spans="1:7" s="399" customFormat="1" ht="12.75">
      <c r="A409" s="379" t="s">
        <v>3079</v>
      </c>
      <c r="B409" s="421">
        <v>521219</v>
      </c>
      <c r="C409" s="422" t="s">
        <v>53</v>
      </c>
      <c r="D409" s="421"/>
      <c r="E409" s="421"/>
      <c r="F409" s="424"/>
      <c r="G409" s="424">
        <f t="shared" ref="G409" si="159">G410</f>
        <v>2000000</v>
      </c>
    </row>
    <row r="410" spans="1:7" s="399" customFormat="1" ht="25.5">
      <c r="A410" s="379" t="s">
        <v>3080</v>
      </c>
      <c r="B410" s="425"/>
      <c r="C410" s="426" t="s">
        <v>3688</v>
      </c>
      <c r="D410" s="425">
        <v>1</v>
      </c>
      <c r="E410" s="425" t="s">
        <v>3605</v>
      </c>
      <c r="F410" s="428">
        <v>2000000</v>
      </c>
      <c r="G410" s="428">
        <f>ROUNDDOWN(D410*F410,-3)</f>
        <v>2000000</v>
      </c>
    </row>
    <row r="411" spans="1:7" s="399" customFormat="1" ht="12.75">
      <c r="A411" s="379" t="s">
        <v>3081</v>
      </c>
      <c r="B411" s="421">
        <v>524111</v>
      </c>
      <c r="C411" s="422" t="s">
        <v>19</v>
      </c>
      <c r="D411" s="421"/>
      <c r="E411" s="421"/>
      <c r="F411" s="424"/>
      <c r="G411" s="424">
        <f t="shared" ref="G411" si="160">G412</f>
        <v>30169000</v>
      </c>
    </row>
    <row r="412" spans="1:7" s="399" customFormat="1" ht="12.75">
      <c r="A412" s="379" t="s">
        <v>3082</v>
      </c>
      <c r="B412" s="425"/>
      <c r="C412" s="426" t="s">
        <v>4856</v>
      </c>
      <c r="D412" s="425">
        <v>6</v>
      </c>
      <c r="E412" s="425" t="s">
        <v>10</v>
      </c>
      <c r="F412" s="428">
        <v>5028317</v>
      </c>
      <c r="G412" s="428">
        <f>ROUNDDOWN(D412*F412,-3)</f>
        <v>30169000</v>
      </c>
    </row>
    <row r="413" spans="1:7" s="399" customFormat="1" ht="12.75">
      <c r="A413" s="379" t="s">
        <v>4857</v>
      </c>
      <c r="B413" s="418" t="s">
        <v>508</v>
      </c>
      <c r="C413" s="419" t="s">
        <v>4820</v>
      </c>
      <c r="D413" s="418"/>
      <c r="E413" s="418"/>
      <c r="F413" s="420"/>
      <c r="G413" s="420">
        <f>G414</f>
        <v>76463000</v>
      </c>
    </row>
    <row r="414" spans="1:7" s="399" customFormat="1" ht="12.75">
      <c r="A414" s="379" t="s">
        <v>4829</v>
      </c>
      <c r="B414" s="421">
        <v>521219</v>
      </c>
      <c r="C414" s="422" t="s">
        <v>53</v>
      </c>
      <c r="D414" s="421"/>
      <c r="E414" s="421"/>
      <c r="F414" s="424"/>
      <c r="G414" s="424">
        <f>G415</f>
        <v>76463000</v>
      </c>
    </row>
    <row r="415" spans="1:7" s="399" customFormat="1" ht="12.75">
      <c r="A415" s="379" t="s">
        <v>4858</v>
      </c>
      <c r="B415" s="425"/>
      <c r="C415" s="426" t="s">
        <v>4837</v>
      </c>
      <c r="D415" s="425">
        <v>1</v>
      </c>
      <c r="E415" s="425" t="s">
        <v>23</v>
      </c>
      <c r="F415" s="428">
        <v>76463900</v>
      </c>
      <c r="G415" s="428">
        <f t="shared" ref="G415" si="161">ROUNDDOWN(D415*F415,-3)</f>
        <v>76463000</v>
      </c>
    </row>
    <row r="416" spans="1:7" s="399" customFormat="1" ht="12.75">
      <c r="A416" s="379" t="s">
        <v>3083</v>
      </c>
      <c r="B416" s="411" t="s">
        <v>3693</v>
      </c>
      <c r="C416" s="412" t="s">
        <v>3085</v>
      </c>
      <c r="D416" s="411">
        <v>1</v>
      </c>
      <c r="E416" s="411" t="s">
        <v>3681</v>
      </c>
      <c r="F416" s="413"/>
      <c r="G416" s="413">
        <f t="shared" ref="G416" si="162">G417</f>
        <v>289920000</v>
      </c>
    </row>
    <row r="417" spans="1:7" s="399" customFormat="1" ht="25.5">
      <c r="A417" s="379" t="s">
        <v>3297</v>
      </c>
      <c r="B417" s="414">
        <v>301</v>
      </c>
      <c r="C417" s="415" t="s">
        <v>3298</v>
      </c>
      <c r="D417" s="414"/>
      <c r="E417" s="414"/>
      <c r="F417" s="417"/>
      <c r="G417" s="417">
        <f>SUM(G418,G426,G432,G436,G443,G447,G455)</f>
        <v>289920000</v>
      </c>
    </row>
    <row r="418" spans="1:7" s="399" customFormat="1" ht="12.75">
      <c r="A418" s="379" t="s">
        <v>3299</v>
      </c>
      <c r="B418" s="418" t="s">
        <v>8</v>
      </c>
      <c r="C418" s="419" t="s">
        <v>143</v>
      </c>
      <c r="D418" s="418"/>
      <c r="E418" s="418"/>
      <c r="F418" s="420"/>
      <c r="G418" s="420">
        <f>SUM(G419,G424)</f>
        <v>27102000</v>
      </c>
    </row>
    <row r="419" spans="1:7" s="399" customFormat="1" ht="12.75">
      <c r="A419" s="379" t="s">
        <v>3300</v>
      </c>
      <c r="B419" s="421">
        <v>521211</v>
      </c>
      <c r="C419" s="422" t="s">
        <v>7</v>
      </c>
      <c r="D419" s="421"/>
      <c r="E419" s="421"/>
      <c r="F419" s="424"/>
      <c r="G419" s="424">
        <f t="shared" ref="G419" si="163">SUM(G420:G423)</f>
        <v>18400000</v>
      </c>
    </row>
    <row r="420" spans="1:7" s="399" customFormat="1" ht="12.75">
      <c r="A420" s="379" t="s">
        <v>3301</v>
      </c>
      <c r="B420" s="425"/>
      <c r="C420" s="426" t="s">
        <v>3529</v>
      </c>
      <c r="D420" s="425">
        <v>2</v>
      </c>
      <c r="E420" s="425" t="s">
        <v>9</v>
      </c>
      <c r="F420" s="428">
        <v>1500000</v>
      </c>
      <c r="G420" s="428">
        <f t="shared" ref="G420:G423" si="164">ROUNDDOWN(D420*F420,-3)</f>
        <v>3000000</v>
      </c>
    </row>
    <row r="421" spans="1:7" s="399" customFormat="1" ht="12.75">
      <c r="A421" s="379" t="s">
        <v>3302</v>
      </c>
      <c r="B421" s="425"/>
      <c r="C421" s="426" t="s">
        <v>3683</v>
      </c>
      <c r="D421" s="425">
        <v>20</v>
      </c>
      <c r="E421" s="425" t="s">
        <v>10</v>
      </c>
      <c r="F421" s="428">
        <v>70000</v>
      </c>
      <c r="G421" s="428">
        <f t="shared" si="164"/>
        <v>1400000</v>
      </c>
    </row>
    <row r="422" spans="1:7" s="399" customFormat="1" ht="12.75">
      <c r="A422" s="379" t="s">
        <v>3303</v>
      </c>
      <c r="B422" s="425"/>
      <c r="C422" s="426" t="s">
        <v>3530</v>
      </c>
      <c r="D422" s="425">
        <v>5</v>
      </c>
      <c r="E422" s="425" t="s">
        <v>106</v>
      </c>
      <c r="F422" s="428">
        <v>1000000</v>
      </c>
      <c r="G422" s="428">
        <f t="shared" si="164"/>
        <v>5000000</v>
      </c>
    </row>
    <row r="423" spans="1:7" s="399" customFormat="1" ht="12.75">
      <c r="A423" s="379" t="s">
        <v>3304</v>
      </c>
      <c r="B423" s="425"/>
      <c r="C423" s="426" t="s">
        <v>3531</v>
      </c>
      <c r="D423" s="425">
        <v>6</v>
      </c>
      <c r="E423" s="425" t="s">
        <v>106</v>
      </c>
      <c r="F423" s="428">
        <v>1500000</v>
      </c>
      <c r="G423" s="428">
        <f t="shared" si="164"/>
        <v>9000000</v>
      </c>
    </row>
    <row r="424" spans="1:7" s="399" customFormat="1" ht="12.75">
      <c r="A424" s="379" t="s">
        <v>3305</v>
      </c>
      <c r="B424" s="421">
        <v>524111</v>
      </c>
      <c r="C424" s="422" t="s">
        <v>19</v>
      </c>
      <c r="D424" s="421"/>
      <c r="E424" s="421"/>
      <c r="F424" s="424"/>
      <c r="G424" s="424">
        <f t="shared" ref="G424" si="165">G425</f>
        <v>8702000</v>
      </c>
    </row>
    <row r="425" spans="1:7" s="399" customFormat="1" ht="12.75">
      <c r="A425" s="379" t="s">
        <v>3306</v>
      </c>
      <c r="B425" s="425"/>
      <c r="C425" s="426" t="s">
        <v>3694</v>
      </c>
      <c r="D425" s="425">
        <v>2</v>
      </c>
      <c r="E425" s="425" t="s">
        <v>10</v>
      </c>
      <c r="F425" s="428">
        <v>4351000</v>
      </c>
      <c r="G425" s="428">
        <f>ROUNDDOWN(D425*F425,-3)</f>
        <v>8702000</v>
      </c>
    </row>
    <row r="426" spans="1:7" s="399" customFormat="1" ht="25.5">
      <c r="A426" s="379" t="s">
        <v>3310</v>
      </c>
      <c r="B426" s="418" t="s">
        <v>508</v>
      </c>
      <c r="C426" s="419" t="s">
        <v>144</v>
      </c>
      <c r="D426" s="418"/>
      <c r="E426" s="418"/>
      <c r="F426" s="420"/>
      <c r="G426" s="420">
        <f>SUM(G427,G430)</f>
        <v>12850000</v>
      </c>
    </row>
    <row r="427" spans="1:7" s="399" customFormat="1" ht="12.75">
      <c r="A427" s="379" t="s">
        <v>3311</v>
      </c>
      <c r="B427" s="421">
        <v>521211</v>
      </c>
      <c r="C427" s="422" t="s">
        <v>7</v>
      </c>
      <c r="D427" s="421"/>
      <c r="E427" s="421"/>
      <c r="F427" s="424"/>
      <c r="G427" s="424">
        <f>SUM(G428:G429)</f>
        <v>7500000</v>
      </c>
    </row>
    <row r="428" spans="1:7" s="399" customFormat="1" ht="12.75">
      <c r="A428" s="379" t="s">
        <v>3312</v>
      </c>
      <c r="B428" s="425"/>
      <c r="C428" s="426" t="s">
        <v>3680</v>
      </c>
      <c r="D428" s="425">
        <v>3</v>
      </c>
      <c r="E428" s="425" t="s">
        <v>9</v>
      </c>
      <c r="F428" s="428">
        <v>1500000</v>
      </c>
      <c r="G428" s="428">
        <f t="shared" ref="G428:G429" si="166">ROUNDDOWN(D428*F428,-3)</f>
        <v>4500000</v>
      </c>
    </row>
    <row r="429" spans="1:7" s="399" customFormat="1" ht="12.75">
      <c r="A429" s="379" t="s">
        <v>3313</v>
      </c>
      <c r="B429" s="425"/>
      <c r="C429" s="426" t="s">
        <v>3538</v>
      </c>
      <c r="D429" s="425">
        <v>3</v>
      </c>
      <c r="E429" s="425" t="s">
        <v>106</v>
      </c>
      <c r="F429" s="428">
        <v>1000000</v>
      </c>
      <c r="G429" s="428">
        <f t="shared" si="166"/>
        <v>3000000</v>
      </c>
    </row>
    <row r="430" spans="1:7" s="399" customFormat="1" ht="12.75">
      <c r="A430" s="379" t="s">
        <v>3315</v>
      </c>
      <c r="B430" s="421">
        <v>524111</v>
      </c>
      <c r="C430" s="422" t="s">
        <v>19</v>
      </c>
      <c r="D430" s="421"/>
      <c r="E430" s="421"/>
      <c r="F430" s="424"/>
      <c r="G430" s="424">
        <f t="shared" ref="G430" si="167">G431</f>
        <v>5350000</v>
      </c>
    </row>
    <row r="431" spans="1:7" s="399" customFormat="1" ht="12.75">
      <c r="A431" s="379" t="s">
        <v>3316</v>
      </c>
      <c r="B431" s="425"/>
      <c r="C431" s="426" t="s">
        <v>3694</v>
      </c>
      <c r="D431" s="425">
        <v>1</v>
      </c>
      <c r="E431" s="425" t="s">
        <v>10</v>
      </c>
      <c r="F431" s="428">
        <v>5350000</v>
      </c>
      <c r="G431" s="428">
        <f>ROUNDDOWN(D431*F431,-3)</f>
        <v>5350000</v>
      </c>
    </row>
    <row r="432" spans="1:7" s="399" customFormat="1" ht="12.75">
      <c r="A432" s="379" t="s">
        <v>3319</v>
      </c>
      <c r="B432" s="418" t="s">
        <v>509</v>
      </c>
      <c r="C432" s="419" t="s">
        <v>145</v>
      </c>
      <c r="D432" s="418"/>
      <c r="E432" s="418"/>
      <c r="F432" s="420"/>
      <c r="G432" s="420">
        <f>SUM(G433)</f>
        <v>7500000</v>
      </c>
    </row>
    <row r="433" spans="1:7" s="399" customFormat="1" ht="12.75">
      <c r="A433" s="379" t="s">
        <v>3320</v>
      </c>
      <c r="B433" s="421">
        <v>521211</v>
      </c>
      <c r="C433" s="422" t="s">
        <v>7</v>
      </c>
      <c r="D433" s="421"/>
      <c r="E433" s="421"/>
      <c r="F433" s="424"/>
      <c r="G433" s="424">
        <f t="shared" ref="G433" si="168">SUM(G434:G435)</f>
        <v>7500000</v>
      </c>
    </row>
    <row r="434" spans="1:7" s="399" customFormat="1" ht="12.75">
      <c r="A434" s="379" t="s">
        <v>3321</v>
      </c>
      <c r="B434" s="425"/>
      <c r="C434" s="426" t="s">
        <v>3680</v>
      </c>
      <c r="D434" s="425">
        <v>3</v>
      </c>
      <c r="E434" s="425" t="s">
        <v>9</v>
      </c>
      <c r="F434" s="428">
        <v>1500000</v>
      </c>
      <c r="G434" s="428">
        <f t="shared" ref="G434:G435" si="169">ROUNDDOWN(D434*F434,-3)</f>
        <v>4500000</v>
      </c>
    </row>
    <row r="435" spans="1:7" s="399" customFormat="1" ht="12.75">
      <c r="A435" s="379" t="s">
        <v>3322</v>
      </c>
      <c r="B435" s="425"/>
      <c r="C435" s="426" t="s">
        <v>3538</v>
      </c>
      <c r="D435" s="425">
        <v>3</v>
      </c>
      <c r="E435" s="425" t="s">
        <v>106</v>
      </c>
      <c r="F435" s="428">
        <v>1000000</v>
      </c>
      <c r="G435" s="428">
        <f t="shared" si="169"/>
        <v>3000000</v>
      </c>
    </row>
    <row r="436" spans="1:7" s="399" customFormat="1" ht="12.75">
      <c r="A436" s="379" t="s">
        <v>3328</v>
      </c>
      <c r="B436" s="418" t="s">
        <v>511</v>
      </c>
      <c r="C436" s="419" t="s">
        <v>3329</v>
      </c>
      <c r="D436" s="418"/>
      <c r="E436" s="418"/>
      <c r="F436" s="420"/>
      <c r="G436" s="420">
        <f>SUM(G437,G441)</f>
        <v>34635000</v>
      </c>
    </row>
    <row r="437" spans="1:7" s="399" customFormat="1" ht="12.75">
      <c r="A437" s="379" t="s">
        <v>3330</v>
      </c>
      <c r="B437" s="421">
        <v>521211</v>
      </c>
      <c r="C437" s="422" t="s">
        <v>7</v>
      </c>
      <c r="D437" s="421"/>
      <c r="E437" s="421"/>
      <c r="F437" s="424"/>
      <c r="G437" s="424">
        <f>SUM(G438:G440)</f>
        <v>14000000</v>
      </c>
    </row>
    <row r="438" spans="1:7" s="399" customFormat="1" ht="12.75">
      <c r="A438" s="379" t="s">
        <v>3331</v>
      </c>
      <c r="B438" s="425"/>
      <c r="C438" s="426" t="s">
        <v>3680</v>
      </c>
      <c r="D438" s="425">
        <v>5</v>
      </c>
      <c r="E438" s="425" t="s">
        <v>9</v>
      </c>
      <c r="F438" s="428">
        <v>1500000</v>
      </c>
      <c r="G438" s="428">
        <f t="shared" ref="G438:G440" si="170">ROUNDDOWN(D438*F438,-3)</f>
        <v>7500000</v>
      </c>
    </row>
    <row r="439" spans="1:7" s="399" customFormat="1" ht="12.75">
      <c r="A439" s="379" t="s">
        <v>3332</v>
      </c>
      <c r="B439" s="425"/>
      <c r="C439" s="426" t="s">
        <v>4859</v>
      </c>
      <c r="D439" s="425">
        <v>7</v>
      </c>
      <c r="E439" s="425" t="s">
        <v>176</v>
      </c>
      <c r="F439" s="428">
        <v>500000</v>
      </c>
      <c r="G439" s="428">
        <f t="shared" si="170"/>
        <v>3500000</v>
      </c>
    </row>
    <row r="440" spans="1:7" s="399" customFormat="1" ht="12.75">
      <c r="A440" s="379" t="s">
        <v>3333</v>
      </c>
      <c r="B440" s="425"/>
      <c r="C440" s="426" t="s">
        <v>3530</v>
      </c>
      <c r="D440" s="425">
        <v>3</v>
      </c>
      <c r="E440" s="425" t="s">
        <v>106</v>
      </c>
      <c r="F440" s="428">
        <v>1000000</v>
      </c>
      <c r="G440" s="428">
        <f t="shared" si="170"/>
        <v>3000000</v>
      </c>
    </row>
    <row r="441" spans="1:7" s="399" customFormat="1" ht="12.75">
      <c r="A441" s="379" t="s">
        <v>3340</v>
      </c>
      <c r="B441" s="421">
        <v>524111</v>
      </c>
      <c r="C441" s="422" t="s">
        <v>19</v>
      </c>
      <c r="D441" s="421"/>
      <c r="E441" s="421"/>
      <c r="F441" s="424"/>
      <c r="G441" s="424">
        <f t="shared" ref="G441" si="171">G442</f>
        <v>20635000</v>
      </c>
    </row>
    <row r="442" spans="1:7" s="399" customFormat="1" ht="25.5">
      <c r="A442" s="379" t="s">
        <v>3341</v>
      </c>
      <c r="B442" s="425"/>
      <c r="C442" s="426" t="s">
        <v>3695</v>
      </c>
      <c r="D442" s="425">
        <v>5</v>
      </c>
      <c r="E442" s="425" t="s">
        <v>10</v>
      </c>
      <c r="F442" s="428">
        <v>4127000</v>
      </c>
      <c r="G442" s="428">
        <f>ROUNDDOWN(D442*F442,-3)</f>
        <v>20635000</v>
      </c>
    </row>
    <row r="443" spans="1:7" s="399" customFormat="1" ht="12.75">
      <c r="A443" s="379" t="s">
        <v>3346</v>
      </c>
      <c r="B443" s="418" t="s">
        <v>516</v>
      </c>
      <c r="C443" s="419" t="s">
        <v>146</v>
      </c>
      <c r="D443" s="418"/>
      <c r="E443" s="418"/>
      <c r="F443" s="420"/>
      <c r="G443" s="420">
        <f>SUM(G444)</f>
        <v>7500000</v>
      </c>
    </row>
    <row r="444" spans="1:7" s="399" customFormat="1" ht="12.75">
      <c r="A444" s="379" t="s">
        <v>3347</v>
      </c>
      <c r="B444" s="421">
        <v>521211</v>
      </c>
      <c r="C444" s="422" t="s">
        <v>7</v>
      </c>
      <c r="D444" s="421"/>
      <c r="E444" s="421"/>
      <c r="F444" s="424"/>
      <c r="G444" s="424">
        <f t="shared" ref="G444" si="172">SUM(G445:G446)</f>
        <v>7500000</v>
      </c>
    </row>
    <row r="445" spans="1:7" s="399" customFormat="1" ht="12.75">
      <c r="A445" s="379" t="s">
        <v>3348</v>
      </c>
      <c r="B445" s="425"/>
      <c r="C445" s="426" t="s">
        <v>3680</v>
      </c>
      <c r="D445" s="425">
        <v>3</v>
      </c>
      <c r="E445" s="425" t="s">
        <v>9</v>
      </c>
      <c r="F445" s="428">
        <v>1500000</v>
      </c>
      <c r="G445" s="428">
        <f t="shared" ref="G445:G446" si="173">ROUNDDOWN(D445*F445,-3)</f>
        <v>4500000</v>
      </c>
    </row>
    <row r="446" spans="1:7" s="399" customFormat="1" ht="12.75">
      <c r="A446" s="379" t="s">
        <v>3349</v>
      </c>
      <c r="B446" s="425"/>
      <c r="C446" s="426" t="s">
        <v>3538</v>
      </c>
      <c r="D446" s="425">
        <v>3</v>
      </c>
      <c r="E446" s="425" t="s">
        <v>106</v>
      </c>
      <c r="F446" s="428">
        <v>1000000</v>
      </c>
      <c r="G446" s="428">
        <f t="shared" si="173"/>
        <v>3000000</v>
      </c>
    </row>
    <row r="447" spans="1:7" s="399" customFormat="1" ht="25.5">
      <c r="A447" s="379" t="s">
        <v>3356</v>
      </c>
      <c r="B447" s="418" t="s">
        <v>566</v>
      </c>
      <c r="C447" s="419" t="s">
        <v>147</v>
      </c>
      <c r="D447" s="418"/>
      <c r="E447" s="418"/>
      <c r="F447" s="420"/>
      <c r="G447" s="420">
        <f>SUM(G448,G450,G453)</f>
        <v>108333000</v>
      </c>
    </row>
    <row r="448" spans="1:7" s="399" customFormat="1" ht="12.75">
      <c r="A448" s="379" t="s">
        <v>3357</v>
      </c>
      <c r="B448" s="421">
        <v>521211</v>
      </c>
      <c r="C448" s="422" t="s">
        <v>7</v>
      </c>
      <c r="D448" s="421"/>
      <c r="E448" s="421"/>
      <c r="F448" s="424"/>
      <c r="G448" s="424">
        <f t="shared" ref="G448" si="174">G449</f>
        <v>4800000</v>
      </c>
    </row>
    <row r="449" spans="1:7" s="399" customFormat="1" ht="12.75">
      <c r="A449" s="379" t="s">
        <v>3358</v>
      </c>
      <c r="B449" s="425"/>
      <c r="C449" s="426" t="s">
        <v>3696</v>
      </c>
      <c r="D449" s="425">
        <v>24</v>
      </c>
      <c r="E449" s="425" t="s">
        <v>176</v>
      </c>
      <c r="F449" s="428">
        <v>200000</v>
      </c>
      <c r="G449" s="428">
        <f>ROUNDDOWN(D449*F449,-3)</f>
        <v>4800000</v>
      </c>
    </row>
    <row r="450" spans="1:7" s="399" customFormat="1" ht="12.75">
      <c r="A450" s="379" t="s">
        <v>3360</v>
      </c>
      <c r="B450" s="421">
        <v>521811</v>
      </c>
      <c r="C450" s="422" t="s">
        <v>64</v>
      </c>
      <c r="D450" s="421"/>
      <c r="E450" s="421"/>
      <c r="F450" s="424"/>
      <c r="G450" s="424">
        <f t="shared" ref="G450" si="175">SUM(G451:G452)</f>
        <v>27500000</v>
      </c>
    </row>
    <row r="451" spans="1:7" s="399" customFormat="1" ht="12.75">
      <c r="A451" s="379" t="s">
        <v>3361</v>
      </c>
      <c r="B451" s="425"/>
      <c r="C451" s="426" t="s">
        <v>3680</v>
      </c>
      <c r="D451" s="425">
        <v>11</v>
      </c>
      <c r="E451" s="425" t="s">
        <v>9</v>
      </c>
      <c r="F451" s="428">
        <v>1500000</v>
      </c>
      <c r="G451" s="428">
        <f t="shared" ref="G451:G452" si="176">ROUNDDOWN(D451*F451,-3)</f>
        <v>16500000</v>
      </c>
    </row>
    <row r="452" spans="1:7" s="399" customFormat="1" ht="12.75">
      <c r="A452" s="379" t="s">
        <v>3362</v>
      </c>
      <c r="B452" s="425"/>
      <c r="C452" s="426" t="s">
        <v>3538</v>
      </c>
      <c r="D452" s="425">
        <v>11</v>
      </c>
      <c r="E452" s="425" t="s">
        <v>2728</v>
      </c>
      <c r="F452" s="428">
        <v>1000000</v>
      </c>
      <c r="G452" s="428">
        <f t="shared" si="176"/>
        <v>11000000</v>
      </c>
    </row>
    <row r="453" spans="1:7" s="399" customFormat="1" ht="12.75">
      <c r="A453" s="379" t="s">
        <v>3363</v>
      </c>
      <c r="B453" s="421">
        <v>524111</v>
      </c>
      <c r="C453" s="422" t="s">
        <v>19</v>
      </c>
      <c r="D453" s="421"/>
      <c r="E453" s="421"/>
      <c r="F453" s="424"/>
      <c r="G453" s="424">
        <f t="shared" ref="G453" si="177">G454</f>
        <v>76033000</v>
      </c>
    </row>
    <row r="454" spans="1:7" s="399" customFormat="1" ht="12.75">
      <c r="A454" s="379" t="s">
        <v>3364</v>
      </c>
      <c r="B454" s="425"/>
      <c r="C454" s="426" t="s">
        <v>3697</v>
      </c>
      <c r="D454" s="425">
        <v>12</v>
      </c>
      <c r="E454" s="425" t="s">
        <v>10</v>
      </c>
      <c r="F454" s="428">
        <v>6336085</v>
      </c>
      <c r="G454" s="428">
        <f>ROUNDDOWN(D454*F454,-3)</f>
        <v>76033000</v>
      </c>
    </row>
    <row r="455" spans="1:7" s="399" customFormat="1" ht="12.75">
      <c r="A455" s="379" t="s">
        <v>4860</v>
      </c>
      <c r="B455" s="418" t="s">
        <v>567</v>
      </c>
      <c r="C455" s="419" t="s">
        <v>4820</v>
      </c>
      <c r="D455" s="418"/>
      <c r="E455" s="418"/>
      <c r="F455" s="420"/>
      <c r="G455" s="420">
        <f>G456</f>
        <v>92000000</v>
      </c>
    </row>
    <row r="456" spans="1:7" s="399" customFormat="1" ht="12.75">
      <c r="A456" s="379" t="s">
        <v>4823</v>
      </c>
      <c r="B456" s="421">
        <v>521219</v>
      </c>
      <c r="C456" s="422" t="s">
        <v>53</v>
      </c>
      <c r="D456" s="421"/>
      <c r="E456" s="421"/>
      <c r="F456" s="424"/>
      <c r="G456" s="424">
        <f t="shared" ref="G456" si="178">G457</f>
        <v>92000000</v>
      </c>
    </row>
    <row r="457" spans="1:7" s="399" customFormat="1" ht="12.75">
      <c r="A457" s="379" t="s">
        <v>4861</v>
      </c>
      <c r="B457" s="425"/>
      <c r="C457" s="426" t="s">
        <v>4837</v>
      </c>
      <c r="D457" s="425">
        <v>1</v>
      </c>
      <c r="E457" s="425" t="s">
        <v>23</v>
      </c>
      <c r="F457" s="428">
        <v>92000000</v>
      </c>
      <c r="G457" s="428">
        <f>ROUNDDOWN(D457*F457,-3)</f>
        <v>92000000</v>
      </c>
    </row>
    <row r="458" spans="1:7" s="399" customFormat="1" ht="12.75">
      <c r="A458" s="379" t="s">
        <v>495</v>
      </c>
      <c r="B458" s="403">
        <v>4345</v>
      </c>
      <c r="C458" s="404" t="s">
        <v>188</v>
      </c>
      <c r="D458" s="403"/>
      <c r="E458" s="403"/>
      <c r="F458" s="406"/>
      <c r="G458" s="406">
        <f t="shared" ref="G458:G459" si="179">G459</f>
        <v>8582500000</v>
      </c>
    </row>
    <row r="459" spans="1:7" s="399" customFormat="1" ht="12.75">
      <c r="A459" s="379" t="s">
        <v>3452</v>
      </c>
      <c r="B459" s="407" t="s">
        <v>3453</v>
      </c>
      <c r="C459" s="408" t="s">
        <v>2291</v>
      </c>
      <c r="D459" s="407">
        <v>235</v>
      </c>
      <c r="E459" s="407" t="s">
        <v>155</v>
      </c>
      <c r="F459" s="410"/>
      <c r="G459" s="410">
        <f t="shared" si="179"/>
        <v>8582500000</v>
      </c>
    </row>
    <row r="460" spans="1:7" s="399" customFormat="1" ht="12.75">
      <c r="A460" s="379" t="s">
        <v>3454</v>
      </c>
      <c r="B460" s="411" t="s">
        <v>3698</v>
      </c>
      <c r="C460" s="412" t="s">
        <v>3456</v>
      </c>
      <c r="D460" s="411">
        <v>235</v>
      </c>
      <c r="E460" s="411" t="s">
        <v>155</v>
      </c>
      <c r="F460" s="413"/>
      <c r="G460" s="413">
        <f>SUM(G461,G506)</f>
        <v>8582500000</v>
      </c>
    </row>
    <row r="461" spans="1:7" s="399" customFormat="1" ht="12.75">
      <c r="A461" s="379" t="s">
        <v>3457</v>
      </c>
      <c r="B461" s="414">
        <v>301</v>
      </c>
      <c r="C461" s="415" t="s">
        <v>189</v>
      </c>
      <c r="D461" s="414"/>
      <c r="E461" s="414"/>
      <c r="F461" s="417"/>
      <c r="G461" s="417">
        <f>SUM(G462,G481,G497)</f>
        <v>8473300000</v>
      </c>
    </row>
    <row r="462" spans="1:7" s="399" customFormat="1" ht="12.75">
      <c r="A462" s="379" t="s">
        <v>3458</v>
      </c>
      <c r="B462" s="418" t="s">
        <v>8</v>
      </c>
      <c r="C462" s="419" t="s">
        <v>190</v>
      </c>
      <c r="D462" s="418"/>
      <c r="E462" s="418"/>
      <c r="F462" s="420"/>
      <c r="G462" s="420">
        <f t="shared" ref="G462" si="180">SUM(G463,G468,G471,G474,G476,G478)</f>
        <v>1713564000</v>
      </c>
    </row>
    <row r="463" spans="1:7" s="399" customFormat="1" ht="12.75">
      <c r="A463" s="379" t="s">
        <v>3459</v>
      </c>
      <c r="B463" s="421">
        <v>521211</v>
      </c>
      <c r="C463" s="422" t="s">
        <v>7</v>
      </c>
      <c r="D463" s="421"/>
      <c r="E463" s="421"/>
      <c r="F463" s="424"/>
      <c r="G463" s="424">
        <f t="shared" ref="G463" si="181">SUM(G464:G467)</f>
        <v>99100000</v>
      </c>
    </row>
    <row r="464" spans="1:7" s="399" customFormat="1" ht="12.75">
      <c r="A464" s="379" t="s">
        <v>3460</v>
      </c>
      <c r="B464" s="425"/>
      <c r="C464" s="426" t="s">
        <v>3699</v>
      </c>
      <c r="D464" s="425">
        <v>400</v>
      </c>
      <c r="E464" s="425" t="s">
        <v>10</v>
      </c>
      <c r="F464" s="428">
        <v>70000</v>
      </c>
      <c r="G464" s="428">
        <f t="shared" ref="G464:G467" si="182">ROUNDDOWN(D464*F464,-3)</f>
        <v>28000000</v>
      </c>
    </row>
    <row r="465" spans="1:7" s="399" customFormat="1" ht="12.75">
      <c r="A465" s="379" t="s">
        <v>3461</v>
      </c>
      <c r="B465" s="425"/>
      <c r="C465" s="426" t="s">
        <v>3700</v>
      </c>
      <c r="D465" s="425">
        <v>10</v>
      </c>
      <c r="E465" s="425" t="s">
        <v>9</v>
      </c>
      <c r="F465" s="428">
        <v>1500000</v>
      </c>
      <c r="G465" s="428">
        <f t="shared" si="182"/>
        <v>15000000</v>
      </c>
    </row>
    <row r="466" spans="1:7" s="399" customFormat="1" ht="12.75">
      <c r="A466" s="379" t="s">
        <v>3463</v>
      </c>
      <c r="B466" s="425"/>
      <c r="C466" s="426" t="s">
        <v>3701</v>
      </c>
      <c r="D466" s="425">
        <v>120</v>
      </c>
      <c r="E466" s="425" t="s">
        <v>25</v>
      </c>
      <c r="F466" s="428">
        <v>280000</v>
      </c>
      <c r="G466" s="428">
        <f t="shared" si="182"/>
        <v>33600000</v>
      </c>
    </row>
    <row r="467" spans="1:7" s="399" customFormat="1" ht="12.75">
      <c r="A467" s="379" t="s">
        <v>3465</v>
      </c>
      <c r="B467" s="425"/>
      <c r="C467" s="426" t="s">
        <v>3702</v>
      </c>
      <c r="D467" s="425">
        <v>150</v>
      </c>
      <c r="E467" s="425" t="s">
        <v>25</v>
      </c>
      <c r="F467" s="428">
        <v>150000</v>
      </c>
      <c r="G467" s="428">
        <f t="shared" si="182"/>
        <v>22500000</v>
      </c>
    </row>
    <row r="468" spans="1:7" s="399" customFormat="1" ht="12.75">
      <c r="A468" s="379" t="s">
        <v>3467</v>
      </c>
      <c r="B468" s="421">
        <v>521219</v>
      </c>
      <c r="C468" s="422" t="s">
        <v>53</v>
      </c>
      <c r="D468" s="421"/>
      <c r="E468" s="421"/>
      <c r="F468" s="424"/>
      <c r="G468" s="424">
        <f t="shared" ref="G468" si="183">SUM(G469:G470)</f>
        <v>1333864000</v>
      </c>
    </row>
    <row r="469" spans="1:7" s="399" customFormat="1" ht="12.75">
      <c r="A469" s="379" t="s">
        <v>3468</v>
      </c>
      <c r="B469" s="425"/>
      <c r="C469" s="426" t="s">
        <v>3703</v>
      </c>
      <c r="D469" s="425">
        <v>50</v>
      </c>
      <c r="E469" s="425" t="s">
        <v>4862</v>
      </c>
      <c r="F469" s="428">
        <v>26672280</v>
      </c>
      <c r="G469" s="428">
        <f t="shared" ref="G469:G470" si="184">ROUNDDOWN(D469*F469,-3)</f>
        <v>1333614000</v>
      </c>
    </row>
    <row r="470" spans="1:7" s="399" customFormat="1" ht="12.75">
      <c r="A470" s="379" t="s">
        <v>3470</v>
      </c>
      <c r="B470" s="425"/>
      <c r="C470" s="426" t="s">
        <v>3704</v>
      </c>
      <c r="D470" s="425">
        <v>1</v>
      </c>
      <c r="E470" s="425" t="s">
        <v>23</v>
      </c>
      <c r="F470" s="428">
        <v>250000</v>
      </c>
      <c r="G470" s="428">
        <f t="shared" si="184"/>
        <v>250000</v>
      </c>
    </row>
    <row r="471" spans="1:7" s="399" customFormat="1" ht="12.75">
      <c r="A471" s="379" t="s">
        <v>3471</v>
      </c>
      <c r="B471" s="421">
        <v>521811</v>
      </c>
      <c r="C471" s="422" t="s">
        <v>64</v>
      </c>
      <c r="D471" s="421"/>
      <c r="E471" s="421"/>
      <c r="F471" s="424"/>
      <c r="G471" s="424">
        <f t="shared" ref="G471" si="185">SUM(G472:G473)</f>
        <v>25000000</v>
      </c>
    </row>
    <row r="472" spans="1:7" s="399" customFormat="1" ht="12.75">
      <c r="A472" s="379" t="s">
        <v>3472</v>
      </c>
      <c r="B472" s="425"/>
      <c r="C472" s="426" t="s">
        <v>3680</v>
      </c>
      <c r="D472" s="425">
        <v>10</v>
      </c>
      <c r="E472" s="425" t="s">
        <v>9</v>
      </c>
      <c r="F472" s="428">
        <v>1000000</v>
      </c>
      <c r="G472" s="428">
        <f t="shared" ref="G472:G473" si="186">ROUNDDOWN(D472*F472,-3)</f>
        <v>10000000</v>
      </c>
    </row>
    <row r="473" spans="1:7" s="399" customFormat="1" ht="12.75">
      <c r="A473" s="379" t="s">
        <v>3473</v>
      </c>
      <c r="B473" s="425"/>
      <c r="C473" s="426" t="s">
        <v>3538</v>
      </c>
      <c r="D473" s="425">
        <v>10</v>
      </c>
      <c r="E473" s="425" t="s">
        <v>9</v>
      </c>
      <c r="F473" s="428">
        <v>1500000</v>
      </c>
      <c r="G473" s="428">
        <f t="shared" si="186"/>
        <v>15000000</v>
      </c>
    </row>
    <row r="474" spans="1:7" s="399" customFormat="1" ht="12.75">
      <c r="A474" s="379" t="s">
        <v>3474</v>
      </c>
      <c r="B474" s="421">
        <v>522151</v>
      </c>
      <c r="C474" s="422" t="s">
        <v>11</v>
      </c>
      <c r="D474" s="421"/>
      <c r="E474" s="421"/>
      <c r="F474" s="424"/>
      <c r="G474" s="424">
        <f t="shared" ref="G474" si="187">G475</f>
        <v>15000000</v>
      </c>
    </row>
    <row r="475" spans="1:7" s="399" customFormat="1" ht="12.75">
      <c r="A475" s="379" t="s">
        <v>3475</v>
      </c>
      <c r="B475" s="425"/>
      <c r="C475" s="426" t="s">
        <v>3543</v>
      </c>
      <c r="D475" s="425">
        <v>15</v>
      </c>
      <c r="E475" s="425" t="s">
        <v>54</v>
      </c>
      <c r="F475" s="428">
        <v>1000000</v>
      </c>
      <c r="G475" s="428">
        <f>ROUNDDOWN(D475*F475,-3)</f>
        <v>15000000</v>
      </c>
    </row>
    <row r="476" spans="1:7" s="399" customFormat="1" ht="12.75">
      <c r="A476" s="379" t="s">
        <v>3476</v>
      </c>
      <c r="B476" s="421">
        <v>522191</v>
      </c>
      <c r="C476" s="422" t="s">
        <v>22</v>
      </c>
      <c r="D476" s="421"/>
      <c r="E476" s="421"/>
      <c r="F476" s="424"/>
      <c r="G476" s="424">
        <f t="shared" ref="G476" si="188">G477</f>
        <v>102600000</v>
      </c>
    </row>
    <row r="477" spans="1:7" s="399" customFormat="1" ht="12.75">
      <c r="A477" s="379" t="s">
        <v>3477</v>
      </c>
      <c r="B477" s="425"/>
      <c r="C477" s="426" t="s">
        <v>3705</v>
      </c>
      <c r="D477" s="425">
        <v>120</v>
      </c>
      <c r="E477" s="425" t="s">
        <v>155</v>
      </c>
      <c r="F477" s="428">
        <v>855000</v>
      </c>
      <c r="G477" s="428">
        <f>ROUNDDOWN(D477*F477,-3)</f>
        <v>102600000</v>
      </c>
    </row>
    <row r="478" spans="1:7" s="399" customFormat="1" ht="12.75">
      <c r="A478" s="379" t="s">
        <v>3479</v>
      </c>
      <c r="B478" s="421">
        <v>524111</v>
      </c>
      <c r="C478" s="422" t="s">
        <v>19</v>
      </c>
      <c r="D478" s="421"/>
      <c r="E478" s="421"/>
      <c r="F478" s="424"/>
      <c r="G478" s="424">
        <f t="shared" ref="G478" si="189">SUM(G479:G480)</f>
        <v>138000000</v>
      </c>
    </row>
    <row r="479" spans="1:7" s="399" customFormat="1" ht="25.5">
      <c r="A479" s="379" t="s">
        <v>3480</v>
      </c>
      <c r="B479" s="425"/>
      <c r="C479" s="426" t="s">
        <v>4863</v>
      </c>
      <c r="D479" s="425">
        <v>12</v>
      </c>
      <c r="E479" s="425" t="s">
        <v>10</v>
      </c>
      <c r="F479" s="428">
        <v>6500000</v>
      </c>
      <c r="G479" s="428">
        <f t="shared" ref="G479:G480" si="190">ROUNDDOWN(D479*F479,-3)</f>
        <v>78000000</v>
      </c>
    </row>
    <row r="480" spans="1:7" s="399" customFormat="1" ht="12.75">
      <c r="A480" s="379" t="s">
        <v>3482</v>
      </c>
      <c r="B480" s="425"/>
      <c r="C480" s="426" t="s">
        <v>4864</v>
      </c>
      <c r="D480" s="425">
        <v>50</v>
      </c>
      <c r="E480" s="425" t="s">
        <v>10</v>
      </c>
      <c r="F480" s="428">
        <v>1200000</v>
      </c>
      <c r="G480" s="428">
        <f t="shared" si="190"/>
        <v>60000000</v>
      </c>
    </row>
    <row r="481" spans="1:7" s="399" customFormat="1" ht="12.75">
      <c r="A481" s="379" t="s">
        <v>3484</v>
      </c>
      <c r="B481" s="418" t="s">
        <v>508</v>
      </c>
      <c r="C481" s="419" t="s">
        <v>191</v>
      </c>
      <c r="D481" s="418"/>
      <c r="E481" s="418"/>
      <c r="F481" s="420"/>
      <c r="G481" s="420">
        <f t="shared" ref="G481" si="191">SUM(G482,G485,G489,G492,G494)</f>
        <v>6585695000</v>
      </c>
    </row>
    <row r="482" spans="1:7" s="399" customFormat="1" ht="12.75">
      <c r="A482" s="379" t="s">
        <v>3485</v>
      </c>
      <c r="B482" s="421">
        <v>521211</v>
      </c>
      <c r="C482" s="422" t="s">
        <v>7</v>
      </c>
      <c r="D482" s="421"/>
      <c r="E482" s="421"/>
      <c r="F482" s="424"/>
      <c r="G482" s="424">
        <f t="shared" ref="G482" si="192">SUM(G483:G484)</f>
        <v>25000000</v>
      </c>
    </row>
    <row r="483" spans="1:7" s="399" customFormat="1" ht="12.75">
      <c r="A483" s="379" t="s">
        <v>3486</v>
      </c>
      <c r="B483" s="425"/>
      <c r="C483" s="426" t="s">
        <v>3699</v>
      </c>
      <c r="D483" s="425">
        <v>100</v>
      </c>
      <c r="E483" s="425" t="s">
        <v>10</v>
      </c>
      <c r="F483" s="428">
        <v>70000</v>
      </c>
      <c r="G483" s="428">
        <f t="shared" ref="G483:G484" si="193">ROUNDDOWN(D483*F483,-3)</f>
        <v>7000000</v>
      </c>
    </row>
    <row r="484" spans="1:7" s="399" customFormat="1" ht="12.75">
      <c r="A484" s="379" t="s">
        <v>3487</v>
      </c>
      <c r="B484" s="425"/>
      <c r="C484" s="426" t="s">
        <v>3700</v>
      </c>
      <c r="D484" s="425">
        <v>12</v>
      </c>
      <c r="E484" s="425" t="s">
        <v>9</v>
      </c>
      <c r="F484" s="428">
        <v>1500000</v>
      </c>
      <c r="G484" s="428">
        <f t="shared" si="193"/>
        <v>18000000</v>
      </c>
    </row>
    <row r="485" spans="1:7" s="399" customFormat="1" ht="12.75">
      <c r="A485" s="379" t="s">
        <v>3488</v>
      </c>
      <c r="B485" s="421">
        <v>521219</v>
      </c>
      <c r="C485" s="422" t="s">
        <v>53</v>
      </c>
      <c r="D485" s="421"/>
      <c r="E485" s="421"/>
      <c r="F485" s="424"/>
      <c r="G485" s="424">
        <f t="shared" ref="G485" si="194">SUM(G486:G488)</f>
        <v>6308695000</v>
      </c>
    </row>
    <row r="486" spans="1:7" s="399" customFormat="1" ht="12.75">
      <c r="A486" s="379" t="s">
        <v>3489</v>
      </c>
      <c r="B486" s="425"/>
      <c r="C486" s="426" t="s">
        <v>3703</v>
      </c>
      <c r="D486" s="425">
        <v>140</v>
      </c>
      <c r="E486" s="425" t="s">
        <v>155</v>
      </c>
      <c r="F486" s="428">
        <v>45003179</v>
      </c>
      <c r="G486" s="428">
        <f t="shared" ref="G486:G488" si="195">ROUNDDOWN(D486*F486,-3)</f>
        <v>6300445000</v>
      </c>
    </row>
    <row r="487" spans="1:7" s="399" customFormat="1" ht="12.75">
      <c r="A487" s="379" t="s">
        <v>3490</v>
      </c>
      <c r="B487" s="425"/>
      <c r="C487" s="426" t="s">
        <v>3704</v>
      </c>
      <c r="D487" s="425">
        <v>3</v>
      </c>
      <c r="E487" s="425" t="s">
        <v>4865</v>
      </c>
      <c r="F487" s="428">
        <v>250000</v>
      </c>
      <c r="G487" s="428">
        <f t="shared" si="195"/>
        <v>750000</v>
      </c>
    </row>
    <row r="488" spans="1:7" s="399" customFormat="1" ht="12.75">
      <c r="A488" s="379" t="s">
        <v>3491</v>
      </c>
      <c r="B488" s="425"/>
      <c r="C488" s="426" t="s">
        <v>3706</v>
      </c>
      <c r="D488" s="425">
        <v>15</v>
      </c>
      <c r="E488" s="425" t="s">
        <v>23</v>
      </c>
      <c r="F488" s="428">
        <v>500000</v>
      </c>
      <c r="G488" s="428">
        <f t="shared" si="195"/>
        <v>7500000</v>
      </c>
    </row>
    <row r="489" spans="1:7" s="399" customFormat="1" ht="12.75">
      <c r="A489" s="379" t="s">
        <v>3493</v>
      </c>
      <c r="B489" s="421">
        <v>521811</v>
      </c>
      <c r="C489" s="422" t="s">
        <v>64</v>
      </c>
      <c r="D489" s="421"/>
      <c r="E489" s="421"/>
      <c r="F489" s="424"/>
      <c r="G489" s="424">
        <f t="shared" ref="G489" si="196">SUM(G490:G491)</f>
        <v>30000000</v>
      </c>
    </row>
    <row r="490" spans="1:7" s="399" customFormat="1" ht="12.75">
      <c r="A490" s="379" t="s">
        <v>3494</v>
      </c>
      <c r="B490" s="425"/>
      <c r="C490" s="426" t="s">
        <v>3680</v>
      </c>
      <c r="D490" s="425">
        <v>12</v>
      </c>
      <c r="E490" s="425" t="s">
        <v>9</v>
      </c>
      <c r="F490" s="428">
        <v>1000000</v>
      </c>
      <c r="G490" s="428">
        <f t="shared" ref="G490:G491" si="197">ROUNDDOWN(D490*F490,-3)</f>
        <v>12000000</v>
      </c>
    </row>
    <row r="491" spans="1:7" s="399" customFormat="1" ht="12.75">
      <c r="A491" s="379" t="s">
        <v>3495</v>
      </c>
      <c r="B491" s="425"/>
      <c r="C491" s="426" t="s">
        <v>3538</v>
      </c>
      <c r="D491" s="425">
        <v>12</v>
      </c>
      <c r="E491" s="425" t="s">
        <v>9</v>
      </c>
      <c r="F491" s="428">
        <v>1500000</v>
      </c>
      <c r="G491" s="428">
        <f t="shared" si="197"/>
        <v>18000000</v>
      </c>
    </row>
    <row r="492" spans="1:7" s="399" customFormat="1" ht="12.75">
      <c r="A492" s="379" t="s">
        <v>3496</v>
      </c>
      <c r="B492" s="421">
        <v>522151</v>
      </c>
      <c r="C492" s="422" t="s">
        <v>11</v>
      </c>
      <c r="D492" s="421"/>
      <c r="E492" s="421"/>
      <c r="F492" s="424"/>
      <c r="G492" s="424">
        <f t="shared" ref="G492" si="198">G493</f>
        <v>6000000</v>
      </c>
    </row>
    <row r="493" spans="1:7" s="399" customFormat="1" ht="12.75">
      <c r="A493" s="379" t="s">
        <v>3497</v>
      </c>
      <c r="B493" s="425"/>
      <c r="C493" s="426" t="s">
        <v>3543</v>
      </c>
      <c r="D493" s="425">
        <v>6</v>
      </c>
      <c r="E493" s="425" t="s">
        <v>54</v>
      </c>
      <c r="F493" s="428">
        <v>1000000</v>
      </c>
      <c r="G493" s="428">
        <f>ROUNDDOWN(D493*F493,-3)</f>
        <v>6000000</v>
      </c>
    </row>
    <row r="494" spans="1:7" s="399" customFormat="1" ht="12.75">
      <c r="A494" s="379" t="s">
        <v>3498</v>
      </c>
      <c r="B494" s="421">
        <v>524111</v>
      </c>
      <c r="C494" s="422" t="s">
        <v>19</v>
      </c>
      <c r="D494" s="421"/>
      <c r="E494" s="421"/>
      <c r="F494" s="424"/>
      <c r="G494" s="424">
        <f t="shared" ref="G494" si="199">SUM(G495:G496)</f>
        <v>216000000</v>
      </c>
    </row>
    <row r="495" spans="1:7" s="399" customFormat="1" ht="25.5">
      <c r="A495" s="379" t="s">
        <v>3499</v>
      </c>
      <c r="B495" s="425"/>
      <c r="C495" s="426" t="s">
        <v>4863</v>
      </c>
      <c r="D495" s="425">
        <v>24</v>
      </c>
      <c r="E495" s="425" t="s">
        <v>10</v>
      </c>
      <c r="F495" s="428">
        <v>6500000</v>
      </c>
      <c r="G495" s="428">
        <f t="shared" ref="G495:G496" si="200">ROUNDDOWN(D495*F495,-3)</f>
        <v>156000000</v>
      </c>
    </row>
    <row r="496" spans="1:7" s="399" customFormat="1" ht="12.75">
      <c r="A496" s="379" t="s">
        <v>3500</v>
      </c>
      <c r="B496" s="425"/>
      <c r="C496" s="426" t="s">
        <v>4864</v>
      </c>
      <c r="D496" s="425">
        <v>12</v>
      </c>
      <c r="E496" s="425" t="s">
        <v>10</v>
      </c>
      <c r="F496" s="428">
        <v>5000000</v>
      </c>
      <c r="G496" s="428">
        <f t="shared" si="200"/>
        <v>60000000</v>
      </c>
    </row>
    <row r="497" spans="1:7" s="399" customFormat="1" ht="12.75">
      <c r="A497" s="379" t="s">
        <v>3501</v>
      </c>
      <c r="B497" s="418" t="s">
        <v>509</v>
      </c>
      <c r="C497" s="419" t="s">
        <v>192</v>
      </c>
      <c r="D497" s="418"/>
      <c r="E497" s="418"/>
      <c r="F497" s="420"/>
      <c r="G497" s="420">
        <f t="shared" ref="G497" si="201">SUM(G498,G502,G504)</f>
        <v>174041000</v>
      </c>
    </row>
    <row r="498" spans="1:7" s="399" customFormat="1" ht="12.75">
      <c r="A498" s="379" t="s">
        <v>3502</v>
      </c>
      <c r="B498" s="421">
        <v>521211</v>
      </c>
      <c r="C498" s="422" t="s">
        <v>7</v>
      </c>
      <c r="D498" s="421"/>
      <c r="E498" s="421"/>
      <c r="F498" s="424"/>
      <c r="G498" s="424">
        <f t="shared" ref="G498" si="202">SUM(G499:G501)</f>
        <v>12000000</v>
      </c>
    </row>
    <row r="499" spans="1:7" s="399" customFormat="1" ht="12.75">
      <c r="A499" s="379" t="s">
        <v>3503</v>
      </c>
      <c r="B499" s="425"/>
      <c r="C499" s="426" t="s">
        <v>3707</v>
      </c>
      <c r="D499" s="425">
        <v>3</v>
      </c>
      <c r="E499" s="425" t="s">
        <v>23</v>
      </c>
      <c r="F499" s="428">
        <v>1500000</v>
      </c>
      <c r="G499" s="428">
        <f t="shared" ref="G499:G501" si="203">ROUNDDOWN(D499*F499,-3)</f>
        <v>4500000</v>
      </c>
    </row>
    <row r="500" spans="1:7" s="399" customFormat="1" ht="12.75">
      <c r="A500" s="379" t="s">
        <v>3504</v>
      </c>
      <c r="B500" s="425"/>
      <c r="C500" s="426" t="s">
        <v>3536</v>
      </c>
      <c r="D500" s="425">
        <v>3</v>
      </c>
      <c r="E500" s="425" t="s">
        <v>23</v>
      </c>
      <c r="F500" s="428">
        <v>1000000</v>
      </c>
      <c r="G500" s="428">
        <f t="shared" si="203"/>
        <v>3000000</v>
      </c>
    </row>
    <row r="501" spans="1:7" s="399" customFormat="1" ht="12.75">
      <c r="A501" s="379" t="s">
        <v>3505</v>
      </c>
      <c r="B501" s="425"/>
      <c r="C501" s="426" t="s">
        <v>3530</v>
      </c>
      <c r="D501" s="425">
        <v>3</v>
      </c>
      <c r="E501" s="425" t="s">
        <v>23</v>
      </c>
      <c r="F501" s="428">
        <v>1500000</v>
      </c>
      <c r="G501" s="428">
        <f t="shared" si="203"/>
        <v>4500000</v>
      </c>
    </row>
    <row r="502" spans="1:7" s="399" customFormat="1" ht="12.75">
      <c r="A502" s="379" t="s">
        <v>3506</v>
      </c>
      <c r="B502" s="421">
        <v>521219</v>
      </c>
      <c r="C502" s="422" t="s">
        <v>53</v>
      </c>
      <c r="D502" s="421"/>
      <c r="E502" s="421"/>
      <c r="F502" s="424"/>
      <c r="G502" s="424">
        <f t="shared" ref="G502" si="204">G503</f>
        <v>20000000</v>
      </c>
    </row>
    <row r="503" spans="1:7" s="399" customFormat="1" ht="25.5">
      <c r="A503" s="379" t="s">
        <v>3507</v>
      </c>
      <c r="B503" s="425"/>
      <c r="C503" s="426" t="s">
        <v>3708</v>
      </c>
      <c r="D503" s="425">
        <v>2</v>
      </c>
      <c r="E503" s="425" t="s">
        <v>25</v>
      </c>
      <c r="F503" s="428">
        <v>10000000</v>
      </c>
      <c r="G503" s="428">
        <f>ROUNDDOWN(D503*F503,-3)</f>
        <v>20000000</v>
      </c>
    </row>
    <row r="504" spans="1:7" s="399" customFormat="1" ht="12.75">
      <c r="A504" s="379" t="s">
        <v>3509</v>
      </c>
      <c r="B504" s="421">
        <v>524211</v>
      </c>
      <c r="C504" s="422" t="s">
        <v>1130</v>
      </c>
      <c r="D504" s="421"/>
      <c r="E504" s="421"/>
      <c r="F504" s="424"/>
      <c r="G504" s="424">
        <f t="shared" ref="G504" si="205">G505</f>
        <v>142041000</v>
      </c>
    </row>
    <row r="505" spans="1:7" s="399" customFormat="1" ht="25.5">
      <c r="A505" s="379" t="s">
        <v>3510</v>
      </c>
      <c r="B505" s="425"/>
      <c r="C505" s="426" t="s">
        <v>3709</v>
      </c>
      <c r="D505" s="425">
        <v>3</v>
      </c>
      <c r="E505" s="425" t="s">
        <v>25</v>
      </c>
      <c r="F505" s="428">
        <v>47347000</v>
      </c>
      <c r="G505" s="428">
        <f>ROUNDDOWN(D505*F505,-3)</f>
        <v>142041000</v>
      </c>
    </row>
    <row r="506" spans="1:7" s="399" customFormat="1" ht="12.75">
      <c r="A506" s="379" t="s">
        <v>3517</v>
      </c>
      <c r="B506" s="414">
        <v>302</v>
      </c>
      <c r="C506" s="415" t="s">
        <v>193</v>
      </c>
      <c r="D506" s="414"/>
      <c r="E506" s="414"/>
      <c r="F506" s="417"/>
      <c r="G506" s="417">
        <f t="shared" ref="G506" si="206">G507</f>
        <v>109200000</v>
      </c>
    </row>
    <row r="507" spans="1:7" s="399" customFormat="1" ht="12.75">
      <c r="A507" s="379" t="s">
        <v>3518</v>
      </c>
      <c r="B507" s="418" t="s">
        <v>8</v>
      </c>
      <c r="C507" s="419" t="s">
        <v>193</v>
      </c>
      <c r="D507" s="418"/>
      <c r="E507" s="418"/>
      <c r="F507" s="420"/>
      <c r="G507" s="420">
        <f t="shared" ref="G507" si="207">SUM(G508,G511,G514)</f>
        <v>109200000</v>
      </c>
    </row>
    <row r="508" spans="1:7" s="399" customFormat="1" ht="12.75">
      <c r="A508" s="379" t="s">
        <v>3519</v>
      </c>
      <c r="B508" s="421">
        <v>521211</v>
      </c>
      <c r="C508" s="422" t="s">
        <v>7</v>
      </c>
      <c r="D508" s="421"/>
      <c r="E508" s="421"/>
      <c r="F508" s="424"/>
      <c r="G508" s="424">
        <f t="shared" ref="G508" si="208">SUM(G509:G510)</f>
        <v>25000000</v>
      </c>
    </row>
    <row r="509" spans="1:7" s="399" customFormat="1" ht="12.75">
      <c r="A509" s="379" t="s">
        <v>3520</v>
      </c>
      <c r="B509" s="425"/>
      <c r="C509" s="426" t="s">
        <v>3707</v>
      </c>
      <c r="D509" s="425">
        <v>12</v>
      </c>
      <c r="E509" s="425" t="s">
        <v>9</v>
      </c>
      <c r="F509" s="428">
        <v>1500000</v>
      </c>
      <c r="G509" s="428">
        <f t="shared" ref="G509:G510" si="209">ROUNDDOWN(D509*F509,-3)</f>
        <v>18000000</v>
      </c>
    </row>
    <row r="510" spans="1:7" s="399" customFormat="1" ht="12.75">
      <c r="A510" s="379" t="s">
        <v>3521</v>
      </c>
      <c r="B510" s="425"/>
      <c r="C510" s="426" t="s">
        <v>3683</v>
      </c>
      <c r="D510" s="425">
        <v>100</v>
      </c>
      <c r="E510" s="425" t="s">
        <v>25</v>
      </c>
      <c r="F510" s="428">
        <v>70000</v>
      </c>
      <c r="G510" s="428">
        <f t="shared" si="209"/>
        <v>7000000</v>
      </c>
    </row>
    <row r="511" spans="1:7" s="399" customFormat="1" ht="12.75">
      <c r="A511" s="379" t="s">
        <v>3522</v>
      </c>
      <c r="B511" s="421">
        <v>521811</v>
      </c>
      <c r="C511" s="422" t="s">
        <v>64</v>
      </c>
      <c r="D511" s="421"/>
      <c r="E511" s="421"/>
      <c r="F511" s="424"/>
      <c r="G511" s="424">
        <f t="shared" ref="G511" si="210">SUM(G512:G513)</f>
        <v>30000000</v>
      </c>
    </row>
    <row r="512" spans="1:7" s="399" customFormat="1" ht="12.75">
      <c r="A512" s="379" t="s">
        <v>3523</v>
      </c>
      <c r="B512" s="425"/>
      <c r="C512" s="426" t="s">
        <v>3680</v>
      </c>
      <c r="D512" s="425">
        <v>12</v>
      </c>
      <c r="E512" s="425" t="s">
        <v>9</v>
      </c>
      <c r="F512" s="428">
        <v>1000000</v>
      </c>
      <c r="G512" s="428">
        <f t="shared" ref="G512:G513" si="211">ROUNDDOWN(D512*F512,-3)</f>
        <v>12000000</v>
      </c>
    </row>
    <row r="513" spans="1:7" s="399" customFormat="1" ht="12.75">
      <c r="A513" s="379" t="s">
        <v>3524</v>
      </c>
      <c r="B513" s="425"/>
      <c r="C513" s="426" t="s">
        <v>3538</v>
      </c>
      <c r="D513" s="425">
        <v>12</v>
      </c>
      <c r="E513" s="425" t="s">
        <v>9</v>
      </c>
      <c r="F513" s="428">
        <v>1500000</v>
      </c>
      <c r="G513" s="428">
        <f t="shared" si="211"/>
        <v>18000000</v>
      </c>
    </row>
    <row r="514" spans="1:7" s="399" customFormat="1" ht="12.75">
      <c r="A514" s="379" t="s">
        <v>3525</v>
      </c>
      <c r="B514" s="421">
        <v>524111</v>
      </c>
      <c r="C514" s="422" t="s">
        <v>19</v>
      </c>
      <c r="D514" s="421"/>
      <c r="E514" s="421"/>
      <c r="F514" s="424"/>
      <c r="G514" s="424">
        <f t="shared" ref="G514" si="212">G515</f>
        <v>54200000</v>
      </c>
    </row>
    <row r="515" spans="1:7" s="399" customFormat="1" ht="25.5">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75">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0"/>
  <sheetViews>
    <sheetView zoomScale="55" zoomScaleNormal="55" workbookViewId="0">
      <pane ySplit="13" topLeftCell="A14" activePane="bottomLeft" state="frozen"/>
      <selection pane="bottomLeft" activeCell="N232" sqref="N232"/>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6"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8" customFormat="1" ht="30" customHeight="1">
      <c r="B1" s="209"/>
      <c r="C1" s="209"/>
      <c r="F1" s="469"/>
      <c r="G1" s="470"/>
      <c r="H1" s="470"/>
      <c r="L1" s="470"/>
      <c r="M1" s="470"/>
      <c r="N1" s="468" t="s">
        <v>3723</v>
      </c>
      <c r="O1" s="471">
        <f>SUMIF(Table1[Status Realisasi],N1,Table1[Nilai SP2D])</f>
        <v>675810352</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509120000</v>
      </c>
      <c r="P5" s="468">
        <v>5</v>
      </c>
      <c r="Q5" s="471">
        <f>SUMIF(Table1[Urut],P5,Table1[Nilai SP2D])</f>
        <v>1741539257</v>
      </c>
    </row>
    <row r="6" spans="2:20" s="468" customFormat="1" ht="30" customHeight="1">
      <c r="B6" s="209"/>
      <c r="C6" s="209"/>
      <c r="E6" s="472"/>
      <c r="F6" s="469"/>
      <c r="G6" s="470"/>
      <c r="H6" s="470"/>
      <c r="K6" s="470"/>
      <c r="L6" s="473">
        <f>SUM(O10:O12)</f>
        <v>12445651673</v>
      </c>
      <c r="M6" s="470"/>
      <c r="N6" s="468" t="s">
        <v>4406</v>
      </c>
      <c r="O6" s="471">
        <f>SUMIF(Table1[Status Realisasi],N6,Table1[Nilai SP2D])</f>
        <v>4823760092</v>
      </c>
      <c r="P6" s="468">
        <v>6</v>
      </c>
      <c r="Q6" s="471">
        <f>SUMIF(Table1[Urut],P6,Table1[Nilai SP2D])</f>
        <v>3057804382</v>
      </c>
      <c r="T6" s="468" t="s">
        <v>4470</v>
      </c>
    </row>
    <row r="7" spans="2:20" s="468" customFormat="1" ht="30" customHeight="1">
      <c r="B7" s="209"/>
      <c r="C7" s="209"/>
      <c r="E7" s="472"/>
      <c r="F7" s="469"/>
      <c r="G7" s="470"/>
      <c r="H7" s="470"/>
      <c r="K7" s="470"/>
      <c r="L7" s="473">
        <f>O11+O12</f>
        <v>8203483476</v>
      </c>
      <c r="M7" s="470"/>
      <c r="N7" s="468" t="s">
        <v>4407</v>
      </c>
      <c r="O7" s="471">
        <f>SUMIF(Table1[Status Realisasi],N7,Table1[Nilai SP2D])</f>
        <v>4242168197</v>
      </c>
      <c r="P7" s="468">
        <v>7</v>
      </c>
      <c r="Q7" s="471">
        <f>SUMIF(Table1[Urut],P7,Table1[Nilai SP2D])</f>
        <v>2322323349</v>
      </c>
    </row>
    <row r="8" spans="2:20" s="468" customFormat="1" ht="30" customHeight="1">
      <c r="B8" s="209"/>
      <c r="C8" s="209"/>
      <c r="E8" s="472"/>
      <c r="F8" s="469"/>
      <c r="G8" s="470"/>
      <c r="H8" s="470"/>
      <c r="K8" s="470"/>
      <c r="L8" s="486">
        <f>O1+O2+O3+O4+O5+O6+O8</f>
        <v>8203483476</v>
      </c>
      <c r="M8" s="470"/>
      <c r="N8" s="468" t="s">
        <v>4409</v>
      </c>
      <c r="O8" s="471">
        <f>SUMIF(Table1[Status Realisasi],N8,Table1[Nilai SP2D])</f>
        <v>654200000</v>
      </c>
      <c r="P8" s="468">
        <v>8</v>
      </c>
      <c r="Q8" s="471">
        <f>SUMIF(Table1[Urut],P8,Table1[Nilai SP2D])</f>
        <v>699973988</v>
      </c>
    </row>
    <row r="9" spans="2:20" s="468" customFormat="1" ht="30" customHeight="1">
      <c r="B9" s="209"/>
      <c r="C9" s="209"/>
      <c r="E9" s="472"/>
      <c r="F9" s="469"/>
      <c r="G9" s="470"/>
      <c r="H9" s="470"/>
      <c r="K9" s="470"/>
      <c r="L9" s="474"/>
      <c r="M9" s="470"/>
      <c r="P9" s="468">
        <v>9</v>
      </c>
      <c r="Q9" s="471">
        <f>SUMIF(Table1[Urut],P9,Table1[Nilai SP2D])</f>
        <v>0</v>
      </c>
    </row>
    <row r="10" spans="2:20" s="468" customFormat="1" ht="30" customHeight="1">
      <c r="B10" s="209"/>
      <c r="C10" s="209"/>
      <c r="E10" s="472"/>
      <c r="F10" s="469"/>
      <c r="G10" s="470"/>
      <c r="H10" s="470"/>
      <c r="K10" s="470"/>
      <c r="L10" s="470"/>
      <c r="M10" s="470"/>
      <c r="N10" s="468">
        <v>51</v>
      </c>
      <c r="O10" s="471">
        <f>SUMIF(Table1[all],N10,Table1[Nilai SP2D])</f>
        <v>4242168197</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7549283476</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5"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5"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5"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5"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5"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5"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209" t="s">
        <v>7760</v>
      </c>
      <c r="O20" s="345">
        <v>52</v>
      </c>
    </row>
    <row r="21" spans="2:15" ht="69.95"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5"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5"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5"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5"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5"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5"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5"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5"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5"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5"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5"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5"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5"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5"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5"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5"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5"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5"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5"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5"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5"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5"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5"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5"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5"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5"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5"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5"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5"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5"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5"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5"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5"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5"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5"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5"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5"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5"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5"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5"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5"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5"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5"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5"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5"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5"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5"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5"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5"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5"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5"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5"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5"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5"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5"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5"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5"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209" t="s">
        <v>7761</v>
      </c>
      <c r="O78" s="345">
        <v>52</v>
      </c>
    </row>
    <row r="79" spans="2:15" ht="69.95"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209" t="s">
        <v>7761</v>
      </c>
      <c r="O79" s="345">
        <v>52</v>
      </c>
    </row>
    <row r="80" spans="2:15" ht="69.95"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5"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5"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5"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5"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5"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5"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209" t="s">
        <v>7761</v>
      </c>
      <c r="O86" s="345">
        <v>52</v>
      </c>
    </row>
    <row r="87" spans="2:15" ht="69.95"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209" t="s">
        <v>7761</v>
      </c>
      <c r="O87" s="345">
        <v>52</v>
      </c>
    </row>
    <row r="88" spans="2:15" ht="69.95"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209" t="s">
        <v>7761</v>
      </c>
      <c r="O88" s="345">
        <v>52</v>
      </c>
    </row>
    <row r="89" spans="2:15" ht="69.95"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209" t="s">
        <v>7761</v>
      </c>
      <c r="O89" s="345">
        <v>52</v>
      </c>
    </row>
    <row r="90" spans="2:15" ht="69.95"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209" t="s">
        <v>7761</v>
      </c>
      <c r="O90" s="345">
        <v>52</v>
      </c>
    </row>
    <row r="91" spans="2:15" ht="69.95"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5"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5"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5"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5"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5"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5"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5"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5"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5"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209" t="s">
        <v>7761</v>
      </c>
      <c r="O100" s="345">
        <v>52</v>
      </c>
    </row>
    <row r="101" spans="2:15" ht="69.95"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209" t="s">
        <v>7761</v>
      </c>
      <c r="O101" s="345">
        <v>52</v>
      </c>
    </row>
    <row r="102" spans="2:15" ht="69.95"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209" t="s">
        <v>7761</v>
      </c>
      <c r="O102" s="345">
        <v>52</v>
      </c>
    </row>
    <row r="103" spans="2:15" ht="69.95"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5"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5"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5"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5"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5"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5"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209" t="s">
        <v>7761</v>
      </c>
      <c r="O109" s="345">
        <v>52</v>
      </c>
    </row>
    <row r="110" spans="2:15" ht="69.95"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209" t="s">
        <v>7761</v>
      </c>
      <c r="O110" s="345">
        <v>52</v>
      </c>
    </row>
    <row r="111" spans="2:15" ht="69.95"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209" t="s">
        <v>7761</v>
      </c>
      <c r="O111" s="345">
        <v>52</v>
      </c>
    </row>
    <row r="112" spans="2:15" ht="69.95"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209" t="s">
        <v>7761</v>
      </c>
      <c r="O112" s="345">
        <v>52</v>
      </c>
    </row>
    <row r="113" spans="2:15" ht="69.95"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5"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5"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5"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5"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5"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5"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5"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5"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5"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5"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5"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5"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5"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5"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5"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5"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5"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5"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5"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5"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5"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5"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5"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5"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5"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5"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5"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5"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5"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5"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5"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5"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5"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5"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5"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5"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5"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5"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5"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5"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5"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5"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209" t="s">
        <v>7761</v>
      </c>
      <c r="O155" s="345">
        <v>52</v>
      </c>
    </row>
    <row r="156" spans="2:15" ht="69.95"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209" t="s">
        <v>7761</v>
      </c>
      <c r="O156" s="345">
        <v>52</v>
      </c>
    </row>
    <row r="157" spans="2:15" ht="69.95"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5"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5"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5"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5"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5"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5"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209" t="s">
        <v>7761</v>
      </c>
      <c r="O163" s="345">
        <v>52</v>
      </c>
    </row>
    <row r="164" spans="2:15" ht="69.95"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209" t="s">
        <v>7761</v>
      </c>
      <c r="O164" s="345">
        <v>52</v>
      </c>
    </row>
    <row r="165" spans="2:15" ht="69.95"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209" t="s">
        <v>7761</v>
      </c>
      <c r="O165" s="345">
        <v>52</v>
      </c>
    </row>
    <row r="166" spans="2:15" ht="69.95"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5"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5"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5"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5"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5"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209" t="s">
        <v>7761</v>
      </c>
      <c r="O171" s="346">
        <v>52</v>
      </c>
    </row>
    <row r="172" spans="2:15" ht="69.95"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5"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5"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5"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209" t="s">
        <v>7761</v>
      </c>
      <c r="O175" s="346">
        <v>52</v>
      </c>
    </row>
    <row r="176" spans="2:15" ht="69.95"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209" t="s">
        <v>7761</v>
      </c>
      <c r="O176" s="346">
        <v>52</v>
      </c>
    </row>
    <row r="177" spans="2:15" ht="69.95"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5"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5"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5"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5"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5"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5"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5"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5"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5"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5"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5"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5"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5"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5"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5"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209" t="s">
        <v>7761</v>
      </c>
      <c r="O192" s="346">
        <v>52</v>
      </c>
    </row>
    <row r="193" spans="2:17" ht="69.95"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5"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5"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5"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5"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5"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5"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209" t="s">
        <v>7761</v>
      </c>
      <c r="O199" s="345">
        <v>52</v>
      </c>
      <c r="P199" s="354"/>
    </row>
    <row r="200" spans="2:17" ht="69.95"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5"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5"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209" t="s">
        <v>7761</v>
      </c>
      <c r="O202" s="345">
        <v>52</v>
      </c>
      <c r="P202" s="354"/>
    </row>
    <row r="203" spans="2:17" ht="69.95"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5"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5"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5"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5"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5"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5"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5"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209" t="s">
        <v>7761</v>
      </c>
      <c r="O210" s="346">
        <v>52</v>
      </c>
      <c r="P210" s="210" t="s">
        <v>3726</v>
      </c>
    </row>
    <row r="211" spans="2:17" ht="69.95"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209" t="s">
        <v>7761</v>
      </c>
      <c r="O211" s="346">
        <v>52</v>
      </c>
    </row>
    <row r="212" spans="2:17" ht="69.95"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5"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5"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5"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5"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5"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5"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5"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5"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5"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5"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209" t="s">
        <v>7761</v>
      </c>
      <c r="O222" s="346">
        <v>52</v>
      </c>
    </row>
    <row r="223" spans="2:17" ht="69.95"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5"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5"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5"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5"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5"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5"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5" customHeight="1">
      <c r="B230" s="347"/>
      <c r="C230" s="333"/>
      <c r="D230" s="333"/>
      <c r="E230" s="334"/>
      <c r="F230" s="335">
        <f>SUBTOTAL(109,Table1[Nilai SP2D])</f>
        <v>12445651673</v>
      </c>
      <c r="G230" s="336"/>
      <c r="H230" s="337"/>
      <c r="I230" s="333"/>
      <c r="J230" s="333"/>
      <c r="K230" s="338"/>
      <c r="L230" s="339"/>
      <c r="M230" s="339"/>
      <c r="N230" s="333"/>
      <c r="O230" s="348"/>
    </row>
  </sheetData>
  <sortState xmlns:xlrd2="http://schemas.microsoft.com/office/spreadsheetml/2017/richdata2" ref="B14:K54">
    <sortCondition ref="H14:H54"/>
  </sortState>
  <phoneticPr fontId="26" type="noConversion"/>
  <conditionalFormatting sqref="D116:D119">
    <cfRule type="duplicateValues" dxfId="1478" priority="3"/>
  </conditionalFormatting>
  <conditionalFormatting sqref="D14:D174">
    <cfRule type="duplicateValues" dxfId="1477" priority="28"/>
    <cfRule type="duplicateValues" dxfId="1476" priority="29"/>
  </conditionalFormatting>
  <dataValidations count="2">
    <dataValidation type="list" allowBlank="1" showInputMessage="1" showErrorMessage="1" sqref="L14:L229" xr:uid="{8DDB7010-4A22-4C04-8AC4-F6FB6B7050C1}">
      <formula1>#REF!</formula1>
    </dataValidation>
    <dataValidation type="list" allowBlank="1" showInputMessage="1" showErrorMessage="1" sqref="M14:M229"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tabSelected="1" view="pageBreakPreview" zoomScale="85" zoomScaleNormal="70" zoomScaleSheetLayoutView="85" workbookViewId="0">
      <pane xSplit="3" ySplit="6" topLeftCell="D7" activePane="bottomRight" state="frozen"/>
      <selection pane="topRight" activeCell="D1" sqref="D1"/>
      <selection pane="bottomLeft" activeCell="A7" sqref="A7"/>
      <selection pane="bottomRight" activeCell="D6" sqref="D6"/>
    </sheetView>
  </sheetViews>
  <sheetFormatPr defaultRowHeight="15"/>
  <cols>
    <col min="3" max="3" width="144.85546875" style="233" bestFit="1" customWidth="1"/>
    <col min="4" max="4" width="21.140625" bestFit="1" customWidth="1"/>
    <col min="5" max="5" width="19.7109375" bestFit="1" customWidth="1"/>
    <col min="6" max="6" width="14.7109375" style="208" bestFit="1" customWidth="1"/>
    <col min="7" max="7" width="19.7109375" bestFit="1" customWidth="1"/>
    <col min="8" max="8" width="14.285156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2" t="str">
        <f>'PERSUBBID - Gaji'!A1</f>
        <v>REALISASI TANPA GAJI (BERDASARKAN PAGU SETELAH BLOKIR)</v>
      </c>
      <c r="D1" s="532"/>
      <c r="E1" s="532"/>
      <c r="F1" s="532"/>
      <c r="G1" s="532"/>
      <c r="H1" s="532"/>
    </row>
    <row r="2" spans="3:18" ht="19.5">
      <c r="C2" s="532" t="str">
        <f>'PER BULAN'!B5</f>
        <v>Berdasarkan DIPA Revisi 3 TA. 2022 (Tanggal 13 Juli 2022)</v>
      </c>
      <c r="D2" s="532"/>
      <c r="E2" s="532"/>
      <c r="F2" s="532"/>
      <c r="G2" s="532"/>
      <c r="H2" s="532"/>
    </row>
    <row r="3" spans="3:18" ht="19.5">
      <c r="C3" s="532" t="str">
        <f>'PER BULAN'!B6</f>
        <v>SAMPAI DENGAN 24 AGUSTUS 2022</v>
      </c>
      <c r="D3" s="532"/>
      <c r="E3" s="532"/>
      <c r="F3" s="532"/>
      <c r="G3" s="532"/>
      <c r="H3" s="532"/>
    </row>
    <row r="4" spans="3:18">
      <c r="D4" s="233"/>
      <c r="E4" s="233"/>
      <c r="G4" s="233"/>
      <c r="H4" s="233"/>
    </row>
    <row r="5" spans="3:18" s="441" customFormat="1" ht="18.75">
      <c r="C5" s="488" t="s">
        <v>3893</v>
      </c>
      <c r="D5" s="488" t="s">
        <v>7679</v>
      </c>
      <c r="E5" s="488" t="s">
        <v>3889</v>
      </c>
      <c r="F5" s="488" t="s">
        <v>3890</v>
      </c>
      <c r="G5" s="488" t="s">
        <v>3891</v>
      </c>
      <c r="H5" s="488" t="s">
        <v>3892</v>
      </c>
      <c r="I5" s="475"/>
      <c r="M5" s="442"/>
    </row>
    <row r="6" spans="3:18" ht="18.75">
      <c r="C6" s="489" t="s">
        <v>523</v>
      </c>
      <c r="D6" s="490">
        <v>13875804000</v>
      </c>
      <c r="E6" s="490">
        <v>8203483476</v>
      </c>
      <c r="F6" s="491">
        <v>59.120779422943706</v>
      </c>
      <c r="G6" s="490">
        <v>5672320524</v>
      </c>
      <c r="H6" s="492">
        <v>40.879220577056294</v>
      </c>
      <c r="J6" s="161"/>
      <c r="R6" s="159"/>
    </row>
    <row r="7" spans="3:18" ht="18.75">
      <c r="C7" s="493" t="s">
        <v>3771</v>
      </c>
      <c r="D7" s="494">
        <v>1000000000</v>
      </c>
      <c r="E7" s="494">
        <v>554423885</v>
      </c>
      <c r="F7" s="495">
        <v>55.442388499999993</v>
      </c>
      <c r="G7" s="494">
        <v>445576115</v>
      </c>
      <c r="H7" s="496">
        <v>44.5576115</v>
      </c>
      <c r="R7" s="159"/>
    </row>
    <row r="8" spans="3:18" ht="18.75">
      <c r="C8" s="493" t="s">
        <v>3781</v>
      </c>
      <c r="D8" s="494">
        <v>1000000000</v>
      </c>
      <c r="E8" s="494">
        <v>554423885</v>
      </c>
      <c r="F8" s="495">
        <v>55.442388499999993</v>
      </c>
      <c r="G8" s="494">
        <v>445576115</v>
      </c>
      <c r="H8" s="496">
        <v>44.5576115</v>
      </c>
    </row>
    <row r="9" spans="3:18" ht="18.75">
      <c r="C9" s="497" t="s">
        <v>528</v>
      </c>
      <c r="D9" s="498">
        <v>821400000</v>
      </c>
      <c r="E9" s="498">
        <v>447570300</v>
      </c>
      <c r="F9" s="499">
        <v>54.488714390065738</v>
      </c>
      <c r="G9" s="498">
        <v>373829700</v>
      </c>
      <c r="H9" s="500">
        <v>45.511285609934262</v>
      </c>
    </row>
    <row r="10" spans="3:18" ht="18.75">
      <c r="C10" s="501" t="s">
        <v>529</v>
      </c>
      <c r="D10" s="502">
        <v>686300000</v>
      </c>
      <c r="E10" s="502">
        <v>365968440</v>
      </c>
      <c r="F10" s="503">
        <v>53.324849191315749</v>
      </c>
      <c r="G10" s="502">
        <v>320331560</v>
      </c>
      <c r="H10" s="504">
        <v>46.675150808684251</v>
      </c>
    </row>
    <row r="11" spans="3:18" ht="18.75">
      <c r="C11" s="493" t="s">
        <v>3783</v>
      </c>
      <c r="D11" s="494">
        <v>686300000</v>
      </c>
      <c r="E11" s="494">
        <v>365968440</v>
      </c>
      <c r="F11" s="495">
        <v>53.324849191315749</v>
      </c>
      <c r="G11" s="494">
        <v>320331560</v>
      </c>
      <c r="H11" s="496">
        <v>46.675150808684251</v>
      </c>
    </row>
    <row r="12" spans="3:18" ht="18.75">
      <c r="C12" s="505" t="s">
        <v>3789</v>
      </c>
      <c r="D12" s="506">
        <v>686300000</v>
      </c>
      <c r="E12" s="506">
        <v>365968440</v>
      </c>
      <c r="F12" s="507">
        <v>53.324849191315749</v>
      </c>
      <c r="G12" s="506">
        <v>320331560</v>
      </c>
      <c r="H12" s="508">
        <v>46.675150808684251</v>
      </c>
    </row>
    <row r="13" spans="3:18" ht="18.75">
      <c r="C13" s="509" t="s">
        <v>3790</v>
      </c>
      <c r="D13" s="510">
        <v>386924000</v>
      </c>
      <c r="E13" s="510">
        <v>210711850</v>
      </c>
      <c r="F13" s="511">
        <v>54.458201093754845</v>
      </c>
      <c r="G13" s="510">
        <v>176212150</v>
      </c>
      <c r="H13" s="512">
        <v>45.541798906245155</v>
      </c>
    </row>
    <row r="14" spans="3:18" ht="18.75">
      <c r="C14" s="513" t="s">
        <v>3773</v>
      </c>
      <c r="D14" s="494">
        <v>64900000</v>
      </c>
      <c r="E14" s="494">
        <v>35440750</v>
      </c>
      <c r="F14" s="495">
        <v>54.608243451463792</v>
      </c>
      <c r="G14" s="494">
        <v>29459250</v>
      </c>
      <c r="H14" s="496">
        <v>45.391756548536208</v>
      </c>
    </row>
    <row r="15" spans="3:18" ht="18.75">
      <c r="C15" s="513" t="s">
        <v>3786</v>
      </c>
      <c r="D15" s="494">
        <v>6000000</v>
      </c>
      <c r="E15" s="494">
        <v>963000</v>
      </c>
      <c r="F15" s="495">
        <v>16.05</v>
      </c>
      <c r="G15" s="494">
        <v>5037000</v>
      </c>
      <c r="H15" s="496">
        <v>83.95</v>
      </c>
    </row>
    <row r="16" spans="3:18" ht="18.75">
      <c r="C16" s="513" t="s">
        <v>3791</v>
      </c>
      <c r="D16" s="494">
        <v>30000000</v>
      </c>
      <c r="E16" s="494">
        <v>12006500</v>
      </c>
      <c r="F16" s="495">
        <v>40.021666666666668</v>
      </c>
      <c r="G16" s="494">
        <v>17993500</v>
      </c>
      <c r="H16" s="496">
        <v>59.978333333333332</v>
      </c>
    </row>
    <row r="17" spans="3:21" ht="18.75">
      <c r="C17" s="513" t="s">
        <v>3776</v>
      </c>
      <c r="D17" s="494">
        <v>25200000</v>
      </c>
      <c r="E17" s="494">
        <v>9000000</v>
      </c>
      <c r="F17" s="495">
        <v>35.714285714285715</v>
      </c>
      <c r="G17" s="494">
        <v>16200000</v>
      </c>
      <c r="H17" s="496">
        <v>64.285714285714292</v>
      </c>
    </row>
    <row r="18" spans="3:21" ht="18.75">
      <c r="C18" s="513" t="s">
        <v>3778</v>
      </c>
      <c r="D18" s="494">
        <v>6000000</v>
      </c>
      <c r="E18" s="494">
        <v>0</v>
      </c>
      <c r="F18" s="495">
        <v>0</v>
      </c>
      <c r="G18" s="494">
        <v>6000000</v>
      </c>
      <c r="H18" s="496">
        <v>100</v>
      </c>
    </row>
    <row r="19" spans="3:21" ht="18.75">
      <c r="C19" s="513" t="s">
        <v>3777</v>
      </c>
      <c r="D19" s="494">
        <v>253324000</v>
      </c>
      <c r="E19" s="494">
        <v>153301600</v>
      </c>
      <c r="F19" s="495">
        <v>60.516019011226732</v>
      </c>
      <c r="G19" s="494">
        <v>100022400</v>
      </c>
      <c r="H19" s="496">
        <v>39.483980988773268</v>
      </c>
      <c r="I19" s="476"/>
      <c r="J19" s="161"/>
    </row>
    <row r="20" spans="3:21" ht="18.75">
      <c r="C20" s="513" t="s">
        <v>505</v>
      </c>
      <c r="D20" s="494">
        <v>1500000</v>
      </c>
      <c r="E20" s="494">
        <v>0</v>
      </c>
      <c r="F20" s="495">
        <v>0</v>
      </c>
      <c r="G20" s="494">
        <v>1500000</v>
      </c>
      <c r="H20" s="496">
        <v>100</v>
      </c>
    </row>
    <row r="21" spans="3:21" ht="18.75">
      <c r="C21" s="509" t="s">
        <v>3792</v>
      </c>
      <c r="D21" s="510">
        <v>247816000</v>
      </c>
      <c r="E21" s="510">
        <v>155256590</v>
      </c>
      <c r="F21" s="511">
        <v>62.649945927623719</v>
      </c>
      <c r="G21" s="510">
        <v>92559410</v>
      </c>
      <c r="H21" s="512">
        <v>37.350054072376281</v>
      </c>
    </row>
    <row r="22" spans="3:21" ht="18.75">
      <c r="C22" s="513" t="s">
        <v>3773</v>
      </c>
      <c r="D22" s="494">
        <v>71456000</v>
      </c>
      <c r="E22" s="494">
        <v>10438550</v>
      </c>
      <c r="F22" s="495">
        <v>14.60836038961039</v>
      </c>
      <c r="G22" s="494">
        <v>61017450</v>
      </c>
      <c r="H22" s="496">
        <v>85.391639610389618</v>
      </c>
      <c r="U22" s="161"/>
    </row>
    <row r="23" spans="3:21" ht="18.75">
      <c r="C23" s="513" t="s">
        <v>3786</v>
      </c>
      <c r="D23" s="494">
        <v>5000000</v>
      </c>
      <c r="E23" s="494">
        <v>4262850</v>
      </c>
      <c r="F23" s="495">
        <v>85.257000000000005</v>
      </c>
      <c r="G23" s="494">
        <v>737150</v>
      </c>
      <c r="H23" s="496">
        <v>14.743</v>
      </c>
      <c r="U23" s="161"/>
    </row>
    <row r="24" spans="3:21" ht="18.75">
      <c r="C24" s="513" t="s">
        <v>3791</v>
      </c>
      <c r="D24" s="494">
        <v>15000000</v>
      </c>
      <c r="E24" s="494">
        <v>2453500</v>
      </c>
      <c r="F24" s="495">
        <v>16.356666666666666</v>
      </c>
      <c r="G24" s="494">
        <v>12546500</v>
      </c>
      <c r="H24" s="496">
        <v>83.643333333333331</v>
      </c>
    </row>
    <row r="25" spans="3:21" ht="18.75">
      <c r="C25" s="513" t="s">
        <v>3776</v>
      </c>
      <c r="D25" s="494">
        <v>16200000</v>
      </c>
      <c r="E25" s="494">
        <v>6300000</v>
      </c>
      <c r="F25" s="495">
        <v>38.888888888888893</v>
      </c>
      <c r="G25" s="494">
        <v>9900000</v>
      </c>
      <c r="H25" s="496">
        <v>61.111111111111114</v>
      </c>
    </row>
    <row r="26" spans="3:21" ht="18.75">
      <c r="C26" s="513" t="s">
        <v>3778</v>
      </c>
      <c r="D26" s="494">
        <v>2000000</v>
      </c>
      <c r="E26" s="494">
        <v>365000</v>
      </c>
      <c r="F26" s="495">
        <v>18.25</v>
      </c>
      <c r="G26" s="494">
        <v>1635000</v>
      </c>
      <c r="H26" s="496">
        <v>81.75</v>
      </c>
    </row>
    <row r="27" spans="3:21" ht="18.75">
      <c r="C27" s="513" t="s">
        <v>3777</v>
      </c>
      <c r="D27" s="494">
        <v>138160000</v>
      </c>
      <c r="E27" s="494">
        <v>131436690</v>
      </c>
      <c r="F27" s="495">
        <v>95.133678343949043</v>
      </c>
      <c r="G27" s="494">
        <v>6723310</v>
      </c>
      <c r="H27" s="496">
        <v>4.866321656050955</v>
      </c>
    </row>
    <row r="28" spans="3:21" ht="18.75">
      <c r="C28" s="509" t="s">
        <v>3806</v>
      </c>
      <c r="D28" s="510">
        <v>51560000</v>
      </c>
      <c r="E28" s="510">
        <v>0</v>
      </c>
      <c r="F28" s="511">
        <v>0</v>
      </c>
      <c r="G28" s="510">
        <v>51560000</v>
      </c>
      <c r="H28" s="512">
        <v>100</v>
      </c>
    </row>
    <row r="29" spans="3:21" ht="18.75">
      <c r="C29" s="513" t="s">
        <v>3773</v>
      </c>
      <c r="D29" s="494">
        <v>20830000</v>
      </c>
      <c r="E29" s="494">
        <v>0</v>
      </c>
      <c r="F29" s="495">
        <v>0</v>
      </c>
      <c r="G29" s="494">
        <v>20830000</v>
      </c>
      <c r="H29" s="496">
        <v>100</v>
      </c>
    </row>
    <row r="30" spans="3:21" ht="18.75">
      <c r="C30" s="513" t="s">
        <v>3786</v>
      </c>
      <c r="D30" s="494">
        <v>500000</v>
      </c>
      <c r="E30" s="494">
        <v>0</v>
      </c>
      <c r="F30" s="495">
        <v>0</v>
      </c>
      <c r="G30" s="494">
        <v>500000</v>
      </c>
      <c r="H30" s="496">
        <v>100</v>
      </c>
    </row>
    <row r="31" spans="3:21" ht="18.75">
      <c r="C31" s="513" t="s">
        <v>3776</v>
      </c>
      <c r="D31" s="494">
        <v>7200000</v>
      </c>
      <c r="E31" s="494">
        <v>0</v>
      </c>
      <c r="F31" s="495">
        <v>0</v>
      </c>
      <c r="G31" s="494">
        <v>7200000</v>
      </c>
      <c r="H31" s="496">
        <v>100</v>
      </c>
    </row>
    <row r="32" spans="3:21" ht="18.75">
      <c r="C32" s="513" t="s">
        <v>3777</v>
      </c>
      <c r="D32" s="494">
        <v>23030000</v>
      </c>
      <c r="E32" s="494">
        <v>0</v>
      </c>
      <c r="F32" s="495">
        <v>0</v>
      </c>
      <c r="G32" s="494">
        <v>23030000</v>
      </c>
      <c r="H32" s="496">
        <v>100</v>
      </c>
    </row>
    <row r="33" spans="3:15" ht="18.75">
      <c r="C33" s="501" t="s">
        <v>531</v>
      </c>
      <c r="D33" s="502">
        <v>135100000</v>
      </c>
      <c r="E33" s="502">
        <v>81601860</v>
      </c>
      <c r="F33" s="503">
        <v>60.40108068097706</v>
      </c>
      <c r="G33" s="502">
        <v>53498140</v>
      </c>
      <c r="H33" s="504">
        <v>39.598919319022947</v>
      </c>
    </row>
    <row r="34" spans="3:15" ht="17.100000000000001" customHeight="1">
      <c r="C34" s="493" t="s">
        <v>3783</v>
      </c>
      <c r="D34" s="494">
        <v>135100000</v>
      </c>
      <c r="E34" s="494">
        <v>81601860</v>
      </c>
      <c r="F34" s="495">
        <v>60.40108068097706</v>
      </c>
      <c r="G34" s="494">
        <v>53498140</v>
      </c>
      <c r="H34" s="496">
        <v>39.598919319022947</v>
      </c>
      <c r="O34" s="161"/>
    </row>
    <row r="35" spans="3:15" ht="18.75">
      <c r="C35" s="505" t="s">
        <v>3793</v>
      </c>
      <c r="D35" s="506">
        <v>135100000</v>
      </c>
      <c r="E35" s="506">
        <v>81601860</v>
      </c>
      <c r="F35" s="507">
        <v>60.40108068097706</v>
      </c>
      <c r="G35" s="506">
        <v>53498140</v>
      </c>
      <c r="H35" s="508">
        <v>39.598919319022947</v>
      </c>
    </row>
    <row r="36" spans="3:15" ht="17.100000000000001" customHeight="1">
      <c r="C36" s="509" t="s">
        <v>3794</v>
      </c>
      <c r="D36" s="510">
        <v>135100000</v>
      </c>
      <c r="E36" s="510">
        <v>81601860</v>
      </c>
      <c r="F36" s="511">
        <v>60.40108068097706</v>
      </c>
      <c r="G36" s="510">
        <v>53498140</v>
      </c>
      <c r="H36" s="512">
        <v>39.598919319022947</v>
      </c>
    </row>
    <row r="37" spans="3:15" ht="17.100000000000001" customHeight="1">
      <c r="C37" s="513" t="s">
        <v>3773</v>
      </c>
      <c r="D37" s="494">
        <v>13500000</v>
      </c>
      <c r="E37" s="494">
        <v>13489250</v>
      </c>
      <c r="F37" s="495">
        <v>99.920370370370364</v>
      </c>
      <c r="G37" s="494">
        <v>10750</v>
      </c>
      <c r="H37" s="496">
        <v>7.962962962962962E-2</v>
      </c>
    </row>
    <row r="38" spans="3:15" ht="17.100000000000001" customHeight="1">
      <c r="C38" s="513" t="s">
        <v>3786</v>
      </c>
      <c r="D38" s="494">
        <v>8884000</v>
      </c>
      <c r="E38" s="494">
        <v>0</v>
      </c>
      <c r="F38" s="495">
        <v>0</v>
      </c>
      <c r="G38" s="494">
        <v>8884000</v>
      </c>
      <c r="H38" s="496">
        <v>100</v>
      </c>
    </row>
    <row r="39" spans="3:15" ht="17.100000000000001" customHeight="1">
      <c r="C39" s="513" t="s">
        <v>3776</v>
      </c>
      <c r="D39" s="494">
        <v>15300000</v>
      </c>
      <c r="E39" s="494">
        <v>7200000</v>
      </c>
      <c r="F39" s="495">
        <v>47.058823529411761</v>
      </c>
      <c r="G39" s="494">
        <v>8100000</v>
      </c>
      <c r="H39" s="496">
        <v>52.941176470588239</v>
      </c>
    </row>
    <row r="40" spans="3:15" ht="17.100000000000001" customHeight="1">
      <c r="C40" s="513" t="s">
        <v>3777</v>
      </c>
      <c r="D40" s="494">
        <v>97416000</v>
      </c>
      <c r="E40" s="494">
        <v>60912610</v>
      </c>
      <c r="F40" s="495">
        <v>62.528342366757009</v>
      </c>
      <c r="G40" s="494">
        <v>36503390</v>
      </c>
      <c r="H40" s="496">
        <v>37.471657633242998</v>
      </c>
    </row>
    <row r="41" spans="3:15" ht="17.100000000000001" customHeight="1">
      <c r="C41" s="497" t="s">
        <v>524</v>
      </c>
      <c r="D41" s="498">
        <v>178600000</v>
      </c>
      <c r="E41" s="498">
        <v>106853585</v>
      </c>
      <c r="F41" s="499">
        <v>59.828435050391938</v>
      </c>
      <c r="G41" s="498">
        <v>71746415</v>
      </c>
      <c r="H41" s="500">
        <v>40.171564949608062</v>
      </c>
    </row>
    <row r="42" spans="3:15" ht="18.75">
      <c r="C42" s="501" t="s">
        <v>525</v>
      </c>
      <c r="D42" s="502">
        <v>124100000</v>
      </c>
      <c r="E42" s="502">
        <v>76338000</v>
      </c>
      <c r="F42" s="503">
        <v>61.513295729250608</v>
      </c>
      <c r="G42" s="502">
        <v>47762000</v>
      </c>
      <c r="H42" s="504">
        <v>38.486704270749392</v>
      </c>
    </row>
    <row r="43" spans="3:15" ht="17.100000000000001" customHeight="1">
      <c r="C43" s="493" t="s">
        <v>3783</v>
      </c>
      <c r="D43" s="494">
        <v>124100000</v>
      </c>
      <c r="E43" s="494">
        <v>76338000</v>
      </c>
      <c r="F43" s="495">
        <v>61.513295729250608</v>
      </c>
      <c r="G43" s="494">
        <v>47762000</v>
      </c>
      <c r="H43" s="496">
        <v>38.486704270749392</v>
      </c>
    </row>
    <row r="44" spans="3:15" ht="18.75">
      <c r="C44" s="505" t="s">
        <v>3784</v>
      </c>
      <c r="D44" s="506">
        <v>124100000</v>
      </c>
      <c r="E44" s="506">
        <v>76338000</v>
      </c>
      <c r="F44" s="507">
        <v>61.513295729250608</v>
      </c>
      <c r="G44" s="506">
        <v>47762000</v>
      </c>
      <c r="H44" s="508">
        <v>38.486704270749392</v>
      </c>
    </row>
    <row r="45" spans="3:15" ht="17.100000000000001" customHeight="1">
      <c r="C45" s="509" t="s">
        <v>3785</v>
      </c>
      <c r="D45" s="510">
        <v>83135000</v>
      </c>
      <c r="E45" s="510">
        <v>51467000</v>
      </c>
      <c r="F45" s="511">
        <v>61.907740422204846</v>
      </c>
      <c r="G45" s="510">
        <v>31668000</v>
      </c>
      <c r="H45" s="512">
        <v>38.092259577795154</v>
      </c>
    </row>
    <row r="46" spans="3:15" ht="17.100000000000001" customHeight="1">
      <c r="C46" s="513" t="s">
        <v>3773</v>
      </c>
      <c r="D46" s="494">
        <v>19875000</v>
      </c>
      <c r="E46" s="494">
        <v>10381000</v>
      </c>
      <c r="F46" s="495">
        <v>52.231446540880498</v>
      </c>
      <c r="G46" s="494">
        <v>9494000</v>
      </c>
      <c r="H46" s="496">
        <v>47.768553459119495</v>
      </c>
    </row>
    <row r="47" spans="3:15" ht="17.100000000000001" customHeight="1">
      <c r="C47" s="513" t="s">
        <v>3776</v>
      </c>
      <c r="D47" s="494">
        <v>20000000</v>
      </c>
      <c r="E47" s="494">
        <v>6300000</v>
      </c>
      <c r="F47" s="495">
        <v>31.5</v>
      </c>
      <c r="G47" s="494">
        <v>13700000</v>
      </c>
      <c r="H47" s="496">
        <v>68.5</v>
      </c>
    </row>
    <row r="48" spans="3:15" ht="17.100000000000001" customHeight="1">
      <c r="C48" s="513" t="s">
        <v>3777</v>
      </c>
      <c r="D48" s="494">
        <v>43260000</v>
      </c>
      <c r="E48" s="494">
        <v>34786000</v>
      </c>
      <c r="F48" s="495">
        <v>80.411465557096633</v>
      </c>
      <c r="G48" s="494">
        <v>8474000</v>
      </c>
      <c r="H48" s="496">
        <v>19.588534442903374</v>
      </c>
    </row>
    <row r="49" spans="3:10" ht="17.100000000000001" customHeight="1">
      <c r="C49" s="509" t="s">
        <v>3787</v>
      </c>
      <c r="D49" s="510">
        <v>40965000</v>
      </c>
      <c r="E49" s="510">
        <v>24871000</v>
      </c>
      <c r="F49" s="511">
        <v>60.712803612840226</v>
      </c>
      <c r="G49" s="510">
        <v>16094000</v>
      </c>
      <c r="H49" s="512">
        <v>39.287196387159774</v>
      </c>
      <c r="I49" s="476"/>
      <c r="J49" s="161"/>
    </row>
    <row r="50" spans="3:10" ht="17.100000000000001" customHeight="1">
      <c r="C50" s="513" t="s">
        <v>3773</v>
      </c>
      <c r="D50" s="494">
        <v>19500000</v>
      </c>
      <c r="E50" s="494">
        <v>6511000</v>
      </c>
      <c r="F50" s="495">
        <v>33.389743589743595</v>
      </c>
      <c r="G50" s="494">
        <v>12989000</v>
      </c>
      <c r="H50" s="496">
        <v>66.610256410256412</v>
      </c>
    </row>
    <row r="51" spans="3:10" ht="17.100000000000001" customHeight="1">
      <c r="C51" s="513" t="s">
        <v>3776</v>
      </c>
      <c r="D51" s="494">
        <v>4000000</v>
      </c>
      <c r="E51" s="494">
        <v>900000</v>
      </c>
      <c r="F51" s="495">
        <v>22.5</v>
      </c>
      <c r="G51" s="494">
        <v>3100000</v>
      </c>
      <c r="H51" s="496">
        <v>77.5</v>
      </c>
      <c r="I51" s="476"/>
    </row>
    <row r="52" spans="3:10" ht="17.100000000000001" customHeight="1">
      <c r="C52" s="513" t="s">
        <v>3777</v>
      </c>
      <c r="D52" s="494">
        <v>17465000</v>
      </c>
      <c r="E52" s="494">
        <v>17460000</v>
      </c>
      <c r="F52" s="495">
        <v>99.971371314056682</v>
      </c>
      <c r="G52" s="494">
        <v>5000</v>
      </c>
      <c r="H52" s="496">
        <v>2.8628685943315198E-2</v>
      </c>
    </row>
    <row r="53" spans="3:10" ht="18.75">
      <c r="C53" s="501" t="s">
        <v>527</v>
      </c>
      <c r="D53" s="502">
        <v>54500000</v>
      </c>
      <c r="E53" s="502">
        <v>30515585</v>
      </c>
      <c r="F53" s="503">
        <v>55.991899082568807</v>
      </c>
      <c r="G53" s="502">
        <v>23984415</v>
      </c>
      <c r="H53" s="504">
        <v>44.008100917431193</v>
      </c>
    </row>
    <row r="54" spans="3:10" ht="17.100000000000001" customHeight="1">
      <c r="C54" s="493" t="s">
        <v>3783</v>
      </c>
      <c r="D54" s="494">
        <v>54500000</v>
      </c>
      <c r="E54" s="494">
        <v>30515585</v>
      </c>
      <c r="F54" s="495">
        <v>55.991899082568807</v>
      </c>
      <c r="G54" s="494">
        <v>23984415</v>
      </c>
      <c r="H54" s="496">
        <v>44.008100917431193</v>
      </c>
    </row>
    <row r="55" spans="3:10" ht="18.75">
      <c r="C55" s="505" t="s">
        <v>3788</v>
      </c>
      <c r="D55" s="506">
        <v>54500000</v>
      </c>
      <c r="E55" s="506">
        <v>30515585</v>
      </c>
      <c r="F55" s="507">
        <v>55.991899082568807</v>
      </c>
      <c r="G55" s="506">
        <v>23984415</v>
      </c>
      <c r="H55" s="508">
        <v>44.008100917431193</v>
      </c>
    </row>
    <row r="56" spans="3:10" ht="17.100000000000001" customHeight="1">
      <c r="C56" s="509" t="s">
        <v>3805</v>
      </c>
      <c r="D56" s="510">
        <v>54500000</v>
      </c>
      <c r="E56" s="510">
        <v>30515585</v>
      </c>
      <c r="F56" s="511">
        <v>55.991899082568807</v>
      </c>
      <c r="G56" s="510">
        <v>23984415</v>
      </c>
      <c r="H56" s="512">
        <v>44.008100917431193</v>
      </c>
    </row>
    <row r="57" spans="3:10" ht="17.100000000000001" customHeight="1">
      <c r="C57" s="513" t="s">
        <v>3773</v>
      </c>
      <c r="D57" s="494">
        <v>21250000</v>
      </c>
      <c r="E57" s="494">
        <v>4620000</v>
      </c>
      <c r="F57" s="495">
        <v>21.741176470588236</v>
      </c>
      <c r="G57" s="494">
        <v>16630000</v>
      </c>
      <c r="H57" s="496">
        <v>78.258823529411771</v>
      </c>
    </row>
    <row r="58" spans="3:10" ht="17.100000000000001" customHeight="1">
      <c r="C58" s="513" t="s">
        <v>3777</v>
      </c>
      <c r="D58" s="494">
        <v>33250000</v>
      </c>
      <c r="E58" s="494">
        <v>25895585</v>
      </c>
      <c r="F58" s="495">
        <v>77.881458646616537</v>
      </c>
      <c r="G58" s="494">
        <v>7354415</v>
      </c>
      <c r="H58" s="496">
        <v>22.11854135338346</v>
      </c>
    </row>
    <row r="59" spans="3:10" ht="17.100000000000001" customHeight="1">
      <c r="C59" s="493" t="s">
        <v>3796</v>
      </c>
      <c r="D59" s="494">
        <v>12875804000</v>
      </c>
      <c r="E59" s="494">
        <v>7649059591</v>
      </c>
      <c r="F59" s="495">
        <v>59.40646184890668</v>
      </c>
      <c r="G59" s="494">
        <v>5226744409</v>
      </c>
      <c r="H59" s="496">
        <v>40.59353815109332</v>
      </c>
      <c r="I59" s="476"/>
      <c r="J59" s="161"/>
    </row>
    <row r="60" spans="3:10" ht="17.100000000000001" customHeight="1">
      <c r="C60" s="493" t="s">
        <v>3797</v>
      </c>
      <c r="D60" s="494">
        <v>4293304000</v>
      </c>
      <c r="E60" s="494">
        <v>2709414993</v>
      </c>
      <c r="F60" s="495">
        <v>63.107923245127765</v>
      </c>
      <c r="G60" s="494">
        <v>1583889007</v>
      </c>
      <c r="H60" s="496">
        <v>36.892076754872235</v>
      </c>
    </row>
    <row r="61" spans="3:10" ht="17.100000000000001" customHeight="1">
      <c r="C61" s="497" t="s">
        <v>528</v>
      </c>
      <c r="D61" s="498">
        <v>17357000</v>
      </c>
      <c r="E61" s="498">
        <v>13647358</v>
      </c>
      <c r="F61" s="499">
        <v>78.627401048568302</v>
      </c>
      <c r="G61" s="498">
        <v>3709642</v>
      </c>
      <c r="H61" s="500">
        <v>21.372598951431698</v>
      </c>
    </row>
    <row r="62" spans="3:10" ht="18.75">
      <c r="C62" s="501" t="s">
        <v>531</v>
      </c>
      <c r="D62" s="502">
        <v>17357000</v>
      </c>
      <c r="E62" s="502">
        <v>13647358</v>
      </c>
      <c r="F62" s="503">
        <v>78.627401048568302</v>
      </c>
      <c r="G62" s="502">
        <v>3709642</v>
      </c>
      <c r="H62" s="504">
        <v>21.372598951431698</v>
      </c>
    </row>
    <row r="63" spans="3:10" ht="17.100000000000001" customHeight="1">
      <c r="C63" s="493" t="s">
        <v>3818</v>
      </c>
      <c r="D63" s="494">
        <v>17357000</v>
      </c>
      <c r="E63" s="494">
        <v>13647358</v>
      </c>
      <c r="F63" s="495">
        <v>78.627401048568302</v>
      </c>
      <c r="G63" s="494">
        <v>3709642</v>
      </c>
      <c r="H63" s="496">
        <v>21.372598951431698</v>
      </c>
    </row>
    <row r="64" spans="3:10" ht="18.75">
      <c r="C64" s="505" t="s">
        <v>3817</v>
      </c>
      <c r="D64" s="506">
        <v>17357000</v>
      </c>
      <c r="E64" s="506">
        <v>13647358</v>
      </c>
      <c r="F64" s="507">
        <v>78.627401048568302</v>
      </c>
      <c r="G64" s="506">
        <v>3709642</v>
      </c>
      <c r="H64" s="508">
        <v>21.372598951431698</v>
      </c>
    </row>
    <row r="65" spans="3:8" ht="17.100000000000001" customHeight="1">
      <c r="C65" s="509" t="s">
        <v>3822</v>
      </c>
      <c r="D65" s="510">
        <v>17357000</v>
      </c>
      <c r="E65" s="510">
        <v>13647358</v>
      </c>
      <c r="F65" s="511">
        <v>78.627401048568302</v>
      </c>
      <c r="G65" s="510">
        <v>3709642</v>
      </c>
      <c r="H65" s="512">
        <v>21.372598951431698</v>
      </c>
    </row>
    <row r="66" spans="3:8" ht="17.100000000000001" customHeight="1">
      <c r="C66" s="513" t="s">
        <v>3773</v>
      </c>
      <c r="D66" s="494">
        <v>4000000</v>
      </c>
      <c r="E66" s="494">
        <v>3999200</v>
      </c>
      <c r="F66" s="495">
        <v>99.98</v>
      </c>
      <c r="G66" s="494">
        <v>800</v>
      </c>
      <c r="H66" s="496">
        <v>0.02</v>
      </c>
    </row>
    <row r="67" spans="3:8" ht="17.100000000000001" customHeight="1">
      <c r="C67" s="513" t="s">
        <v>3786</v>
      </c>
      <c r="D67" s="494">
        <v>4298000</v>
      </c>
      <c r="E67" s="494">
        <v>4297458</v>
      </c>
      <c r="F67" s="495">
        <v>99.987389483480698</v>
      </c>
      <c r="G67" s="494">
        <v>542</v>
      </c>
      <c r="H67" s="496">
        <v>1.2610516519311306E-2</v>
      </c>
    </row>
    <row r="68" spans="3:8" ht="17.100000000000001" customHeight="1">
      <c r="C68" s="513" t="s">
        <v>3777</v>
      </c>
      <c r="D68" s="494">
        <v>9059000</v>
      </c>
      <c r="E68" s="494">
        <v>5350700</v>
      </c>
      <c r="F68" s="495">
        <v>59.065018213930898</v>
      </c>
      <c r="G68" s="494">
        <v>3708300</v>
      </c>
      <c r="H68" s="496">
        <v>40.934981786069102</v>
      </c>
    </row>
    <row r="69" spans="3:8" ht="17.100000000000001" customHeight="1">
      <c r="C69" s="497" t="s">
        <v>524</v>
      </c>
      <c r="D69" s="498">
        <v>193769000</v>
      </c>
      <c r="E69" s="498">
        <v>139623590</v>
      </c>
      <c r="F69" s="499">
        <v>72.056722179502401</v>
      </c>
      <c r="G69" s="498">
        <v>54145410</v>
      </c>
      <c r="H69" s="500">
        <v>27.943277820497602</v>
      </c>
    </row>
    <row r="70" spans="3:8" ht="18.75">
      <c r="C70" s="501" t="s">
        <v>525</v>
      </c>
      <c r="D70" s="502">
        <v>83506000</v>
      </c>
      <c r="E70" s="502">
        <v>80472590</v>
      </c>
      <c r="F70" s="503">
        <v>96.367434675352669</v>
      </c>
      <c r="G70" s="502">
        <v>3033410</v>
      </c>
      <c r="H70" s="504">
        <v>3.6325653246473308</v>
      </c>
    </row>
    <row r="71" spans="3:8" ht="17.100000000000001" customHeight="1">
      <c r="C71" s="493" t="s">
        <v>3818</v>
      </c>
      <c r="D71" s="494">
        <v>83506000</v>
      </c>
      <c r="E71" s="494">
        <v>80472590</v>
      </c>
      <c r="F71" s="495">
        <v>96.367434675352669</v>
      </c>
      <c r="G71" s="494">
        <v>3033410</v>
      </c>
      <c r="H71" s="496">
        <v>3.6325653246473308</v>
      </c>
    </row>
    <row r="72" spans="3:8" ht="18.75">
      <c r="C72" s="505" t="s">
        <v>3817</v>
      </c>
      <c r="D72" s="506">
        <v>83506000</v>
      </c>
      <c r="E72" s="506">
        <v>80472590</v>
      </c>
      <c r="F72" s="507">
        <v>96.367434675352669</v>
      </c>
      <c r="G72" s="506">
        <v>3033410</v>
      </c>
      <c r="H72" s="508">
        <v>3.6325653246473308</v>
      </c>
    </row>
    <row r="73" spans="3:8" ht="17.100000000000001" customHeight="1">
      <c r="C73" s="509" t="s">
        <v>3823</v>
      </c>
      <c r="D73" s="510">
        <v>83506000</v>
      </c>
      <c r="E73" s="510">
        <v>80472590</v>
      </c>
      <c r="F73" s="511">
        <v>96.367434675352669</v>
      </c>
      <c r="G73" s="510">
        <v>3033410</v>
      </c>
      <c r="H73" s="512">
        <v>3.6325653246473308</v>
      </c>
    </row>
    <row r="74" spans="3:8" ht="17.100000000000001" customHeight="1">
      <c r="C74" s="513" t="s">
        <v>3773</v>
      </c>
      <c r="D74" s="494">
        <v>12550000</v>
      </c>
      <c r="E74" s="494">
        <v>12517500</v>
      </c>
      <c r="F74" s="495">
        <v>99.741035856573703</v>
      </c>
      <c r="G74" s="494">
        <v>32500</v>
      </c>
      <c r="H74" s="496">
        <v>0.25896414342629481</v>
      </c>
    </row>
    <row r="75" spans="3:8" ht="17.100000000000001" customHeight="1">
      <c r="C75" s="513" t="s">
        <v>3786</v>
      </c>
      <c r="D75" s="494">
        <v>1192000</v>
      </c>
      <c r="E75" s="494">
        <v>1191418</v>
      </c>
      <c r="F75" s="495">
        <v>99.951174496644285</v>
      </c>
      <c r="G75" s="494">
        <v>582</v>
      </c>
      <c r="H75" s="496">
        <v>4.8825503355704701E-2</v>
      </c>
    </row>
    <row r="76" spans="3:8" ht="17.100000000000001" customHeight="1">
      <c r="C76" s="513" t="s">
        <v>3776</v>
      </c>
      <c r="D76" s="494">
        <v>9000000</v>
      </c>
      <c r="E76" s="494">
        <v>6000000</v>
      </c>
      <c r="F76" s="495">
        <v>66.666666666666657</v>
      </c>
      <c r="G76" s="494">
        <v>3000000</v>
      </c>
      <c r="H76" s="496">
        <v>33.333333333333329</v>
      </c>
    </row>
    <row r="77" spans="3:8" ht="17.100000000000001" customHeight="1">
      <c r="C77" s="513" t="s">
        <v>3777</v>
      </c>
      <c r="D77" s="494">
        <v>60764000</v>
      </c>
      <c r="E77" s="494">
        <v>60763672</v>
      </c>
      <c r="F77" s="495">
        <v>99.999460206701343</v>
      </c>
      <c r="G77" s="494">
        <v>328</v>
      </c>
      <c r="H77" s="496">
        <v>5.3979329866368244E-4</v>
      </c>
    </row>
    <row r="78" spans="3:8" ht="18.75">
      <c r="C78" s="501" t="s">
        <v>527</v>
      </c>
      <c r="D78" s="502">
        <v>110263000</v>
      </c>
      <c r="E78" s="502">
        <v>59151000</v>
      </c>
      <c r="F78" s="503">
        <v>53.64537514850857</v>
      </c>
      <c r="G78" s="502">
        <v>51112000</v>
      </c>
      <c r="H78" s="504">
        <v>46.35462485149143</v>
      </c>
    </row>
    <row r="79" spans="3:8" ht="17.100000000000001" customHeight="1">
      <c r="C79" s="493" t="s">
        <v>3818</v>
      </c>
      <c r="D79" s="494">
        <v>110263000</v>
      </c>
      <c r="E79" s="494">
        <v>59151000</v>
      </c>
      <c r="F79" s="495">
        <v>53.64537514850857</v>
      </c>
      <c r="G79" s="494">
        <v>51112000</v>
      </c>
      <c r="H79" s="496">
        <v>46.35462485149143</v>
      </c>
    </row>
    <row r="80" spans="3:8" ht="18.75">
      <c r="C80" s="505" t="s">
        <v>3817</v>
      </c>
      <c r="D80" s="506">
        <v>110263000</v>
      </c>
      <c r="E80" s="506">
        <v>59151000</v>
      </c>
      <c r="F80" s="507">
        <v>53.64537514850857</v>
      </c>
      <c r="G80" s="506">
        <v>51112000</v>
      </c>
      <c r="H80" s="508">
        <v>46.35462485149143</v>
      </c>
    </row>
    <row r="81" spans="3:8" ht="17.100000000000001" customHeight="1">
      <c r="C81" s="509" t="s">
        <v>3825</v>
      </c>
      <c r="D81" s="510">
        <v>110263000</v>
      </c>
      <c r="E81" s="510">
        <v>59151000</v>
      </c>
      <c r="F81" s="511">
        <v>53.64537514850857</v>
      </c>
      <c r="G81" s="510">
        <v>51112000</v>
      </c>
      <c r="H81" s="512">
        <v>46.35462485149143</v>
      </c>
    </row>
    <row r="82" spans="3:8" ht="17.100000000000001" customHeight="1">
      <c r="C82" s="513" t="s">
        <v>3773</v>
      </c>
      <c r="D82" s="494">
        <v>17550000</v>
      </c>
      <c r="E82" s="494">
        <v>9469000</v>
      </c>
      <c r="F82" s="495">
        <v>53.954415954415957</v>
      </c>
      <c r="G82" s="494">
        <v>8081000</v>
      </c>
      <c r="H82" s="496">
        <v>46.04558404558405</v>
      </c>
    </row>
    <row r="83" spans="3:8" ht="17.100000000000001" customHeight="1">
      <c r="C83" s="513" t="s">
        <v>3786</v>
      </c>
      <c r="D83" s="494">
        <v>27651000</v>
      </c>
      <c r="E83" s="494">
        <v>620000</v>
      </c>
      <c r="F83" s="495">
        <v>2.2422335539401832</v>
      </c>
      <c r="G83" s="494">
        <v>27031000</v>
      </c>
      <c r="H83" s="496">
        <v>97.757766446059819</v>
      </c>
    </row>
    <row r="84" spans="3:8" ht="17.100000000000001" customHeight="1">
      <c r="C84" s="513" t="s">
        <v>3776</v>
      </c>
      <c r="D84" s="494">
        <v>40000000</v>
      </c>
      <c r="E84" s="494">
        <v>24000000</v>
      </c>
      <c r="F84" s="495">
        <v>60</v>
      </c>
      <c r="G84" s="494">
        <v>16000000</v>
      </c>
      <c r="H84" s="496">
        <v>40</v>
      </c>
    </row>
    <row r="85" spans="3:8" ht="17.100000000000001" customHeight="1">
      <c r="C85" s="513" t="s">
        <v>3777</v>
      </c>
      <c r="D85" s="494">
        <v>25062000</v>
      </c>
      <c r="E85" s="494">
        <v>25062000</v>
      </c>
      <c r="F85" s="495">
        <v>100</v>
      </c>
      <c r="G85" s="494">
        <v>0</v>
      </c>
      <c r="H85" s="496">
        <v>0</v>
      </c>
    </row>
    <row r="86" spans="3:8" ht="17.100000000000001" customHeight="1">
      <c r="C86" s="497" t="s">
        <v>532</v>
      </c>
      <c r="D86" s="498">
        <v>463716000</v>
      </c>
      <c r="E86" s="498">
        <v>280902082</v>
      </c>
      <c r="F86" s="499">
        <v>60.576318695063357</v>
      </c>
      <c r="G86" s="498">
        <v>182813918</v>
      </c>
      <c r="H86" s="500">
        <v>39.423681304936643</v>
      </c>
    </row>
    <row r="87" spans="3:8" ht="18.75">
      <c r="C87" s="501" t="s">
        <v>570</v>
      </c>
      <c r="D87" s="502">
        <v>169798000</v>
      </c>
      <c r="E87" s="502">
        <v>122390956</v>
      </c>
      <c r="F87" s="503">
        <v>72.080328390204826</v>
      </c>
      <c r="G87" s="502">
        <v>47407044</v>
      </c>
      <c r="H87" s="504">
        <v>27.919671609795166</v>
      </c>
    </row>
    <row r="88" spans="3:8" ht="17.100000000000001" customHeight="1">
      <c r="C88" s="493" t="s">
        <v>3850</v>
      </c>
      <c r="D88" s="494">
        <v>169798000</v>
      </c>
      <c r="E88" s="494">
        <v>122390956</v>
      </c>
      <c r="F88" s="495">
        <v>72.080328390204826</v>
      </c>
      <c r="G88" s="494">
        <v>47407044</v>
      </c>
      <c r="H88" s="496">
        <v>27.919671609795166</v>
      </c>
    </row>
    <row r="89" spans="3:8" ht="18.75">
      <c r="C89" s="505" t="s">
        <v>3849</v>
      </c>
      <c r="D89" s="506">
        <v>119729000</v>
      </c>
      <c r="E89" s="506">
        <v>81542956</v>
      </c>
      <c r="F89" s="507">
        <v>68.106269993067684</v>
      </c>
      <c r="G89" s="506">
        <v>38186044</v>
      </c>
      <c r="H89" s="508">
        <v>31.893730006932326</v>
      </c>
    </row>
    <row r="90" spans="3:8" ht="17.100000000000001" customHeight="1">
      <c r="C90" s="509" t="s">
        <v>3801</v>
      </c>
      <c r="D90" s="510">
        <v>43789000</v>
      </c>
      <c r="E90" s="510">
        <v>10696028</v>
      </c>
      <c r="F90" s="511">
        <v>24.426289707460779</v>
      </c>
      <c r="G90" s="510">
        <v>33092972</v>
      </c>
      <c r="H90" s="512">
        <v>75.573710292539218</v>
      </c>
    </row>
    <row r="91" spans="3:8" ht="17.100000000000001" customHeight="1">
      <c r="C91" s="513" t="s">
        <v>3773</v>
      </c>
      <c r="D91" s="494">
        <v>23250000</v>
      </c>
      <c r="E91" s="494">
        <v>10196500</v>
      </c>
      <c r="F91" s="495">
        <v>43.855913978494627</v>
      </c>
      <c r="G91" s="494">
        <v>13053500</v>
      </c>
      <c r="H91" s="496">
        <v>56.14408602150538</v>
      </c>
    </row>
    <row r="92" spans="3:8" ht="17.100000000000001" customHeight="1">
      <c r="C92" s="513" t="s">
        <v>3786</v>
      </c>
      <c r="D92" s="494">
        <v>2000000</v>
      </c>
      <c r="E92" s="494">
        <v>499528</v>
      </c>
      <c r="F92" s="495">
        <v>24.976400000000002</v>
      </c>
      <c r="G92" s="494">
        <v>1500472</v>
      </c>
      <c r="H92" s="496">
        <v>75.023600000000002</v>
      </c>
    </row>
    <row r="93" spans="3:8" ht="17.100000000000001" customHeight="1">
      <c r="C93" s="513" t="s">
        <v>3777</v>
      </c>
      <c r="D93" s="494">
        <v>18539000</v>
      </c>
      <c r="E93" s="494">
        <v>0</v>
      </c>
      <c r="F93" s="495">
        <v>0</v>
      </c>
      <c r="G93" s="494">
        <v>18539000</v>
      </c>
      <c r="H93" s="496">
        <v>100</v>
      </c>
    </row>
    <row r="94" spans="3:8" ht="17.100000000000001" customHeight="1">
      <c r="C94" s="509" t="s">
        <v>3802</v>
      </c>
      <c r="D94" s="510">
        <v>75940000</v>
      </c>
      <c r="E94" s="510">
        <v>70846928</v>
      </c>
      <c r="F94" s="511">
        <v>93.293294706347112</v>
      </c>
      <c r="G94" s="510">
        <v>5093072</v>
      </c>
      <c r="H94" s="512">
        <v>6.7067052936528846</v>
      </c>
    </row>
    <row r="95" spans="3:8" ht="17.100000000000001" customHeight="1">
      <c r="C95" s="513" t="s">
        <v>3773</v>
      </c>
      <c r="D95" s="494">
        <v>13525000</v>
      </c>
      <c r="E95" s="494">
        <v>9519000</v>
      </c>
      <c r="F95" s="495">
        <v>70.380776340110913</v>
      </c>
      <c r="G95" s="494">
        <v>4006000</v>
      </c>
      <c r="H95" s="496">
        <v>29.619223659889094</v>
      </c>
    </row>
    <row r="96" spans="3:8" ht="17.100000000000001" customHeight="1">
      <c r="C96" s="513" t="s">
        <v>3786</v>
      </c>
      <c r="D96" s="494">
        <v>2000000</v>
      </c>
      <c r="E96" s="494">
        <v>913673</v>
      </c>
      <c r="F96" s="495">
        <v>45.68365</v>
      </c>
      <c r="G96" s="494">
        <v>1086327</v>
      </c>
      <c r="H96" s="496">
        <v>54.31635</v>
      </c>
    </row>
    <row r="97" spans="3:8" ht="17.100000000000001" customHeight="1">
      <c r="C97" s="513" t="s">
        <v>3777</v>
      </c>
      <c r="D97" s="494">
        <v>60415000</v>
      </c>
      <c r="E97" s="494">
        <v>60414255</v>
      </c>
      <c r="F97" s="495">
        <v>99.99876686253414</v>
      </c>
      <c r="G97" s="494">
        <v>745</v>
      </c>
      <c r="H97" s="496">
        <v>1.2331374658611273E-3</v>
      </c>
    </row>
    <row r="98" spans="3:8" ht="18.75">
      <c r="C98" s="505" t="s">
        <v>3851</v>
      </c>
      <c r="D98" s="506">
        <v>50069000</v>
      </c>
      <c r="E98" s="506">
        <v>40848000</v>
      </c>
      <c r="F98" s="507">
        <v>81.583414887455305</v>
      </c>
      <c r="G98" s="506">
        <v>9221000</v>
      </c>
      <c r="H98" s="508">
        <v>18.416585112544688</v>
      </c>
    </row>
    <row r="99" spans="3:8" ht="17.100000000000001" customHeight="1">
      <c r="C99" s="509" t="s">
        <v>3852</v>
      </c>
      <c r="D99" s="510">
        <v>50069000</v>
      </c>
      <c r="E99" s="510">
        <v>40848000</v>
      </c>
      <c r="F99" s="511">
        <v>81.583414887455305</v>
      </c>
      <c r="G99" s="510">
        <v>9221000</v>
      </c>
      <c r="H99" s="512">
        <v>18.416585112544688</v>
      </c>
    </row>
    <row r="100" spans="3:8" ht="17.100000000000001" customHeight="1">
      <c r="C100" s="513" t="s">
        <v>3773</v>
      </c>
      <c r="D100" s="494">
        <v>17900000</v>
      </c>
      <c r="E100" s="494">
        <v>11269000</v>
      </c>
      <c r="F100" s="495">
        <v>62.955307262569839</v>
      </c>
      <c r="G100" s="494">
        <v>6631000</v>
      </c>
      <c r="H100" s="496">
        <v>37.044692737430168</v>
      </c>
    </row>
    <row r="101" spans="3:8" ht="17.100000000000001" customHeight="1">
      <c r="C101" s="513" t="s">
        <v>3786</v>
      </c>
      <c r="D101" s="494">
        <v>2000000</v>
      </c>
      <c r="E101" s="494">
        <v>0</v>
      </c>
      <c r="F101" s="495">
        <v>0</v>
      </c>
      <c r="G101" s="494">
        <v>2000000</v>
      </c>
      <c r="H101" s="496">
        <v>100</v>
      </c>
    </row>
    <row r="102" spans="3:8" ht="17.100000000000001" customHeight="1">
      <c r="C102" s="513" t="s">
        <v>3777</v>
      </c>
      <c r="D102" s="494">
        <v>30169000</v>
      </c>
      <c r="E102" s="494">
        <v>29579000</v>
      </c>
      <c r="F102" s="495">
        <v>98.044350160761056</v>
      </c>
      <c r="G102" s="494">
        <v>590000</v>
      </c>
      <c r="H102" s="496">
        <v>1.9556498392389539</v>
      </c>
    </row>
    <row r="103" spans="3:8" ht="18.75">
      <c r="C103" s="501" t="s">
        <v>533</v>
      </c>
      <c r="D103" s="502">
        <v>293918000</v>
      </c>
      <c r="E103" s="502">
        <v>158511126</v>
      </c>
      <c r="F103" s="503">
        <v>53.930390789267754</v>
      </c>
      <c r="G103" s="502">
        <v>135406874</v>
      </c>
      <c r="H103" s="504">
        <v>46.069609210732246</v>
      </c>
    </row>
    <row r="104" spans="3:8" ht="17.100000000000001" customHeight="1">
      <c r="C104" s="493" t="s">
        <v>3816</v>
      </c>
      <c r="D104" s="494">
        <v>113346000</v>
      </c>
      <c r="E104" s="494">
        <v>31752750</v>
      </c>
      <c r="F104" s="495">
        <v>28.014001376316767</v>
      </c>
      <c r="G104" s="494">
        <v>81593250</v>
      </c>
      <c r="H104" s="496">
        <v>71.98599862368323</v>
      </c>
    </row>
    <row r="105" spans="3:8" ht="18.75">
      <c r="C105" s="505" t="s">
        <v>3815</v>
      </c>
      <c r="D105" s="506">
        <v>113346000</v>
      </c>
      <c r="E105" s="506">
        <v>31752750</v>
      </c>
      <c r="F105" s="507">
        <v>28.014001376316767</v>
      </c>
      <c r="G105" s="506">
        <v>81593250</v>
      </c>
      <c r="H105" s="508">
        <v>71.98599862368323</v>
      </c>
    </row>
    <row r="106" spans="3:8" ht="17.100000000000001" customHeight="1">
      <c r="C106" s="509" t="s">
        <v>3814</v>
      </c>
      <c r="D106" s="510">
        <v>113346000</v>
      </c>
      <c r="E106" s="510">
        <v>31752750</v>
      </c>
      <c r="F106" s="511">
        <v>28.014001376316767</v>
      </c>
      <c r="G106" s="510">
        <v>81593250</v>
      </c>
      <c r="H106" s="512">
        <v>71.98599862368323</v>
      </c>
    </row>
    <row r="107" spans="3:8" ht="17.100000000000001" customHeight="1">
      <c r="C107" s="513" t="s">
        <v>3773</v>
      </c>
      <c r="D107" s="494">
        <v>12400000</v>
      </c>
      <c r="E107" s="494">
        <v>6915400</v>
      </c>
      <c r="F107" s="495">
        <v>55.769354838709674</v>
      </c>
      <c r="G107" s="494">
        <v>5484600</v>
      </c>
      <c r="H107" s="496">
        <v>44.230645161290319</v>
      </c>
    </row>
    <row r="108" spans="3:8" ht="17.100000000000001" customHeight="1">
      <c r="C108" s="513" t="s">
        <v>3791</v>
      </c>
      <c r="D108" s="494">
        <v>10000000</v>
      </c>
      <c r="E108" s="494">
        <v>5329750</v>
      </c>
      <c r="F108" s="495">
        <v>53.297499999999999</v>
      </c>
      <c r="G108" s="494">
        <v>4670250</v>
      </c>
      <c r="H108" s="496">
        <v>46.702500000000001</v>
      </c>
    </row>
    <row r="109" spans="3:8" ht="17.100000000000001" customHeight="1">
      <c r="C109" s="513" t="s">
        <v>3777</v>
      </c>
      <c r="D109" s="494">
        <v>90946000</v>
      </c>
      <c r="E109" s="494">
        <v>19507600</v>
      </c>
      <c r="F109" s="495">
        <v>21.449651441514746</v>
      </c>
      <c r="G109" s="494">
        <v>71438400</v>
      </c>
      <c r="H109" s="496">
        <v>78.550348558485254</v>
      </c>
    </row>
    <row r="110" spans="3:8" ht="17.100000000000001" customHeight="1">
      <c r="C110" s="493" t="s">
        <v>3844</v>
      </c>
      <c r="D110" s="494">
        <v>180572000</v>
      </c>
      <c r="E110" s="494">
        <v>126758376</v>
      </c>
      <c r="F110" s="495">
        <v>70.198245575172237</v>
      </c>
      <c r="G110" s="494">
        <v>53813624</v>
      </c>
      <c r="H110" s="496">
        <v>29.80175442482777</v>
      </c>
    </row>
    <row r="111" spans="3:8" ht="18.75">
      <c r="C111" s="505" t="s">
        <v>3845</v>
      </c>
      <c r="D111" s="506">
        <v>180572000</v>
      </c>
      <c r="E111" s="506">
        <v>126758376</v>
      </c>
      <c r="F111" s="507">
        <v>70.198245575172237</v>
      </c>
      <c r="G111" s="506">
        <v>53813624</v>
      </c>
      <c r="H111" s="508">
        <v>29.80175442482777</v>
      </c>
    </row>
    <row r="112" spans="3:8" ht="17.100000000000001" customHeight="1">
      <c r="C112" s="509" t="s">
        <v>3846</v>
      </c>
      <c r="D112" s="510">
        <v>22164000</v>
      </c>
      <c r="E112" s="510">
        <v>16658945</v>
      </c>
      <c r="F112" s="511">
        <v>75.162177404800573</v>
      </c>
      <c r="G112" s="510">
        <v>5505055</v>
      </c>
      <c r="H112" s="512">
        <v>24.83782259519942</v>
      </c>
    </row>
    <row r="113" spans="3:10" ht="17.100000000000001" customHeight="1">
      <c r="C113" s="513" t="s">
        <v>3773</v>
      </c>
      <c r="D113" s="494">
        <v>6000000</v>
      </c>
      <c r="E113" s="494">
        <v>4448550</v>
      </c>
      <c r="F113" s="495">
        <v>74.142499999999998</v>
      </c>
      <c r="G113" s="494">
        <v>1551450</v>
      </c>
      <c r="H113" s="496">
        <v>25.857500000000002</v>
      </c>
    </row>
    <row r="114" spans="3:10" ht="17.100000000000001" customHeight="1">
      <c r="C114" s="513" t="s">
        <v>3786</v>
      </c>
      <c r="D114" s="494">
        <v>1000000</v>
      </c>
      <c r="E114" s="494">
        <v>702895</v>
      </c>
      <c r="F114" s="495">
        <v>70.289500000000004</v>
      </c>
      <c r="G114" s="494">
        <v>297105</v>
      </c>
      <c r="H114" s="496">
        <v>29.7105</v>
      </c>
    </row>
    <row r="115" spans="3:10" ht="17.100000000000001" customHeight="1">
      <c r="C115" s="513" t="s">
        <v>3791</v>
      </c>
      <c r="D115" s="494">
        <v>10000000</v>
      </c>
      <c r="E115" s="494">
        <v>6344000</v>
      </c>
      <c r="F115" s="495">
        <v>63.44</v>
      </c>
      <c r="G115" s="494">
        <v>3656000</v>
      </c>
      <c r="H115" s="496">
        <v>36.559999999999995</v>
      </c>
    </row>
    <row r="116" spans="3:10" ht="17.100000000000001" customHeight="1">
      <c r="C116" s="513" t="s">
        <v>3777</v>
      </c>
      <c r="D116" s="494">
        <v>5164000</v>
      </c>
      <c r="E116" s="494">
        <v>5163500</v>
      </c>
      <c r="F116" s="495">
        <v>99.990317583268791</v>
      </c>
      <c r="G116" s="494">
        <v>500</v>
      </c>
      <c r="H116" s="496">
        <v>9.6824167312161129E-3</v>
      </c>
    </row>
    <row r="117" spans="3:10" ht="17.100000000000001" customHeight="1">
      <c r="C117" s="509" t="s">
        <v>3847</v>
      </c>
      <c r="D117" s="510">
        <v>78000000</v>
      </c>
      <c r="E117" s="510">
        <v>37606531</v>
      </c>
      <c r="F117" s="511">
        <v>48.213501282051283</v>
      </c>
      <c r="G117" s="510">
        <v>40393469</v>
      </c>
      <c r="H117" s="512">
        <v>51.786498717948717</v>
      </c>
    </row>
    <row r="118" spans="3:10" ht="17.100000000000001" customHeight="1">
      <c r="C118" s="513" t="s">
        <v>3773</v>
      </c>
      <c r="D118" s="494">
        <v>12000000</v>
      </c>
      <c r="E118" s="494">
        <v>7434850</v>
      </c>
      <c r="F118" s="495">
        <v>61.95708333333333</v>
      </c>
      <c r="G118" s="494">
        <v>4565150</v>
      </c>
      <c r="H118" s="496">
        <v>38.042916666666663</v>
      </c>
    </row>
    <row r="119" spans="3:10" ht="17.100000000000001" customHeight="1">
      <c r="C119" s="513" t="s">
        <v>3786</v>
      </c>
      <c r="D119" s="494">
        <v>1000000</v>
      </c>
      <c r="E119" s="494">
        <v>358831</v>
      </c>
      <c r="F119" s="495">
        <v>35.883099999999999</v>
      </c>
      <c r="G119" s="494">
        <v>641169</v>
      </c>
      <c r="H119" s="496">
        <v>64.116900000000001</v>
      </c>
    </row>
    <row r="120" spans="3:10" ht="17.100000000000001" customHeight="1">
      <c r="C120" s="513" t="s">
        <v>3791</v>
      </c>
      <c r="D120" s="494">
        <v>20000000</v>
      </c>
      <c r="E120" s="494">
        <v>12648000</v>
      </c>
      <c r="F120" s="495">
        <v>63.239999999999995</v>
      </c>
      <c r="G120" s="494">
        <v>7352000</v>
      </c>
      <c r="H120" s="496">
        <v>36.76</v>
      </c>
    </row>
    <row r="121" spans="3:10" ht="17.100000000000001" customHeight="1">
      <c r="C121" s="513" t="s">
        <v>3777</v>
      </c>
      <c r="D121" s="494">
        <v>45000000</v>
      </c>
      <c r="E121" s="494">
        <v>17164850</v>
      </c>
      <c r="F121" s="495">
        <v>38.144111111111116</v>
      </c>
      <c r="G121" s="494">
        <v>27835150</v>
      </c>
      <c r="H121" s="496">
        <v>61.855888888888884</v>
      </c>
    </row>
    <row r="122" spans="3:10" ht="17.100000000000001" customHeight="1">
      <c r="C122" s="509" t="s">
        <v>3848</v>
      </c>
      <c r="D122" s="510">
        <v>80408000</v>
      </c>
      <c r="E122" s="510">
        <v>72492900</v>
      </c>
      <c r="F122" s="511">
        <v>90.156327728584216</v>
      </c>
      <c r="G122" s="510">
        <v>7915100</v>
      </c>
      <c r="H122" s="512">
        <v>9.8436722714157785</v>
      </c>
      <c r="I122" s="476"/>
      <c r="J122" s="161"/>
    </row>
    <row r="123" spans="3:10" ht="17.100000000000001" customHeight="1">
      <c r="C123" s="513" t="s">
        <v>3773</v>
      </c>
      <c r="D123" s="494">
        <v>21000000</v>
      </c>
      <c r="E123" s="494">
        <v>19309350</v>
      </c>
      <c r="F123" s="495">
        <v>91.949285714285708</v>
      </c>
      <c r="G123" s="494">
        <v>1690650</v>
      </c>
      <c r="H123" s="496">
        <v>8.0507142857142853</v>
      </c>
    </row>
    <row r="124" spans="3:10" ht="17.100000000000001" customHeight="1">
      <c r="C124" s="513" t="s">
        <v>3791</v>
      </c>
      <c r="D124" s="494">
        <v>17500000</v>
      </c>
      <c r="E124" s="494">
        <v>11275750</v>
      </c>
      <c r="F124" s="495">
        <v>64.432857142857145</v>
      </c>
      <c r="G124" s="494">
        <v>6224250</v>
      </c>
      <c r="H124" s="496">
        <v>35.567142857142855</v>
      </c>
    </row>
    <row r="125" spans="3:10" ht="17.100000000000001" customHeight="1">
      <c r="C125" s="513" t="s">
        <v>3777</v>
      </c>
      <c r="D125" s="494">
        <v>41908000</v>
      </c>
      <c r="E125" s="494">
        <v>41907800</v>
      </c>
      <c r="F125" s="495">
        <v>99.999522764150043</v>
      </c>
      <c r="G125" s="494">
        <v>200</v>
      </c>
      <c r="H125" s="496">
        <v>4.7723584995704876E-4</v>
      </c>
    </row>
    <row r="126" spans="3:10" ht="17.100000000000001" customHeight="1">
      <c r="C126" s="497" t="s">
        <v>565</v>
      </c>
      <c r="D126" s="498">
        <v>3618462000</v>
      </c>
      <c r="E126" s="498">
        <v>2275241963</v>
      </c>
      <c r="F126" s="499">
        <v>62.878702691917177</v>
      </c>
      <c r="G126" s="498">
        <v>1343220037</v>
      </c>
      <c r="H126" s="500">
        <v>37.121297308082831</v>
      </c>
    </row>
    <row r="127" spans="3:10" ht="18.75">
      <c r="C127" s="501" t="s">
        <v>535</v>
      </c>
      <c r="D127" s="502">
        <v>197920000</v>
      </c>
      <c r="E127" s="502">
        <v>152682520</v>
      </c>
      <c r="F127" s="503">
        <v>77.143552950687138</v>
      </c>
      <c r="G127" s="502">
        <v>45237480</v>
      </c>
      <c r="H127" s="504">
        <v>22.856447049312852</v>
      </c>
    </row>
    <row r="128" spans="3:10" ht="17.100000000000001" customHeight="1">
      <c r="C128" s="493" t="s">
        <v>3853</v>
      </c>
      <c r="D128" s="494">
        <v>197920000</v>
      </c>
      <c r="E128" s="494">
        <v>152682520</v>
      </c>
      <c r="F128" s="495">
        <v>77.143552950687138</v>
      </c>
      <c r="G128" s="494">
        <v>45237480</v>
      </c>
      <c r="H128" s="496">
        <v>22.856447049312852</v>
      </c>
    </row>
    <row r="129" spans="3:8" ht="18.75">
      <c r="C129" s="505" t="s">
        <v>3854</v>
      </c>
      <c r="D129" s="506">
        <v>197920000</v>
      </c>
      <c r="E129" s="506">
        <v>152682520</v>
      </c>
      <c r="F129" s="507">
        <v>77.143552950687138</v>
      </c>
      <c r="G129" s="506">
        <v>45237480</v>
      </c>
      <c r="H129" s="508">
        <v>22.856447049312852</v>
      </c>
    </row>
    <row r="130" spans="3:8" ht="17.100000000000001" customHeight="1">
      <c r="C130" s="509" t="s">
        <v>3855</v>
      </c>
      <c r="D130" s="510">
        <v>27102000</v>
      </c>
      <c r="E130" s="510">
        <v>25522552</v>
      </c>
      <c r="F130" s="511">
        <v>94.172208693085381</v>
      </c>
      <c r="G130" s="510">
        <v>1579448</v>
      </c>
      <c r="H130" s="512">
        <v>5.8277913069146186</v>
      </c>
    </row>
    <row r="131" spans="3:8" ht="17.100000000000001" customHeight="1">
      <c r="C131" s="513" t="s">
        <v>3773</v>
      </c>
      <c r="D131" s="494">
        <v>18400000</v>
      </c>
      <c r="E131" s="494">
        <v>16821000</v>
      </c>
      <c r="F131" s="495">
        <v>91.418478260869563</v>
      </c>
      <c r="G131" s="494">
        <v>1579000</v>
      </c>
      <c r="H131" s="496">
        <v>8.5815217391304355</v>
      </c>
    </row>
    <row r="132" spans="3:8" ht="17.100000000000001" customHeight="1">
      <c r="C132" s="513" t="s">
        <v>3777</v>
      </c>
      <c r="D132" s="494">
        <v>8702000</v>
      </c>
      <c r="E132" s="494">
        <v>8701552</v>
      </c>
      <c r="F132" s="495">
        <v>99.994851758216498</v>
      </c>
      <c r="G132" s="494">
        <v>448</v>
      </c>
      <c r="H132" s="496">
        <v>5.1482417834980464E-3</v>
      </c>
    </row>
    <row r="133" spans="3:8" ht="17.100000000000001" customHeight="1">
      <c r="C133" s="509" t="s">
        <v>3856</v>
      </c>
      <c r="D133" s="510">
        <v>12850000</v>
      </c>
      <c r="E133" s="510">
        <v>7794000</v>
      </c>
      <c r="F133" s="511">
        <v>60.653696498054479</v>
      </c>
      <c r="G133" s="510">
        <v>5056000</v>
      </c>
      <c r="H133" s="512">
        <v>39.346303501945521</v>
      </c>
    </row>
    <row r="134" spans="3:8" ht="17.100000000000001" customHeight="1">
      <c r="C134" s="513" t="s">
        <v>3773</v>
      </c>
      <c r="D134" s="494">
        <v>7500000</v>
      </c>
      <c r="E134" s="494">
        <v>4944000</v>
      </c>
      <c r="F134" s="495">
        <v>65.92</v>
      </c>
      <c r="G134" s="494">
        <v>2556000</v>
      </c>
      <c r="H134" s="496">
        <v>34.08</v>
      </c>
    </row>
    <row r="135" spans="3:8" ht="17.100000000000001" customHeight="1">
      <c r="C135" s="513" t="s">
        <v>3777</v>
      </c>
      <c r="D135" s="494">
        <v>5350000</v>
      </c>
      <c r="E135" s="494">
        <v>2850000</v>
      </c>
      <c r="F135" s="495">
        <v>53.271028037383175</v>
      </c>
      <c r="G135" s="494">
        <v>2500000</v>
      </c>
      <c r="H135" s="496">
        <v>46.728971962616825</v>
      </c>
    </row>
    <row r="136" spans="3:8" ht="17.100000000000001" customHeight="1">
      <c r="C136" s="509" t="s">
        <v>3857</v>
      </c>
      <c r="D136" s="510">
        <v>7500000</v>
      </c>
      <c r="E136" s="510">
        <v>7467500</v>
      </c>
      <c r="F136" s="511">
        <v>99.566666666666663</v>
      </c>
      <c r="G136" s="510">
        <v>32500</v>
      </c>
      <c r="H136" s="512">
        <v>0.43333333333333329</v>
      </c>
    </row>
    <row r="137" spans="3:8" ht="17.100000000000001" customHeight="1">
      <c r="C137" s="513" t="s">
        <v>3773</v>
      </c>
      <c r="D137" s="494">
        <v>7500000</v>
      </c>
      <c r="E137" s="494">
        <v>7467500</v>
      </c>
      <c r="F137" s="495">
        <v>99.566666666666663</v>
      </c>
      <c r="G137" s="494">
        <v>32500</v>
      </c>
      <c r="H137" s="496">
        <v>0.43333333333333329</v>
      </c>
    </row>
    <row r="138" spans="3:8" ht="17.100000000000001" customHeight="1">
      <c r="C138" s="509" t="s">
        <v>3858</v>
      </c>
      <c r="D138" s="510">
        <v>34635000</v>
      </c>
      <c r="E138" s="510">
        <v>33099468</v>
      </c>
      <c r="F138" s="511">
        <v>95.566530965786058</v>
      </c>
      <c r="G138" s="510">
        <v>1535532</v>
      </c>
      <c r="H138" s="512">
        <v>4.4334690342139451</v>
      </c>
    </row>
    <row r="139" spans="3:8" ht="17.100000000000001" customHeight="1">
      <c r="C139" s="513" t="s">
        <v>3773</v>
      </c>
      <c r="D139" s="494">
        <v>14000000</v>
      </c>
      <c r="E139" s="494">
        <v>12465000</v>
      </c>
      <c r="F139" s="495">
        <v>89.035714285714278</v>
      </c>
      <c r="G139" s="494">
        <v>1535000</v>
      </c>
      <c r="H139" s="496">
        <v>10.964285714285714</v>
      </c>
    </row>
    <row r="140" spans="3:8" ht="17.100000000000001" customHeight="1">
      <c r="C140" s="513" t="s">
        <v>3777</v>
      </c>
      <c r="D140" s="494">
        <v>20635000</v>
      </c>
      <c r="E140" s="494">
        <v>20634468</v>
      </c>
      <c r="F140" s="495">
        <v>99.997421856069778</v>
      </c>
      <c r="G140" s="494">
        <v>532</v>
      </c>
      <c r="H140" s="496">
        <v>2.578143930215653E-3</v>
      </c>
    </row>
    <row r="141" spans="3:8" ht="17.100000000000001" customHeight="1">
      <c r="C141" s="509" t="s">
        <v>3859</v>
      </c>
      <c r="D141" s="510">
        <v>7500000</v>
      </c>
      <c r="E141" s="510">
        <v>4944000</v>
      </c>
      <c r="F141" s="511">
        <v>65.92</v>
      </c>
      <c r="G141" s="510">
        <v>2556000</v>
      </c>
      <c r="H141" s="512">
        <v>34.08</v>
      </c>
    </row>
    <row r="142" spans="3:8" ht="17.100000000000001" customHeight="1">
      <c r="C142" s="513" t="s">
        <v>3773</v>
      </c>
      <c r="D142" s="494">
        <v>7500000</v>
      </c>
      <c r="E142" s="494">
        <v>4944000</v>
      </c>
      <c r="F142" s="495">
        <v>65.92</v>
      </c>
      <c r="G142" s="494">
        <v>2556000</v>
      </c>
      <c r="H142" s="496">
        <v>34.08</v>
      </c>
    </row>
    <row r="143" spans="3:8" ht="17.100000000000001" customHeight="1">
      <c r="C143" s="509" t="s">
        <v>3860</v>
      </c>
      <c r="D143" s="510">
        <v>108333000</v>
      </c>
      <c r="E143" s="510">
        <v>73855000</v>
      </c>
      <c r="F143" s="511">
        <v>68.174055920172066</v>
      </c>
      <c r="G143" s="510">
        <v>34478000</v>
      </c>
      <c r="H143" s="512">
        <v>31.825944079827938</v>
      </c>
    </row>
    <row r="144" spans="3:8" ht="17.100000000000001" customHeight="1">
      <c r="C144" s="513" t="s">
        <v>3773</v>
      </c>
      <c r="D144" s="494">
        <v>4800000</v>
      </c>
      <c r="E144" s="494">
        <v>575000</v>
      </c>
      <c r="F144" s="495">
        <v>11.979166666666668</v>
      </c>
      <c r="G144" s="494">
        <v>4225000</v>
      </c>
      <c r="H144" s="496">
        <v>88.020833333333343</v>
      </c>
    </row>
    <row r="145" spans="3:10" ht="17.100000000000001" customHeight="1">
      <c r="C145" s="513" t="s">
        <v>3791</v>
      </c>
      <c r="D145" s="494">
        <v>27500000</v>
      </c>
      <c r="E145" s="494">
        <v>14900000</v>
      </c>
      <c r="F145" s="495">
        <v>54.181818181818187</v>
      </c>
      <c r="G145" s="494">
        <v>12600000</v>
      </c>
      <c r="H145" s="496">
        <v>45.81818181818182</v>
      </c>
    </row>
    <row r="146" spans="3:10" ht="17.100000000000001" customHeight="1">
      <c r="C146" s="513" t="s">
        <v>3777</v>
      </c>
      <c r="D146" s="494">
        <v>76033000</v>
      </c>
      <c r="E146" s="494">
        <v>58380000</v>
      </c>
      <c r="F146" s="495">
        <v>76.782449725776971</v>
      </c>
      <c r="G146" s="494">
        <v>17653000</v>
      </c>
      <c r="H146" s="496">
        <v>23.217550274223033</v>
      </c>
    </row>
    <row r="147" spans="3:10" ht="18.75">
      <c r="C147" s="501" t="s">
        <v>549</v>
      </c>
      <c r="D147" s="502">
        <v>3420542000</v>
      </c>
      <c r="E147" s="502">
        <v>2122559443</v>
      </c>
      <c r="F147" s="503">
        <v>62.053307429056574</v>
      </c>
      <c r="G147" s="502">
        <v>1297982557</v>
      </c>
      <c r="H147" s="504">
        <v>37.946692570943434</v>
      </c>
    </row>
    <row r="148" spans="3:10" ht="17.100000000000001" customHeight="1">
      <c r="C148" s="493" t="s">
        <v>3809</v>
      </c>
      <c r="D148" s="494">
        <v>114200000</v>
      </c>
      <c r="E148" s="494">
        <v>114200000</v>
      </c>
      <c r="F148" s="495">
        <v>100</v>
      </c>
      <c r="G148" s="494">
        <v>0</v>
      </c>
      <c r="H148" s="496">
        <v>0</v>
      </c>
    </row>
    <row r="149" spans="3:10" ht="18.75">
      <c r="C149" s="505" t="s">
        <v>3811</v>
      </c>
      <c r="D149" s="506">
        <v>114200000</v>
      </c>
      <c r="E149" s="506">
        <v>114200000</v>
      </c>
      <c r="F149" s="507">
        <v>100</v>
      </c>
      <c r="G149" s="506">
        <v>0</v>
      </c>
      <c r="H149" s="508">
        <v>0</v>
      </c>
    </row>
    <row r="150" spans="3:10" ht="17.100000000000001" customHeight="1">
      <c r="C150" s="509" t="s">
        <v>3810</v>
      </c>
      <c r="D150" s="510">
        <v>114200000</v>
      </c>
      <c r="E150" s="510">
        <v>114200000</v>
      </c>
      <c r="F150" s="511">
        <v>100</v>
      </c>
      <c r="G150" s="510">
        <v>0</v>
      </c>
      <c r="H150" s="512">
        <v>0</v>
      </c>
    </row>
    <row r="151" spans="3:10" ht="17.100000000000001" customHeight="1">
      <c r="C151" s="513" t="s">
        <v>3780</v>
      </c>
      <c r="D151" s="494">
        <v>114200000</v>
      </c>
      <c r="E151" s="494">
        <v>114200000</v>
      </c>
      <c r="F151" s="495">
        <v>100</v>
      </c>
      <c r="G151" s="494">
        <v>0</v>
      </c>
      <c r="H151" s="496">
        <v>0</v>
      </c>
    </row>
    <row r="152" spans="3:10" ht="17.100000000000001" customHeight="1">
      <c r="C152" s="493" t="s">
        <v>3818</v>
      </c>
      <c r="D152" s="494">
        <v>670684000</v>
      </c>
      <c r="E152" s="494">
        <v>520657129</v>
      </c>
      <c r="F152" s="495">
        <v>77.630766351963061</v>
      </c>
      <c r="G152" s="494">
        <v>150026871</v>
      </c>
      <c r="H152" s="496">
        <v>22.369233648036928</v>
      </c>
    </row>
    <row r="153" spans="3:10" ht="18.75">
      <c r="C153" s="505" t="s">
        <v>3817</v>
      </c>
      <c r="D153" s="506">
        <v>670684000</v>
      </c>
      <c r="E153" s="506">
        <v>520657129</v>
      </c>
      <c r="F153" s="507">
        <v>77.630766351963061</v>
      </c>
      <c r="G153" s="506">
        <v>150026871</v>
      </c>
      <c r="H153" s="508">
        <v>22.369233648036928</v>
      </c>
    </row>
    <row r="154" spans="3:10" ht="17.100000000000001" customHeight="1">
      <c r="C154" s="509" t="s">
        <v>3798</v>
      </c>
      <c r="D154" s="510">
        <v>18739000</v>
      </c>
      <c r="E154" s="510">
        <v>18437300</v>
      </c>
      <c r="F154" s="511">
        <v>98.389988793425474</v>
      </c>
      <c r="G154" s="510">
        <v>301700</v>
      </c>
      <c r="H154" s="512">
        <v>1.6100112065745238</v>
      </c>
    </row>
    <row r="155" spans="3:10" ht="17.100000000000001" customHeight="1">
      <c r="C155" s="513" t="s">
        <v>3773</v>
      </c>
      <c r="D155" s="494">
        <v>5000000</v>
      </c>
      <c r="E155" s="494">
        <v>4998800</v>
      </c>
      <c r="F155" s="495">
        <v>99.975999999999999</v>
      </c>
      <c r="G155" s="494">
        <v>1200</v>
      </c>
      <c r="H155" s="496">
        <v>2.4E-2</v>
      </c>
    </row>
    <row r="156" spans="3:10" ht="17.100000000000001" customHeight="1">
      <c r="C156" s="513" t="s">
        <v>3777</v>
      </c>
      <c r="D156" s="494">
        <v>12989000</v>
      </c>
      <c r="E156" s="494">
        <v>12688500</v>
      </c>
      <c r="F156" s="495">
        <v>97.686503964893362</v>
      </c>
      <c r="G156" s="494">
        <v>300500</v>
      </c>
      <c r="H156" s="496">
        <v>2.3134960351066285</v>
      </c>
    </row>
    <row r="157" spans="3:10" ht="17.100000000000001" customHeight="1">
      <c r="C157" s="513" t="s">
        <v>505</v>
      </c>
      <c r="D157" s="494">
        <v>750000</v>
      </c>
      <c r="E157" s="494">
        <v>750000</v>
      </c>
      <c r="F157" s="495">
        <v>100</v>
      </c>
      <c r="G157" s="494">
        <v>0</v>
      </c>
      <c r="H157" s="496">
        <v>0</v>
      </c>
      <c r="I157" s="476"/>
      <c r="J157" s="161"/>
    </row>
    <row r="158" spans="3:10" ht="17.100000000000001" customHeight="1">
      <c r="C158" s="509" t="s">
        <v>3799</v>
      </c>
      <c r="D158" s="510">
        <v>385665000</v>
      </c>
      <c r="E158" s="510">
        <v>272977871</v>
      </c>
      <c r="F158" s="511">
        <v>70.781084879364215</v>
      </c>
      <c r="G158" s="510">
        <v>112687129</v>
      </c>
      <c r="H158" s="512">
        <v>29.218915120635785</v>
      </c>
    </row>
    <row r="159" spans="3:10" ht="17.100000000000001" customHeight="1">
      <c r="C159" s="513" t="s">
        <v>3773</v>
      </c>
      <c r="D159" s="494">
        <v>10000000</v>
      </c>
      <c r="E159" s="494">
        <v>7425000</v>
      </c>
      <c r="F159" s="495">
        <v>74.25</v>
      </c>
      <c r="G159" s="494">
        <v>2575000</v>
      </c>
      <c r="H159" s="496">
        <v>25.75</v>
      </c>
    </row>
    <row r="160" spans="3:10" ht="17.100000000000001" customHeight="1">
      <c r="C160" s="513" t="s">
        <v>3778</v>
      </c>
      <c r="D160" s="494">
        <v>2031000</v>
      </c>
      <c r="E160" s="494">
        <v>2031000</v>
      </c>
      <c r="F160" s="495">
        <v>100</v>
      </c>
      <c r="G160" s="494">
        <v>0</v>
      </c>
      <c r="H160" s="496">
        <v>0</v>
      </c>
    </row>
    <row r="161" spans="3:10" ht="17.100000000000001" customHeight="1">
      <c r="C161" s="513" t="s">
        <v>3777</v>
      </c>
      <c r="D161" s="494">
        <v>373634000</v>
      </c>
      <c r="E161" s="494">
        <v>263521871</v>
      </c>
      <c r="F161" s="495">
        <v>70.529414079018508</v>
      </c>
      <c r="G161" s="494">
        <v>110112129</v>
      </c>
      <c r="H161" s="496">
        <v>29.470585920981495</v>
      </c>
    </row>
    <row r="162" spans="3:10" ht="17.100000000000001" customHeight="1">
      <c r="C162" s="509" t="s">
        <v>3819</v>
      </c>
      <c r="D162" s="510">
        <v>56750000</v>
      </c>
      <c r="E162" s="510">
        <v>42951740</v>
      </c>
      <c r="F162" s="511">
        <v>75.685885462555063</v>
      </c>
      <c r="G162" s="510">
        <v>13798260</v>
      </c>
      <c r="H162" s="512">
        <v>24.314114537444933</v>
      </c>
      <c r="I162" s="476"/>
      <c r="J162" s="161"/>
    </row>
    <row r="163" spans="3:10" ht="17.100000000000001" customHeight="1">
      <c r="C163" s="513" t="s">
        <v>3773</v>
      </c>
      <c r="D163" s="494">
        <v>33500000</v>
      </c>
      <c r="E163" s="494">
        <v>33371740</v>
      </c>
      <c r="F163" s="495">
        <v>99.617134328358219</v>
      </c>
      <c r="G163" s="494">
        <v>128260</v>
      </c>
      <c r="H163" s="496">
        <v>0.38286567164179103</v>
      </c>
    </row>
    <row r="164" spans="3:10" ht="17.100000000000001" customHeight="1">
      <c r="C164" s="513" t="s">
        <v>3779</v>
      </c>
      <c r="D164" s="494">
        <v>3000000</v>
      </c>
      <c r="E164" s="494">
        <v>0</v>
      </c>
      <c r="F164" s="495">
        <v>0</v>
      </c>
      <c r="G164" s="494">
        <v>3000000</v>
      </c>
      <c r="H164" s="496">
        <v>100</v>
      </c>
    </row>
    <row r="165" spans="3:10" ht="17.100000000000001" customHeight="1">
      <c r="C165" s="513" t="s">
        <v>3777</v>
      </c>
      <c r="D165" s="494">
        <v>18000000</v>
      </c>
      <c r="E165" s="494">
        <v>8980000</v>
      </c>
      <c r="F165" s="495">
        <v>49.888888888888886</v>
      </c>
      <c r="G165" s="494">
        <v>9020000</v>
      </c>
      <c r="H165" s="496">
        <v>50.111111111111107</v>
      </c>
    </row>
    <row r="166" spans="3:10" ht="17.100000000000001" customHeight="1">
      <c r="C166" s="513" t="s">
        <v>505</v>
      </c>
      <c r="D166" s="494">
        <v>2250000</v>
      </c>
      <c r="E166" s="494">
        <v>600000</v>
      </c>
      <c r="F166" s="495">
        <v>26.666666666666668</v>
      </c>
      <c r="G166" s="494">
        <v>1650000</v>
      </c>
      <c r="H166" s="496">
        <v>73.333333333333329</v>
      </c>
    </row>
    <row r="167" spans="3:10" ht="17.100000000000001" customHeight="1">
      <c r="C167" s="509" t="s">
        <v>3800</v>
      </c>
      <c r="D167" s="510">
        <v>61193000</v>
      </c>
      <c r="E167" s="510">
        <v>37964238</v>
      </c>
      <c r="F167" s="511">
        <v>62.040164724723411</v>
      </c>
      <c r="G167" s="510">
        <v>23228762</v>
      </c>
      <c r="H167" s="512">
        <v>37.959835275276582</v>
      </c>
    </row>
    <row r="168" spans="3:10" ht="17.100000000000001" customHeight="1">
      <c r="C168" s="513" t="s">
        <v>3773</v>
      </c>
      <c r="D168" s="494">
        <v>13500000</v>
      </c>
      <c r="E168" s="494">
        <v>9448500</v>
      </c>
      <c r="F168" s="495">
        <v>69.988888888888894</v>
      </c>
      <c r="G168" s="494">
        <v>4051500</v>
      </c>
      <c r="H168" s="496">
        <v>30.011111111111109</v>
      </c>
    </row>
    <row r="169" spans="3:10" ht="17.100000000000001" customHeight="1">
      <c r="C169" s="513" t="s">
        <v>3777</v>
      </c>
      <c r="D169" s="494">
        <v>47693000</v>
      </c>
      <c r="E169" s="494">
        <v>28515738</v>
      </c>
      <c r="F169" s="495">
        <v>59.790195626192521</v>
      </c>
      <c r="G169" s="494">
        <v>19177262</v>
      </c>
      <c r="H169" s="496">
        <v>40.209804373807479</v>
      </c>
    </row>
    <row r="170" spans="3:10" ht="17.100000000000001" customHeight="1">
      <c r="C170" s="509" t="s">
        <v>3820</v>
      </c>
      <c r="D170" s="510">
        <v>148337000</v>
      </c>
      <c r="E170" s="510">
        <v>148325980</v>
      </c>
      <c r="F170" s="511">
        <v>99.992570970155796</v>
      </c>
      <c r="G170" s="510">
        <v>11020</v>
      </c>
      <c r="H170" s="512">
        <v>7.4290298442060976E-3</v>
      </c>
    </row>
    <row r="171" spans="3:10" ht="17.100000000000001" customHeight="1">
      <c r="C171" s="513" t="s">
        <v>3773</v>
      </c>
      <c r="D171" s="494">
        <v>38100000</v>
      </c>
      <c r="E171" s="494">
        <v>38095000</v>
      </c>
      <c r="F171" s="495">
        <v>99.98687664041995</v>
      </c>
      <c r="G171" s="494">
        <v>5000</v>
      </c>
      <c r="H171" s="496">
        <v>1.3123359580052493E-2</v>
      </c>
    </row>
    <row r="172" spans="3:10" ht="17.100000000000001" customHeight="1">
      <c r="C172" s="513" t="s">
        <v>3821</v>
      </c>
      <c r="D172" s="494">
        <v>82535000</v>
      </c>
      <c r="E172" s="494">
        <v>82534280</v>
      </c>
      <c r="F172" s="495">
        <v>99.999127642818195</v>
      </c>
      <c r="G172" s="494">
        <v>720</v>
      </c>
      <c r="H172" s="496">
        <v>8.7235718180165981E-4</v>
      </c>
    </row>
    <row r="173" spans="3:10" ht="17.100000000000001" customHeight="1">
      <c r="C173" s="513" t="s">
        <v>3866</v>
      </c>
      <c r="D173" s="494">
        <v>1605000</v>
      </c>
      <c r="E173" s="494">
        <v>1600000</v>
      </c>
      <c r="F173" s="495">
        <v>99.688473520249218</v>
      </c>
      <c r="G173" s="494">
        <v>5000</v>
      </c>
      <c r="H173" s="496">
        <v>0.3115264797507788</v>
      </c>
    </row>
    <row r="174" spans="3:10" ht="17.100000000000001" customHeight="1">
      <c r="C174" s="513" t="s">
        <v>3778</v>
      </c>
      <c r="D174" s="494">
        <v>4246000</v>
      </c>
      <c r="E174" s="494">
        <v>4246000</v>
      </c>
      <c r="F174" s="495">
        <v>100</v>
      </c>
      <c r="G174" s="494">
        <v>0</v>
      </c>
      <c r="H174" s="496">
        <v>0</v>
      </c>
    </row>
    <row r="175" spans="3:10" ht="17.100000000000001" customHeight="1">
      <c r="C175" s="513" t="s">
        <v>3777</v>
      </c>
      <c r="D175" s="494">
        <v>21851000</v>
      </c>
      <c r="E175" s="494">
        <v>21850700</v>
      </c>
      <c r="F175" s="495">
        <v>99.998627065122875</v>
      </c>
      <c r="G175" s="494">
        <v>300</v>
      </c>
      <c r="H175" s="496">
        <v>1.3729348771223285E-3</v>
      </c>
    </row>
    <row r="176" spans="3:10" ht="17.100000000000001" customHeight="1">
      <c r="C176" s="493" t="s">
        <v>3839</v>
      </c>
      <c r="D176" s="494">
        <v>540000000</v>
      </c>
      <c r="E176" s="494">
        <v>540000000</v>
      </c>
      <c r="F176" s="495">
        <v>100</v>
      </c>
      <c r="G176" s="494">
        <v>0</v>
      </c>
      <c r="H176" s="496">
        <v>0</v>
      </c>
    </row>
    <row r="177" spans="3:8" ht="18.75">
      <c r="C177" s="505" t="s">
        <v>3840</v>
      </c>
      <c r="D177" s="506">
        <v>540000000</v>
      </c>
      <c r="E177" s="506">
        <v>540000000</v>
      </c>
      <c r="F177" s="507">
        <v>100</v>
      </c>
      <c r="G177" s="506">
        <v>0</v>
      </c>
      <c r="H177" s="508">
        <v>0</v>
      </c>
    </row>
    <row r="178" spans="3:8" ht="17.100000000000001" customHeight="1">
      <c r="C178" s="509" t="s">
        <v>3841</v>
      </c>
      <c r="D178" s="510">
        <v>540000000</v>
      </c>
      <c r="E178" s="510">
        <v>540000000</v>
      </c>
      <c r="F178" s="511">
        <v>100</v>
      </c>
      <c r="G178" s="510">
        <v>0</v>
      </c>
      <c r="H178" s="512">
        <v>0</v>
      </c>
    </row>
    <row r="179" spans="3:8" ht="17.100000000000001" customHeight="1">
      <c r="C179" s="513" t="s">
        <v>3780</v>
      </c>
      <c r="D179" s="494">
        <v>540000000</v>
      </c>
      <c r="E179" s="494">
        <v>540000000</v>
      </c>
      <c r="F179" s="495">
        <v>100</v>
      </c>
      <c r="G179" s="494">
        <v>0</v>
      </c>
      <c r="H179" s="496">
        <v>0</v>
      </c>
    </row>
    <row r="180" spans="3:8" ht="17.100000000000001" customHeight="1">
      <c r="C180" s="493" t="s">
        <v>4605</v>
      </c>
      <c r="D180" s="494">
        <v>2095658000</v>
      </c>
      <c r="E180" s="494">
        <v>947702314</v>
      </c>
      <c r="F180" s="495">
        <v>45.222183867787585</v>
      </c>
      <c r="G180" s="494">
        <v>1147955686</v>
      </c>
      <c r="H180" s="496">
        <v>54.777816132212408</v>
      </c>
    </row>
    <row r="181" spans="3:8" ht="18.75">
      <c r="C181" s="505" t="s">
        <v>3734</v>
      </c>
      <c r="D181" s="514">
        <v>2095658000</v>
      </c>
      <c r="E181" s="514">
        <v>947702314</v>
      </c>
      <c r="F181" s="515">
        <v>45.222183867787585</v>
      </c>
      <c r="G181" s="514">
        <v>1147955686</v>
      </c>
      <c r="H181" s="516">
        <v>54.777816132212408</v>
      </c>
    </row>
    <row r="182" spans="3:8" ht="17.100000000000001" customHeight="1">
      <c r="C182" s="509" t="s">
        <v>3827</v>
      </c>
      <c r="D182" s="510">
        <v>1254380000</v>
      </c>
      <c r="E182" s="510">
        <v>644792004</v>
      </c>
      <c r="F182" s="511">
        <v>51.403243355283088</v>
      </c>
      <c r="G182" s="510">
        <v>609587996</v>
      </c>
      <c r="H182" s="512">
        <v>48.596756644716912</v>
      </c>
    </row>
    <row r="183" spans="3:8" ht="17.100000000000001" customHeight="1">
      <c r="C183" s="513" t="s">
        <v>3828</v>
      </c>
      <c r="D183" s="494">
        <v>1076220000</v>
      </c>
      <c r="E183" s="494">
        <v>575609004</v>
      </c>
      <c r="F183" s="495">
        <v>53.484325137982935</v>
      </c>
      <c r="G183" s="494">
        <v>500610996</v>
      </c>
      <c r="H183" s="496">
        <v>46.515674862017057</v>
      </c>
    </row>
    <row r="184" spans="3:8" ht="17.100000000000001" customHeight="1">
      <c r="C184" s="513" t="s">
        <v>3791</v>
      </c>
      <c r="D184" s="494">
        <v>178160000</v>
      </c>
      <c r="E184" s="494">
        <v>69183000</v>
      </c>
      <c r="F184" s="495">
        <v>38.831948810058378</v>
      </c>
      <c r="G184" s="494">
        <v>108977000</v>
      </c>
      <c r="H184" s="496">
        <v>61.168051189941629</v>
      </c>
    </row>
    <row r="185" spans="3:8" ht="17.100000000000001" customHeight="1">
      <c r="C185" s="509" t="s">
        <v>3829</v>
      </c>
      <c r="D185" s="510">
        <v>148852000</v>
      </c>
      <c r="E185" s="510">
        <v>82227050</v>
      </c>
      <c r="F185" s="511">
        <v>55.240809663289717</v>
      </c>
      <c r="G185" s="510">
        <v>66624950</v>
      </c>
      <c r="H185" s="512">
        <v>44.75919033671029</v>
      </c>
    </row>
    <row r="186" spans="3:8" ht="17.100000000000001" customHeight="1">
      <c r="C186" s="513" t="s">
        <v>3830</v>
      </c>
      <c r="D186" s="494">
        <v>30000000</v>
      </c>
      <c r="E186" s="494">
        <v>2527050</v>
      </c>
      <c r="F186" s="495">
        <v>8.4235000000000007</v>
      </c>
      <c r="G186" s="494">
        <v>27472950</v>
      </c>
      <c r="H186" s="496">
        <v>91.57650000000001</v>
      </c>
    </row>
    <row r="187" spans="3:8" ht="17.100000000000001" customHeight="1">
      <c r="C187" s="513" t="s">
        <v>3779</v>
      </c>
      <c r="D187" s="494">
        <v>118852000</v>
      </c>
      <c r="E187" s="494">
        <v>79700000</v>
      </c>
      <c r="F187" s="495">
        <v>67.058190017837319</v>
      </c>
      <c r="G187" s="494">
        <v>39152000</v>
      </c>
      <c r="H187" s="496">
        <v>32.941809982162688</v>
      </c>
    </row>
    <row r="188" spans="3:8" ht="17.100000000000001" customHeight="1">
      <c r="C188" s="509" t="s">
        <v>3831</v>
      </c>
      <c r="D188" s="510">
        <v>533050000</v>
      </c>
      <c r="E188" s="510">
        <v>147905260</v>
      </c>
      <c r="F188" s="511">
        <v>27.746976831441707</v>
      </c>
      <c r="G188" s="510">
        <v>385144740</v>
      </c>
      <c r="H188" s="512">
        <v>72.2530231685583</v>
      </c>
    </row>
    <row r="189" spans="3:8" ht="17.100000000000001" customHeight="1">
      <c r="C189" s="513" t="s">
        <v>3832</v>
      </c>
      <c r="D189" s="494">
        <v>497050000</v>
      </c>
      <c r="E189" s="494">
        <v>135905260</v>
      </c>
      <c r="F189" s="495">
        <v>27.342371994769138</v>
      </c>
      <c r="G189" s="494">
        <v>361144740</v>
      </c>
      <c r="H189" s="496">
        <v>72.657628005230862</v>
      </c>
    </row>
    <row r="190" spans="3:8" ht="17.100000000000001" customHeight="1">
      <c r="C190" s="513" t="s">
        <v>3833</v>
      </c>
      <c r="D190" s="494">
        <v>36000000</v>
      </c>
      <c r="E190" s="494">
        <v>12000000</v>
      </c>
      <c r="F190" s="495">
        <v>33.333333333333329</v>
      </c>
      <c r="G190" s="494">
        <v>24000000</v>
      </c>
      <c r="H190" s="496">
        <v>66.666666666666657</v>
      </c>
    </row>
    <row r="191" spans="3:8" ht="17.100000000000001" customHeight="1">
      <c r="C191" s="509" t="s">
        <v>3834</v>
      </c>
      <c r="D191" s="510">
        <v>159376000</v>
      </c>
      <c r="E191" s="510">
        <v>72778000</v>
      </c>
      <c r="F191" s="511">
        <v>45.664340929625538</v>
      </c>
      <c r="G191" s="510">
        <v>86598000</v>
      </c>
      <c r="H191" s="512">
        <v>54.335659070374462</v>
      </c>
    </row>
    <row r="192" spans="3:8" ht="17.100000000000001" customHeight="1">
      <c r="C192" s="513" t="s">
        <v>3828</v>
      </c>
      <c r="D192" s="494">
        <v>101016000</v>
      </c>
      <c r="E192" s="494">
        <v>44410000</v>
      </c>
      <c r="F192" s="495">
        <v>43.963332541379586</v>
      </c>
      <c r="G192" s="494">
        <v>56606000</v>
      </c>
      <c r="H192" s="496">
        <v>56.036667458620414</v>
      </c>
    </row>
    <row r="193" spans="3:10" ht="17.100000000000001" customHeight="1">
      <c r="C193" s="513" t="s">
        <v>3835</v>
      </c>
      <c r="D193" s="494">
        <v>58360000</v>
      </c>
      <c r="E193" s="494">
        <v>28368000</v>
      </c>
      <c r="F193" s="495">
        <v>48.608636052090468</v>
      </c>
      <c r="G193" s="494">
        <v>29992000</v>
      </c>
      <c r="H193" s="496">
        <v>51.391363947909532</v>
      </c>
    </row>
    <row r="194" spans="3:10" ht="17.100000000000001" customHeight="1">
      <c r="C194" s="493" t="s">
        <v>3803</v>
      </c>
      <c r="D194" s="494">
        <v>8582500000</v>
      </c>
      <c r="E194" s="494">
        <v>4939644598</v>
      </c>
      <c r="F194" s="495">
        <v>57.554845301485578</v>
      </c>
      <c r="G194" s="494">
        <v>3642855402</v>
      </c>
      <c r="H194" s="496">
        <v>42.445154698514422</v>
      </c>
    </row>
    <row r="195" spans="3:10" ht="17.100000000000001" customHeight="1">
      <c r="C195" s="497" t="s">
        <v>532</v>
      </c>
      <c r="D195" s="498">
        <v>8582500000</v>
      </c>
      <c r="E195" s="498">
        <v>4939644598</v>
      </c>
      <c r="F195" s="499">
        <v>57.554845301485578</v>
      </c>
      <c r="G195" s="498">
        <v>3642855402</v>
      </c>
      <c r="H195" s="500">
        <v>42.445154698514422</v>
      </c>
    </row>
    <row r="196" spans="3:10" ht="18.75">
      <c r="C196" s="501" t="s">
        <v>533</v>
      </c>
      <c r="D196" s="502">
        <v>8582500000</v>
      </c>
      <c r="E196" s="502">
        <v>4939644598</v>
      </c>
      <c r="F196" s="503">
        <v>57.554845301485578</v>
      </c>
      <c r="G196" s="502">
        <v>3642855402</v>
      </c>
      <c r="H196" s="504">
        <v>42.445154698514422</v>
      </c>
    </row>
    <row r="197" spans="3:10" ht="17.100000000000001" customHeight="1">
      <c r="C197" s="493" t="s">
        <v>3863</v>
      </c>
      <c r="D197" s="494">
        <v>8582500000</v>
      </c>
      <c r="E197" s="494">
        <v>4939644598</v>
      </c>
      <c r="F197" s="495">
        <v>57.554845301485578</v>
      </c>
      <c r="G197" s="494">
        <v>3642855402</v>
      </c>
      <c r="H197" s="496">
        <v>42.445154698514422</v>
      </c>
    </row>
    <row r="198" spans="3:10" ht="18.75">
      <c r="C198" s="505" t="s">
        <v>3864</v>
      </c>
      <c r="D198" s="506">
        <v>8473300000</v>
      </c>
      <c r="E198" s="506">
        <v>4925504198</v>
      </c>
      <c r="F198" s="507">
        <v>58.129703869802796</v>
      </c>
      <c r="G198" s="506">
        <v>3547795802</v>
      </c>
      <c r="H198" s="508">
        <v>41.870296130197211</v>
      </c>
    </row>
    <row r="199" spans="3:10" ht="17.100000000000001" customHeight="1">
      <c r="C199" s="509" t="s">
        <v>3865</v>
      </c>
      <c r="D199" s="510">
        <v>1713564000</v>
      </c>
      <c r="E199" s="510">
        <v>30225000</v>
      </c>
      <c r="F199" s="511">
        <v>1.7638675882546553</v>
      </c>
      <c r="G199" s="510">
        <v>1683339000</v>
      </c>
      <c r="H199" s="512">
        <v>98.236132411745345</v>
      </c>
    </row>
    <row r="200" spans="3:10" ht="17.100000000000001" customHeight="1">
      <c r="C200" s="513" t="s">
        <v>3773</v>
      </c>
      <c r="D200" s="494">
        <v>99100000</v>
      </c>
      <c r="E200" s="494">
        <v>0</v>
      </c>
      <c r="F200" s="495">
        <v>0</v>
      </c>
      <c r="G200" s="494">
        <v>99100000</v>
      </c>
      <c r="H200" s="496">
        <v>100</v>
      </c>
    </row>
    <row r="201" spans="3:10" ht="17.100000000000001" customHeight="1">
      <c r="C201" s="513" t="s">
        <v>3786</v>
      </c>
      <c r="D201" s="494">
        <v>1333864000</v>
      </c>
      <c r="E201" s="494">
        <v>0</v>
      </c>
      <c r="F201" s="495">
        <v>0</v>
      </c>
      <c r="G201" s="494">
        <v>1333864000</v>
      </c>
      <c r="H201" s="496">
        <v>100</v>
      </c>
    </row>
    <row r="202" spans="3:10" ht="17.100000000000001" customHeight="1">
      <c r="C202" s="513" t="s">
        <v>3791</v>
      </c>
      <c r="D202" s="494">
        <v>25000000</v>
      </c>
      <c r="E202" s="494">
        <v>9690000</v>
      </c>
      <c r="F202" s="495">
        <v>38.76</v>
      </c>
      <c r="G202" s="494">
        <v>15310000</v>
      </c>
      <c r="H202" s="496">
        <v>61.240000000000009</v>
      </c>
    </row>
    <row r="203" spans="3:10" ht="17.100000000000001" customHeight="1">
      <c r="C203" s="513" t="s">
        <v>3776</v>
      </c>
      <c r="D203" s="494">
        <v>15000000</v>
      </c>
      <c r="E203" s="494">
        <v>0</v>
      </c>
      <c r="F203" s="495">
        <v>0</v>
      </c>
      <c r="G203" s="494">
        <v>15000000</v>
      </c>
      <c r="H203" s="496">
        <v>100</v>
      </c>
    </row>
    <row r="204" spans="3:10" ht="17.100000000000001" customHeight="1">
      <c r="C204" s="513" t="s">
        <v>3866</v>
      </c>
      <c r="D204" s="494">
        <v>102600000</v>
      </c>
      <c r="E204" s="494">
        <v>0</v>
      </c>
      <c r="F204" s="495">
        <v>0</v>
      </c>
      <c r="G204" s="494">
        <v>102600000</v>
      </c>
      <c r="H204" s="496">
        <v>100</v>
      </c>
    </row>
    <row r="205" spans="3:10" ht="17.100000000000001" customHeight="1">
      <c r="C205" s="513" t="s">
        <v>3777</v>
      </c>
      <c r="D205" s="494">
        <v>138000000</v>
      </c>
      <c r="E205" s="494">
        <v>20535000</v>
      </c>
      <c r="F205" s="495">
        <v>14.880434782608695</v>
      </c>
      <c r="G205" s="494">
        <v>117465000</v>
      </c>
      <c r="H205" s="496">
        <v>85.119565217391298</v>
      </c>
    </row>
    <row r="206" spans="3:10" ht="17.100000000000001" customHeight="1">
      <c r="C206" s="509" t="s">
        <v>3867</v>
      </c>
      <c r="D206" s="510">
        <v>6585695000</v>
      </c>
      <c r="E206" s="510">
        <v>4895279198</v>
      </c>
      <c r="F206" s="511">
        <v>74.332005931036889</v>
      </c>
      <c r="G206" s="510">
        <v>1690415802</v>
      </c>
      <c r="H206" s="512">
        <v>25.667994068963107</v>
      </c>
      <c r="I206" s="476"/>
      <c r="J206" s="161"/>
    </row>
    <row r="207" spans="3:10" ht="17.100000000000001" customHeight="1">
      <c r="C207" s="513" t="s">
        <v>3773</v>
      </c>
      <c r="D207" s="494">
        <v>25000000</v>
      </c>
      <c r="E207" s="494">
        <v>5839600</v>
      </c>
      <c r="F207" s="495">
        <v>23.358400000000003</v>
      </c>
      <c r="G207" s="494">
        <v>19160400</v>
      </c>
      <c r="H207" s="496">
        <v>76.641599999999997</v>
      </c>
    </row>
    <row r="208" spans="3:10" ht="17.100000000000001" customHeight="1">
      <c r="C208" s="513" t="s">
        <v>3786</v>
      </c>
      <c r="D208" s="494">
        <v>6308695000</v>
      </c>
      <c r="E208" s="494">
        <v>4823760092</v>
      </c>
      <c r="F208" s="495">
        <v>76.462090685950102</v>
      </c>
      <c r="G208" s="494">
        <v>1484934908</v>
      </c>
      <c r="H208" s="496">
        <v>23.537909314049895</v>
      </c>
    </row>
    <row r="209" spans="3:8" ht="17.100000000000001" customHeight="1">
      <c r="C209" s="513" t="s">
        <v>3791</v>
      </c>
      <c r="D209" s="494">
        <v>30000000</v>
      </c>
      <c r="E209" s="494">
        <v>9678000</v>
      </c>
      <c r="F209" s="495">
        <v>32.26</v>
      </c>
      <c r="G209" s="494">
        <v>20322000</v>
      </c>
      <c r="H209" s="496">
        <v>67.739999999999995</v>
      </c>
    </row>
    <row r="210" spans="3:8" ht="17.100000000000001" customHeight="1">
      <c r="C210" s="513" t="s">
        <v>3776</v>
      </c>
      <c r="D210" s="494">
        <v>6000000</v>
      </c>
      <c r="E210" s="494">
        <v>0</v>
      </c>
      <c r="F210" s="495">
        <v>0</v>
      </c>
      <c r="G210" s="494">
        <v>6000000</v>
      </c>
      <c r="H210" s="496">
        <v>100</v>
      </c>
    </row>
    <row r="211" spans="3:8" ht="17.100000000000001" customHeight="1">
      <c r="C211" s="513" t="s">
        <v>3777</v>
      </c>
      <c r="D211" s="494">
        <v>216000000</v>
      </c>
      <c r="E211" s="494">
        <v>56001506</v>
      </c>
      <c r="F211" s="495">
        <v>25.926623148148149</v>
      </c>
      <c r="G211" s="494">
        <v>159998494</v>
      </c>
      <c r="H211" s="496">
        <v>74.073376851851847</v>
      </c>
    </row>
    <row r="212" spans="3:8" ht="17.100000000000001" customHeight="1">
      <c r="C212" s="509" t="s">
        <v>3868</v>
      </c>
      <c r="D212" s="510">
        <v>174041000</v>
      </c>
      <c r="E212" s="510">
        <v>0</v>
      </c>
      <c r="F212" s="511">
        <v>0</v>
      </c>
      <c r="G212" s="510">
        <v>174041000</v>
      </c>
      <c r="H212" s="512">
        <v>100</v>
      </c>
    </row>
    <row r="213" spans="3:8" ht="17.100000000000001" customHeight="1">
      <c r="C213" s="513" t="s">
        <v>3773</v>
      </c>
      <c r="D213" s="494">
        <v>12000000</v>
      </c>
      <c r="E213" s="494">
        <v>0</v>
      </c>
      <c r="F213" s="495">
        <v>0</v>
      </c>
      <c r="G213" s="494">
        <v>12000000</v>
      </c>
      <c r="H213" s="496">
        <v>100</v>
      </c>
    </row>
    <row r="214" spans="3:8" ht="17.100000000000001" customHeight="1">
      <c r="C214" s="513" t="s">
        <v>3786</v>
      </c>
      <c r="D214" s="494">
        <v>20000000</v>
      </c>
      <c r="E214" s="494">
        <v>0</v>
      </c>
      <c r="F214" s="495">
        <v>0</v>
      </c>
      <c r="G214" s="494">
        <v>20000000</v>
      </c>
      <c r="H214" s="496">
        <v>100</v>
      </c>
    </row>
    <row r="215" spans="3:8" ht="17.100000000000001" customHeight="1">
      <c r="C215" s="513" t="s">
        <v>3870</v>
      </c>
      <c r="D215" s="494">
        <v>142041000</v>
      </c>
      <c r="E215" s="494">
        <v>0</v>
      </c>
      <c r="F215" s="495">
        <v>0</v>
      </c>
      <c r="G215" s="494">
        <v>142041000</v>
      </c>
      <c r="H215" s="496">
        <v>100</v>
      </c>
    </row>
    <row r="216" spans="3:8" ht="18.75">
      <c r="C216" s="505" t="s">
        <v>3879</v>
      </c>
      <c r="D216" s="506">
        <v>109200000</v>
      </c>
      <c r="E216" s="506">
        <v>14140400</v>
      </c>
      <c r="F216" s="507">
        <v>12.949084249084249</v>
      </c>
      <c r="G216" s="506">
        <v>95059600</v>
      </c>
      <c r="H216" s="508">
        <v>87.050915750915749</v>
      </c>
    </row>
    <row r="217" spans="3:8" ht="17.100000000000001" customHeight="1">
      <c r="C217" s="509" t="s">
        <v>3880</v>
      </c>
      <c r="D217" s="510">
        <v>109200000</v>
      </c>
      <c r="E217" s="510">
        <v>14140400</v>
      </c>
      <c r="F217" s="511">
        <v>12.949084249084249</v>
      </c>
      <c r="G217" s="510">
        <v>95059600</v>
      </c>
      <c r="H217" s="512">
        <v>87.050915750915749</v>
      </c>
    </row>
    <row r="218" spans="3:8" ht="17.100000000000001" customHeight="1">
      <c r="C218" s="513" t="s">
        <v>3773</v>
      </c>
      <c r="D218" s="494">
        <v>25000000</v>
      </c>
      <c r="E218" s="494">
        <v>5920400</v>
      </c>
      <c r="F218" s="495">
        <v>23.6816</v>
      </c>
      <c r="G218" s="494">
        <v>19079600</v>
      </c>
      <c r="H218" s="496">
        <v>76.318399999999997</v>
      </c>
    </row>
    <row r="219" spans="3:8" ht="17.100000000000001" customHeight="1">
      <c r="C219" s="513" t="s">
        <v>3791</v>
      </c>
      <c r="D219" s="494">
        <v>30000000</v>
      </c>
      <c r="E219" s="494">
        <v>8220000</v>
      </c>
      <c r="F219" s="495">
        <v>27.400000000000002</v>
      </c>
      <c r="G219" s="494">
        <v>21780000</v>
      </c>
      <c r="H219" s="496">
        <v>72.599999999999994</v>
      </c>
    </row>
    <row r="220" spans="3:8" ht="17.100000000000001" customHeight="1">
      <c r="C220" s="513" t="s">
        <v>3777</v>
      </c>
      <c r="D220" s="494">
        <v>54200000</v>
      </c>
      <c r="E220" s="494">
        <v>0</v>
      </c>
      <c r="F220" s="495">
        <v>0</v>
      </c>
      <c r="G220" s="494">
        <v>54200000</v>
      </c>
      <c r="H220" s="496">
        <v>100</v>
      </c>
    </row>
    <row r="221" spans="3:8" ht="17.100000000000001" customHeight="1">
      <c r="C221" s="488" t="s">
        <v>3887</v>
      </c>
      <c r="D221" s="494">
        <v>13875804000</v>
      </c>
      <c r="E221" s="494">
        <v>8203483476</v>
      </c>
      <c r="F221" s="495">
        <v>59.120779422943706</v>
      </c>
      <c r="G221" s="494">
        <v>5672320524</v>
      </c>
      <c r="H221" s="496">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1441" priority="2" operator="lessThan">
      <formula>0</formula>
    </cfRule>
  </conditionalFormatting>
  <conditionalFormatting pivot="1" sqref="G6:G221">
    <cfRule type="cellIs" dxfId="1440" priority="1" operator="lessThan">
      <formula>0</formula>
    </cfRule>
  </conditionalFormatting>
  <pageMargins left="0.34" right="0.22" top="0.25" bottom="0.24" header="0.19" footer="0.16"/>
  <pageSetup paperSize="9" scale="42"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Normal="10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4" bestFit="1" customWidth="1"/>
    <col min="40" max="40" width="9.85546875" style="160" customWidth="1"/>
    <col min="41" max="41" width="15.28515625" style="254"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4" t="s">
        <v>3732</v>
      </c>
      <c r="AN3" s="160" t="s">
        <v>3888</v>
      </c>
      <c r="AO3" s="254"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2" t="s">
        <v>4738</v>
      </c>
      <c r="BD3" s="350" t="s">
        <v>4817</v>
      </c>
      <c r="BE3" s="477"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5">
        <f t="shared" ref="AM4:AM67" si="0">SUM(V4:AG4)</f>
        <v>10381000</v>
      </c>
      <c r="AN4" s="175">
        <f t="shared" ref="AN4:AN35" si="1">IFERROR(AM4/Q4*100,0)</f>
        <v>52.231446540880498</v>
      </c>
      <c r="AO4" s="275">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5">
        <f t="shared" si="0"/>
        <v>6300000</v>
      </c>
      <c r="AN5" s="175">
        <f t="shared" si="1"/>
        <v>31.5</v>
      </c>
      <c r="AO5" s="275">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5">
        <f t="shared" si="0"/>
        <v>34786000</v>
      </c>
      <c r="AN6" s="175">
        <f t="shared" si="1"/>
        <v>80.411465557096633</v>
      </c>
      <c r="AO6" s="275">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5">
        <f t="shared" si="0"/>
        <v>6511000</v>
      </c>
      <c r="AN7" s="175">
        <f t="shared" si="1"/>
        <v>33.389743589743595</v>
      </c>
      <c r="AO7" s="275">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5">
        <f t="shared" si="0"/>
        <v>900000</v>
      </c>
      <c r="AN8" s="175">
        <f t="shared" si="1"/>
        <v>22.5</v>
      </c>
      <c r="AO8" s="275">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5">
        <f t="shared" si="0"/>
        <v>17460000</v>
      </c>
      <c r="AN9" s="175">
        <f t="shared" si="1"/>
        <v>99.971371314056682</v>
      </c>
      <c r="AO9" s="275">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5">
        <f t="shared" si="0"/>
        <v>4620000</v>
      </c>
      <c r="AN10" s="175">
        <f t="shared" si="1"/>
        <v>21.741176470588236</v>
      </c>
      <c r="AO10" s="275">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5">
        <f t="shared" si="0"/>
        <v>25895585</v>
      </c>
      <c r="AN11" s="175">
        <f t="shared" si="1"/>
        <v>77.881458646616537</v>
      </c>
      <c r="AO11" s="275">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5">
        <f t="shared" si="0"/>
        <v>35440750</v>
      </c>
      <c r="AN12" s="175">
        <f t="shared" si="1"/>
        <v>54.608243451463792</v>
      </c>
      <c r="AO12" s="275">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5">
        <f t="shared" si="0"/>
        <v>963000</v>
      </c>
      <c r="AN13" s="175">
        <f t="shared" si="1"/>
        <v>16.05</v>
      </c>
      <c r="AO13" s="275">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5">
        <f t="shared" si="0"/>
        <v>12006500</v>
      </c>
      <c r="AN14" s="175">
        <f t="shared" si="1"/>
        <v>40.021666666666668</v>
      </c>
      <c r="AO14" s="275">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5">
        <f t="shared" si="0"/>
        <v>9000000</v>
      </c>
      <c r="AN15" s="175">
        <f t="shared" si="1"/>
        <v>35.714285714285715</v>
      </c>
      <c r="AO15" s="275">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5">
        <f t="shared" si="0"/>
        <v>0</v>
      </c>
      <c r="AN16" s="175">
        <f t="shared" si="1"/>
        <v>0</v>
      </c>
      <c r="AO16" s="275">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5">
        <f t="shared" si="0"/>
        <v>153301600</v>
      </c>
      <c r="AN17" s="175">
        <f t="shared" si="1"/>
        <v>60.516019011226732</v>
      </c>
      <c r="AO17" s="275">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5">
        <f t="shared" si="0"/>
        <v>0</v>
      </c>
      <c r="AN18" s="175">
        <f t="shared" si="1"/>
        <v>0</v>
      </c>
      <c r="AO18" s="275">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5">
        <f t="shared" si="0"/>
        <v>10438550</v>
      </c>
      <c r="AN19" s="175">
        <f t="shared" si="1"/>
        <v>14.60836038961039</v>
      </c>
      <c r="AO19" s="275">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5">
        <f t="shared" si="0"/>
        <v>4262850</v>
      </c>
      <c r="AN20" s="175">
        <f t="shared" si="1"/>
        <v>85.257000000000005</v>
      </c>
      <c r="AO20" s="275">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5">
        <f t="shared" si="0"/>
        <v>2453500</v>
      </c>
      <c r="AN21" s="175">
        <f t="shared" si="1"/>
        <v>16.356666666666666</v>
      </c>
      <c r="AO21" s="275">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5">
        <f t="shared" si="0"/>
        <v>6300000</v>
      </c>
      <c r="AN22" s="175">
        <f t="shared" si="1"/>
        <v>38.888888888888893</v>
      </c>
      <c r="AO22" s="275">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5">
        <f t="shared" si="0"/>
        <v>365000</v>
      </c>
      <c r="AN23" s="175">
        <f t="shared" si="1"/>
        <v>18.25</v>
      </c>
      <c r="AO23" s="275">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5">
        <f t="shared" si="0"/>
        <v>131436690</v>
      </c>
      <c r="AN24" s="175">
        <f t="shared" si="1"/>
        <v>95.133678343949043</v>
      </c>
      <c r="AO24" s="275">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5">
        <f t="shared" si="0"/>
        <v>0</v>
      </c>
      <c r="AN25" s="175">
        <f t="shared" si="1"/>
        <v>0</v>
      </c>
      <c r="AO25" s="275">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5">
        <f t="shared" si="0"/>
        <v>0</v>
      </c>
      <c r="AN26" s="175">
        <f t="shared" si="1"/>
        <v>0</v>
      </c>
      <c r="AO26" s="275">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5">
        <f t="shared" si="0"/>
        <v>0</v>
      </c>
      <c r="AN27" s="175">
        <f t="shared" si="1"/>
        <v>0</v>
      </c>
      <c r="AO27" s="275">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5">
        <f t="shared" si="0"/>
        <v>0</v>
      </c>
      <c r="AN28" s="175">
        <f t="shared" si="1"/>
        <v>0</v>
      </c>
      <c r="AO28" s="275">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5">
        <f t="shared" si="0"/>
        <v>13489250</v>
      </c>
      <c r="AN29" s="175">
        <f t="shared" si="1"/>
        <v>99.920370370370364</v>
      </c>
      <c r="AO29" s="275">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5">
        <f t="shared" si="0"/>
        <v>0</v>
      </c>
      <c r="AN30" s="175">
        <f t="shared" si="1"/>
        <v>0</v>
      </c>
      <c r="AO30" s="275">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5">
        <f t="shared" si="0"/>
        <v>7200000</v>
      </c>
      <c r="AN31" s="175">
        <f t="shared" si="1"/>
        <v>47.058823529411761</v>
      </c>
      <c r="AO31" s="275">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5">
        <f t="shared" si="0"/>
        <v>0</v>
      </c>
      <c r="AN32" s="175">
        <f t="shared" si="1"/>
        <v>0</v>
      </c>
      <c r="AO32" s="275">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5">
        <f t="shared" si="0"/>
        <v>60912610</v>
      </c>
      <c r="AN33" s="175">
        <f t="shared" si="1"/>
        <v>62.528342366757009</v>
      </c>
      <c r="AO33" s="275">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5">
        <f t="shared" si="0"/>
        <v>114200000</v>
      </c>
      <c r="AN34" s="175">
        <f t="shared" si="1"/>
        <v>100</v>
      </c>
      <c r="AO34" s="275">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5">
        <f t="shared" si="0"/>
        <v>6915400</v>
      </c>
      <c r="AN35" s="175">
        <f t="shared" si="1"/>
        <v>55.769354838709674</v>
      </c>
      <c r="AO35" s="275">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5">
        <f t="shared" si="0"/>
        <v>0</v>
      </c>
      <c r="AN36" s="175">
        <f t="shared" ref="AN36:AN67" si="5">IFERROR(AM36/Q36*100,0)</f>
        <v>0</v>
      </c>
      <c r="AO36" s="275">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5">
        <f t="shared" si="0"/>
        <v>5329750</v>
      </c>
      <c r="AN37" s="175">
        <f t="shared" si="5"/>
        <v>53.297499999999999</v>
      </c>
      <c r="AO37" s="275">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5">
        <f t="shared" si="0"/>
        <v>0</v>
      </c>
      <c r="AN38" s="175">
        <f t="shared" si="5"/>
        <v>0</v>
      </c>
      <c r="AO38" s="275">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5">
        <f t="shared" si="0"/>
        <v>19507600</v>
      </c>
      <c r="AN39" s="175">
        <f t="shared" si="5"/>
        <v>21.449651441514746</v>
      </c>
      <c r="AO39" s="275">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5">
        <f t="shared" si="0"/>
        <v>4998800</v>
      </c>
      <c r="AN40" s="175">
        <f t="shared" si="5"/>
        <v>99.975999999999999</v>
      </c>
      <c r="AO40" s="275">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5">
        <f t="shared" si="0"/>
        <v>12688500</v>
      </c>
      <c r="AN41" s="175">
        <f t="shared" si="5"/>
        <v>97.686503964893362</v>
      </c>
      <c r="AO41" s="275">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5">
        <f t="shared" si="0"/>
        <v>750000</v>
      </c>
      <c r="AN42" s="175">
        <f t="shared" si="5"/>
        <v>100</v>
      </c>
      <c r="AO42" s="275">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5">
        <f t="shared" si="0"/>
        <v>7425000</v>
      </c>
      <c r="AN43" s="175">
        <f t="shared" si="5"/>
        <v>74.25</v>
      </c>
      <c r="AO43" s="275">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5">
        <f t="shared" si="0"/>
        <v>2031000</v>
      </c>
      <c r="AN44" s="175">
        <f t="shared" si="5"/>
        <v>100</v>
      </c>
      <c r="AO44" s="275">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5">
        <f t="shared" si="0"/>
        <v>263521871</v>
      </c>
      <c r="AN45" s="175">
        <f t="shared" si="5"/>
        <v>70.529414079018508</v>
      </c>
      <c r="AO45" s="275">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5">
        <f t="shared" si="0"/>
        <v>33371740</v>
      </c>
      <c r="AN46" s="175">
        <f t="shared" si="5"/>
        <v>99.617134328358219</v>
      </c>
      <c r="AO46" s="275">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5">
        <f t="shared" si="0"/>
        <v>0</v>
      </c>
      <c r="AN47" s="175">
        <f t="shared" si="5"/>
        <v>0</v>
      </c>
      <c r="AO47" s="275">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5">
        <f t="shared" si="0"/>
        <v>8980000</v>
      </c>
      <c r="AN48" s="175">
        <f t="shared" si="5"/>
        <v>49.888888888888886</v>
      </c>
      <c r="AO48" s="275">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5">
        <f t="shared" si="0"/>
        <v>600000</v>
      </c>
      <c r="AN49" s="175">
        <f t="shared" si="5"/>
        <v>26.666666666666668</v>
      </c>
      <c r="AO49" s="275">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5">
        <f t="shared" si="0"/>
        <v>9448500</v>
      </c>
      <c r="AN50" s="175">
        <f t="shared" si="5"/>
        <v>69.988888888888894</v>
      </c>
      <c r="AO50" s="275">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5">
        <f t="shared" si="0"/>
        <v>28515738</v>
      </c>
      <c r="AN51" s="175">
        <f t="shared" si="5"/>
        <v>59.790195626192521</v>
      </c>
      <c r="AO51" s="275">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5">
        <f t="shared" si="0"/>
        <v>0</v>
      </c>
      <c r="AN52" s="175">
        <f t="shared" si="5"/>
        <v>0</v>
      </c>
      <c r="AO52" s="275">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5">
        <f t="shared" si="0"/>
        <v>38095000</v>
      </c>
      <c r="AN53" s="175">
        <f t="shared" si="5"/>
        <v>99.98687664041995</v>
      </c>
      <c r="AO53" s="275">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5">
        <f t="shared" si="0"/>
        <v>82534280</v>
      </c>
      <c r="AN54" s="175">
        <f t="shared" si="5"/>
        <v>99.999127642818195</v>
      </c>
      <c r="AO54" s="275">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5">
        <f t="shared" si="0"/>
        <v>1600000</v>
      </c>
      <c r="AN55" s="175">
        <f t="shared" si="5"/>
        <v>99.688473520249218</v>
      </c>
      <c r="AO55" s="275">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5">
        <f t="shared" si="0"/>
        <v>4246000</v>
      </c>
      <c r="AN56" s="175">
        <f t="shared" si="5"/>
        <v>100</v>
      </c>
      <c r="AO56" s="275">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5">
        <f t="shared" si="0"/>
        <v>21850700</v>
      </c>
      <c r="AN57" s="175">
        <f t="shared" si="5"/>
        <v>99.998627065122875</v>
      </c>
      <c r="AO57" s="275">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5">
        <f t="shared" si="0"/>
        <v>0</v>
      </c>
      <c r="AN58" s="175">
        <f t="shared" si="5"/>
        <v>0</v>
      </c>
      <c r="AO58" s="275">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5">
        <f t="shared" si="0"/>
        <v>3999200</v>
      </c>
      <c r="AN59" s="175">
        <f t="shared" si="5"/>
        <v>99.98</v>
      </c>
      <c r="AO59" s="275">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5">
        <f t="shared" si="0"/>
        <v>4297458</v>
      </c>
      <c r="AN60" s="175">
        <f t="shared" si="5"/>
        <v>99.987389483480698</v>
      </c>
      <c r="AO60" s="275">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5">
        <f t="shared" si="0"/>
        <v>0</v>
      </c>
      <c r="AN61" s="175">
        <f t="shared" si="5"/>
        <v>0</v>
      </c>
      <c r="AO61" s="275">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5">
        <f t="shared" si="0"/>
        <v>0</v>
      </c>
      <c r="AN62" s="175">
        <f t="shared" si="5"/>
        <v>0</v>
      </c>
      <c r="AO62" s="275">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5">
        <f t="shared" si="0"/>
        <v>5350700</v>
      </c>
      <c r="AN63" s="175">
        <f t="shared" si="5"/>
        <v>59.065018213930898</v>
      </c>
      <c r="AO63" s="275">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5">
        <f t="shared" si="0"/>
        <v>12517500</v>
      </c>
      <c r="AN64" s="175">
        <f t="shared" si="5"/>
        <v>99.741035856573703</v>
      </c>
      <c r="AO64" s="275">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5">
        <f t="shared" si="0"/>
        <v>1191418</v>
      </c>
      <c r="AN65" s="175">
        <f t="shared" si="5"/>
        <v>99.951174496644285</v>
      </c>
      <c r="AO65" s="275">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5">
        <f t="shared" si="0"/>
        <v>6000000</v>
      </c>
      <c r="AN66" s="175">
        <f t="shared" si="5"/>
        <v>66.666666666666657</v>
      </c>
      <c r="AO66" s="275">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5">
        <f t="shared" si="0"/>
        <v>60763672</v>
      </c>
      <c r="AN67" s="175">
        <f t="shared" si="5"/>
        <v>99.999460206701343</v>
      </c>
      <c r="AO67" s="275">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5">
        <f t="shared" ref="AM68:AM131" si="8">SUM(V68:AG68)</f>
        <v>0</v>
      </c>
      <c r="AN68" s="175">
        <f t="shared" ref="AN68:AN99" si="9">IFERROR(AM68/Q68*100,0)</f>
        <v>0</v>
      </c>
      <c r="AO68" s="275">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5">
        <f t="shared" si="8"/>
        <v>0</v>
      </c>
      <c r="AN69" s="175">
        <f t="shared" si="9"/>
        <v>0</v>
      </c>
      <c r="AO69" s="275">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5">
        <f t="shared" si="8"/>
        <v>0</v>
      </c>
      <c r="AN70" s="175">
        <f t="shared" si="9"/>
        <v>0</v>
      </c>
      <c r="AO70" s="275">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5">
        <f t="shared" si="8"/>
        <v>0</v>
      </c>
      <c r="AN71" s="175">
        <f t="shared" si="9"/>
        <v>0</v>
      </c>
      <c r="AO71" s="275">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5">
        <f t="shared" si="8"/>
        <v>9469000</v>
      </c>
      <c r="AN72" s="175">
        <f t="shared" si="9"/>
        <v>53.954415954415957</v>
      </c>
      <c r="AO72" s="275">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5">
        <f t="shared" si="8"/>
        <v>620000</v>
      </c>
      <c r="AN73" s="175">
        <f t="shared" si="9"/>
        <v>2.2422335539401832</v>
      </c>
      <c r="AO73" s="275">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5">
        <f t="shared" si="8"/>
        <v>24000000</v>
      </c>
      <c r="AN74" s="175">
        <f t="shared" si="9"/>
        <v>60</v>
      </c>
      <c r="AO74" s="275">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5">
        <f t="shared" si="8"/>
        <v>25062000</v>
      </c>
      <c r="AN75" s="175">
        <f t="shared" si="9"/>
        <v>100</v>
      </c>
      <c r="AO75" s="275">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5">
        <f t="shared" si="8"/>
        <v>575609004</v>
      </c>
      <c r="AN76" s="175">
        <f t="shared" si="9"/>
        <v>53.484325137982935</v>
      </c>
      <c r="AO76" s="275">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5">
        <f t="shared" si="8"/>
        <v>69183000</v>
      </c>
      <c r="AN77" s="175">
        <f t="shared" si="9"/>
        <v>38.831948810058378</v>
      </c>
      <c r="AO77" s="275">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5">
        <f t="shared" si="8"/>
        <v>2527050</v>
      </c>
      <c r="AN78" s="175">
        <f t="shared" si="9"/>
        <v>8.4235000000000007</v>
      </c>
      <c r="AO78" s="275">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5">
        <f t="shared" si="8"/>
        <v>79700000</v>
      </c>
      <c r="AN79" s="175">
        <f t="shared" si="9"/>
        <v>67.058190017837319</v>
      </c>
      <c r="AO79" s="275">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5">
        <f t="shared" si="8"/>
        <v>135905260</v>
      </c>
      <c r="AN80" s="175">
        <f t="shared" si="9"/>
        <v>27.342371994769138</v>
      </c>
      <c r="AO80" s="275">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5">
        <f t="shared" si="8"/>
        <v>12000000</v>
      </c>
      <c r="AN81" s="175">
        <f t="shared" si="9"/>
        <v>33.333333333333329</v>
      </c>
      <c r="AO81" s="275">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5">
        <f t="shared" si="8"/>
        <v>44410000</v>
      </c>
      <c r="AN82" s="175">
        <f t="shared" si="9"/>
        <v>43.963332541379586</v>
      </c>
      <c r="AO82" s="275">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5">
        <f t="shared" si="8"/>
        <v>28368000</v>
      </c>
      <c r="AN83" s="175">
        <f t="shared" si="9"/>
        <v>48.608636052090468</v>
      </c>
      <c r="AO83" s="275">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5">
        <f t="shared" si="8"/>
        <v>0</v>
      </c>
      <c r="AN84" s="175">
        <f t="shared" si="9"/>
        <v>0</v>
      </c>
      <c r="AO84" s="275">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5">
        <f t="shared" si="8"/>
        <v>0</v>
      </c>
      <c r="AN85" s="175">
        <f t="shared" si="9"/>
        <v>0</v>
      </c>
      <c r="AO85" s="275">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5">
        <f t="shared" si="8"/>
        <v>0</v>
      </c>
      <c r="AN86" s="175">
        <f t="shared" si="9"/>
        <v>0</v>
      </c>
      <c r="AO86" s="275">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5">
        <f t="shared" si="8"/>
        <v>540000000</v>
      </c>
      <c r="AN87" s="175">
        <f t="shared" si="9"/>
        <v>100</v>
      </c>
      <c r="AO87" s="275">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5">
        <f t="shared" si="8"/>
        <v>4448550</v>
      </c>
      <c r="AN88" s="175">
        <f t="shared" si="9"/>
        <v>74.142499999999998</v>
      </c>
      <c r="AO88" s="275">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5">
        <f t="shared" si="8"/>
        <v>702895</v>
      </c>
      <c r="AN89" s="175">
        <f t="shared" si="9"/>
        <v>70.289500000000004</v>
      </c>
      <c r="AO89" s="275">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5">
        <f t="shared" si="8"/>
        <v>6344000</v>
      </c>
      <c r="AN90" s="175">
        <f t="shared" si="9"/>
        <v>63.44</v>
      </c>
      <c r="AO90" s="275">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5">
        <f t="shared" si="8"/>
        <v>5163500</v>
      </c>
      <c r="AN91" s="175">
        <f t="shared" si="9"/>
        <v>99.990317583268791</v>
      </c>
      <c r="AO91" s="275">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5">
        <f t="shared" si="8"/>
        <v>7434850</v>
      </c>
      <c r="AN92" s="175">
        <f t="shared" si="9"/>
        <v>61.95708333333333</v>
      </c>
      <c r="AO92" s="275">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5">
        <f t="shared" si="8"/>
        <v>358831</v>
      </c>
      <c r="AN93" s="175">
        <f t="shared" si="9"/>
        <v>35.883099999999999</v>
      </c>
      <c r="AO93" s="275">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5">
        <f t="shared" si="8"/>
        <v>12648000</v>
      </c>
      <c r="AN94" s="175">
        <f t="shared" si="9"/>
        <v>63.239999999999995</v>
      </c>
      <c r="AO94" s="275">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5">
        <f t="shared" si="8"/>
        <v>0</v>
      </c>
      <c r="AN95" s="175">
        <f t="shared" si="9"/>
        <v>0</v>
      </c>
      <c r="AO95" s="275">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5">
        <f t="shared" si="8"/>
        <v>17164850</v>
      </c>
      <c r="AN96" s="175">
        <f t="shared" si="9"/>
        <v>38.144111111111116</v>
      </c>
      <c r="AO96" s="275">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5">
        <f t="shared" si="8"/>
        <v>19309350</v>
      </c>
      <c r="AN97" s="175">
        <f t="shared" si="9"/>
        <v>91.949285714285708</v>
      </c>
      <c r="AO97" s="275">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5">
        <f t="shared" si="8"/>
        <v>11275750</v>
      </c>
      <c r="AN98" s="175">
        <f t="shared" si="9"/>
        <v>64.432857142857145</v>
      </c>
      <c r="AO98" s="275">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5">
        <f t="shared" si="8"/>
        <v>0</v>
      </c>
      <c r="AN99" s="175">
        <f t="shared" si="9"/>
        <v>0</v>
      </c>
      <c r="AO99" s="275">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5">
        <f t="shared" si="8"/>
        <v>41907800</v>
      </c>
      <c r="AN100" s="175">
        <f t="shared" ref="AN100:AN131" si="13">IFERROR(AM100/Q100*100,0)</f>
        <v>99.999522764150043</v>
      </c>
      <c r="AO100" s="275">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5">
        <f t="shared" si="8"/>
        <v>10196500</v>
      </c>
      <c r="AN101" s="175">
        <f t="shared" si="13"/>
        <v>43.855913978494627</v>
      </c>
      <c r="AO101" s="275">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5">
        <f t="shared" si="8"/>
        <v>499528</v>
      </c>
      <c r="AN102" s="175">
        <f t="shared" si="13"/>
        <v>24.976400000000002</v>
      </c>
      <c r="AO102" s="275">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5">
        <f t="shared" si="8"/>
        <v>0</v>
      </c>
      <c r="AN103" s="175">
        <f t="shared" si="13"/>
        <v>0</v>
      </c>
      <c r="AO103" s="275">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5">
        <f t="shared" si="8"/>
        <v>9519000</v>
      </c>
      <c r="AN104" s="175">
        <f t="shared" si="13"/>
        <v>70.380776340110913</v>
      </c>
      <c r="AO104" s="275">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5">
        <f t="shared" si="8"/>
        <v>913673</v>
      </c>
      <c r="AN105" s="175">
        <f t="shared" si="13"/>
        <v>45.68365</v>
      </c>
      <c r="AO105" s="275">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5">
        <f t="shared" si="8"/>
        <v>0</v>
      </c>
      <c r="AN106" s="175">
        <f t="shared" si="13"/>
        <v>0</v>
      </c>
      <c r="AO106" s="275">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5">
        <f t="shared" si="8"/>
        <v>60414255</v>
      </c>
      <c r="AN107" s="175">
        <f t="shared" si="13"/>
        <v>99.99876686253414</v>
      </c>
      <c r="AO107" s="275">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5">
        <f t="shared" si="8"/>
        <v>0</v>
      </c>
      <c r="AN108" s="175">
        <f t="shared" si="13"/>
        <v>0</v>
      </c>
      <c r="AO108" s="275">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5">
        <f t="shared" si="8"/>
        <v>11269000</v>
      </c>
      <c r="AN109" s="175">
        <f t="shared" si="13"/>
        <v>62.955307262569839</v>
      </c>
      <c r="AO109" s="275">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5">
        <f t="shared" si="8"/>
        <v>0</v>
      </c>
      <c r="AN110" s="175">
        <f t="shared" si="13"/>
        <v>0</v>
      </c>
      <c r="AO110" s="275">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5">
        <f t="shared" si="8"/>
        <v>29579000</v>
      </c>
      <c r="AN111" s="175">
        <f t="shared" si="13"/>
        <v>98.044350160761056</v>
      </c>
      <c r="AO111" s="275">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5">
        <f t="shared" si="8"/>
        <v>16821000</v>
      </c>
      <c r="AN112" s="175">
        <f t="shared" si="13"/>
        <v>91.418478260869563</v>
      </c>
      <c r="AO112" s="275">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5">
        <f t="shared" si="8"/>
        <v>8701552</v>
      </c>
      <c r="AN113" s="175">
        <f t="shared" si="13"/>
        <v>99.994851758216498</v>
      </c>
      <c r="AO113" s="275">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5">
        <f t="shared" si="8"/>
        <v>4944000</v>
      </c>
      <c r="AN114" s="175">
        <f t="shared" si="13"/>
        <v>65.92</v>
      </c>
      <c r="AO114" s="275">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5">
        <f t="shared" si="8"/>
        <v>2850000</v>
      </c>
      <c r="AN115" s="175">
        <f t="shared" si="13"/>
        <v>53.271028037383175</v>
      </c>
      <c r="AO115" s="275">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5">
        <f t="shared" si="8"/>
        <v>7467500</v>
      </c>
      <c r="AN116" s="175">
        <f t="shared" si="13"/>
        <v>99.566666666666663</v>
      </c>
      <c r="AO116" s="275">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5">
        <f t="shared" si="8"/>
        <v>0</v>
      </c>
      <c r="AN117" s="175">
        <f t="shared" si="13"/>
        <v>0</v>
      </c>
      <c r="AO117" s="275">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5">
        <f t="shared" si="8"/>
        <v>12465000</v>
      </c>
      <c r="AN118" s="175">
        <f t="shared" si="13"/>
        <v>89.035714285714278</v>
      </c>
      <c r="AO118" s="275">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5">
        <f t="shared" si="8"/>
        <v>0</v>
      </c>
      <c r="AN119" s="175">
        <f t="shared" si="13"/>
        <v>0</v>
      </c>
      <c r="AO119" s="275">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5">
        <f t="shared" si="8"/>
        <v>20634468</v>
      </c>
      <c r="AN120" s="175">
        <f t="shared" si="13"/>
        <v>99.997421856069778</v>
      </c>
      <c r="AO120" s="275">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5">
        <f t="shared" si="8"/>
        <v>4944000</v>
      </c>
      <c r="AN121" s="175">
        <f t="shared" si="13"/>
        <v>65.92</v>
      </c>
      <c r="AO121" s="275">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5">
        <f t="shared" si="8"/>
        <v>0</v>
      </c>
      <c r="AN122" s="175">
        <f t="shared" si="13"/>
        <v>0</v>
      </c>
      <c r="AO122" s="275">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5">
        <f t="shared" si="8"/>
        <v>575000</v>
      </c>
      <c r="AN123" s="175">
        <f t="shared" si="13"/>
        <v>11.979166666666668</v>
      </c>
      <c r="AO123" s="275">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5">
        <f t="shared" si="8"/>
        <v>14900000</v>
      </c>
      <c r="AN124" s="175">
        <f t="shared" si="13"/>
        <v>54.181818181818187</v>
      </c>
      <c r="AO124" s="275">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5">
        <f t="shared" si="8"/>
        <v>58380000</v>
      </c>
      <c r="AN125" s="175">
        <f t="shared" si="13"/>
        <v>76.782449725776971</v>
      </c>
      <c r="AO125" s="275">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5">
        <f t="shared" si="8"/>
        <v>0</v>
      </c>
      <c r="AN126" s="175">
        <f t="shared" si="13"/>
        <v>0</v>
      </c>
      <c r="AO126" s="275">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5">
        <f t="shared" si="8"/>
        <v>0</v>
      </c>
      <c r="AN127" s="175">
        <f t="shared" si="13"/>
        <v>0</v>
      </c>
      <c r="AO127" s="275">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5">
        <f t="shared" si="8"/>
        <v>9690000</v>
      </c>
      <c r="AN128" s="175">
        <f t="shared" si="13"/>
        <v>38.76</v>
      </c>
      <c r="AO128" s="275">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5">
        <f t="shared" si="8"/>
        <v>0</v>
      </c>
      <c r="AN129" s="175">
        <f t="shared" si="13"/>
        <v>0</v>
      </c>
      <c r="AO129" s="275">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5">
        <f t="shared" si="8"/>
        <v>0</v>
      </c>
      <c r="AN130" s="175">
        <f t="shared" si="13"/>
        <v>0</v>
      </c>
      <c r="AO130" s="275">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5">
        <f t="shared" si="8"/>
        <v>20535000</v>
      </c>
      <c r="AN131" s="175">
        <f t="shared" si="13"/>
        <v>14.880434782608695</v>
      </c>
      <c r="AO131" s="275">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5">
        <f t="shared" ref="AM132:AM151" si="16">SUM(V132:AG132)</f>
        <v>5839600</v>
      </c>
      <c r="AN132" s="175">
        <f t="shared" ref="AN132:AN151" si="17">IFERROR(AM132/Q132*100,0)</f>
        <v>23.358400000000003</v>
      </c>
      <c r="AO132" s="275">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5">
        <f t="shared" si="16"/>
        <v>4823760092</v>
      </c>
      <c r="AN133" s="175">
        <f t="shared" si="17"/>
        <v>76.462090685950102</v>
      </c>
      <c r="AO133" s="275">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5">
        <f t="shared" si="16"/>
        <v>9678000</v>
      </c>
      <c r="AN134" s="175">
        <f t="shared" si="17"/>
        <v>32.26</v>
      </c>
      <c r="AO134" s="275">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5">
        <f t="shared" si="16"/>
        <v>0</v>
      </c>
      <c r="AN135" s="175">
        <f t="shared" si="17"/>
        <v>0</v>
      </c>
      <c r="AO135" s="275">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5">
        <f t="shared" si="16"/>
        <v>56001506</v>
      </c>
      <c r="AN136" s="175">
        <f t="shared" si="17"/>
        <v>25.926623148148149</v>
      </c>
      <c r="AO136" s="275">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5">
        <f t="shared" si="16"/>
        <v>0</v>
      </c>
      <c r="AN137" s="175">
        <f t="shared" si="17"/>
        <v>0</v>
      </c>
      <c r="AO137" s="275">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5">
        <f t="shared" si="16"/>
        <v>0</v>
      </c>
      <c r="AN138" s="175">
        <f t="shared" si="17"/>
        <v>0</v>
      </c>
      <c r="AO138" s="275">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5">
        <f t="shared" si="16"/>
        <v>0</v>
      </c>
      <c r="AN139" s="175">
        <f t="shared" si="17"/>
        <v>0</v>
      </c>
      <c r="AO139" s="275">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5">
        <f t="shared" si="16"/>
        <v>0</v>
      </c>
      <c r="AN140" s="175">
        <f t="shared" si="17"/>
        <v>0</v>
      </c>
      <c r="AO140" s="275">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5">
        <f t="shared" si="16"/>
        <v>5920400</v>
      </c>
      <c r="AN141" s="175">
        <f t="shared" si="17"/>
        <v>23.6816</v>
      </c>
      <c r="AO141" s="275">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5">
        <f t="shared" si="16"/>
        <v>8220000</v>
      </c>
      <c r="AN142" s="175">
        <f t="shared" si="17"/>
        <v>27.400000000000002</v>
      </c>
      <c r="AO142" s="275">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5">
        <f t="shared" si="16"/>
        <v>0</v>
      </c>
      <c r="AN143" s="175">
        <f t="shared" si="17"/>
        <v>0</v>
      </c>
      <c r="AO143" s="275">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
        <v>3775</v>
      </c>
      <c r="AM144" s="275">
        <f t="shared" si="16"/>
        <v>0</v>
      </c>
      <c r="AN144" s="308">
        <f t="shared" si="17"/>
        <v>0</v>
      </c>
      <c r="AO144" s="275">
        <f t="shared" si="18"/>
        <v>800000</v>
      </c>
      <c r="AP144" s="308">
        <f t="shared" si="19"/>
        <v>100</v>
      </c>
      <c r="AQ144" s="302" t="str">
        <f t="shared" si="20"/>
        <v>WA.2378.CAN.001.301.B.532111</v>
      </c>
      <c r="AR144" s="302" t="str">
        <f>IF(ISNUMBER(SEARCH("COVID",SP2D[[#This Row],[Akun]])),"COVID","Non COVID")</f>
        <v>Non COVID</v>
      </c>
      <c r="AS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5"/>
      <c r="AV144" s="305"/>
      <c r="AW144" s="305"/>
      <c r="AX144" s="305"/>
      <c r="AY144" s="305"/>
      <c r="AZ144" s="305"/>
      <c r="BA144" s="305"/>
      <c r="BB144" s="305"/>
      <c r="BC144" s="176"/>
      <c r="BD144" s="176"/>
      <c r="BE144" s="176"/>
    </row>
    <row r="145" spans="1:57"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
        <v>3775</v>
      </c>
      <c r="AM145" s="275">
        <f t="shared" si="16"/>
        <v>0</v>
      </c>
      <c r="AN145" s="308">
        <f t="shared" si="17"/>
        <v>0</v>
      </c>
      <c r="AO145" s="275">
        <f t="shared" si="18"/>
        <v>40434000</v>
      </c>
      <c r="AP145" s="308">
        <f t="shared" si="19"/>
        <v>100</v>
      </c>
      <c r="AQ145" s="302" t="str">
        <f t="shared" si="20"/>
        <v>WA.2378.EBA.958.311.B.521219</v>
      </c>
      <c r="AR145" s="302" t="str">
        <f>IF(ISNUMBER(SEARCH("COVID",SP2D[[#This Row],[Akun]])),"COVID","Non COVID")</f>
        <v>Non COVID</v>
      </c>
      <c r="AS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8"/>
      <c r="AV145" s="438"/>
      <c r="AW145" s="438"/>
      <c r="AX145" s="438"/>
      <c r="AY145" s="438"/>
      <c r="AZ145" s="438"/>
      <c r="BA145" s="438"/>
      <c r="BB145" s="438"/>
      <c r="BC145" s="439"/>
      <c r="BD145" s="439"/>
      <c r="BE145" s="439"/>
    </row>
    <row r="146" spans="1:57"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
        <v>3775</v>
      </c>
      <c r="AM146" s="275">
        <f t="shared" si="16"/>
        <v>0</v>
      </c>
      <c r="AN146" s="308">
        <f t="shared" si="17"/>
        <v>0</v>
      </c>
      <c r="AO146" s="275">
        <f t="shared" si="18"/>
        <v>266494000</v>
      </c>
      <c r="AP146" s="308">
        <f t="shared" si="19"/>
        <v>100</v>
      </c>
      <c r="AQ146" s="302" t="str">
        <f t="shared" si="20"/>
        <v>WA.2378.EBA.962.301.G.521811</v>
      </c>
      <c r="AR146" s="302" t="str">
        <f>IF(ISNUMBER(SEARCH("COVID",SP2D[[#This Row],[Akun]])),"COVID","Non COVID")</f>
        <v>Non COVID</v>
      </c>
      <c r="AS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8"/>
      <c r="AV146" s="438"/>
      <c r="AW146" s="438"/>
      <c r="AX146" s="438"/>
      <c r="AY146" s="438"/>
      <c r="AZ146" s="438"/>
      <c r="BA146" s="438"/>
      <c r="BB146" s="438"/>
      <c r="BC146" s="439"/>
      <c r="BD146" s="439"/>
      <c r="BE146" s="439"/>
    </row>
    <row r="147" spans="1:57"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
        <v>3775</v>
      </c>
      <c r="AM147" s="275">
        <f t="shared" si="16"/>
        <v>0</v>
      </c>
      <c r="AN147" s="308">
        <f t="shared" si="17"/>
        <v>0</v>
      </c>
      <c r="AO147" s="275">
        <f t="shared" si="18"/>
        <v>934000</v>
      </c>
      <c r="AP147" s="308">
        <f t="shared" si="19"/>
        <v>100</v>
      </c>
      <c r="AQ147" s="302" t="str">
        <f t="shared" si="20"/>
        <v>WA.2378.EBB.951.301.B.532111</v>
      </c>
      <c r="AR147" s="302" t="str">
        <f>IF(ISNUMBER(SEARCH("COVID",SP2D[[#This Row],[Akun]])),"COVID","Non COVID")</f>
        <v>Non COVID</v>
      </c>
      <c r="AS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8"/>
      <c r="AV147" s="438"/>
      <c r="AW147" s="438"/>
      <c r="AX147" s="438"/>
      <c r="AY147" s="438"/>
      <c r="AZ147" s="438"/>
      <c r="BA147" s="438"/>
      <c r="BB147" s="438"/>
      <c r="BC147" s="439"/>
      <c r="BD147" s="439"/>
      <c r="BE147" s="439"/>
    </row>
    <row r="148" spans="1:57"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
        <v>3775</v>
      </c>
      <c r="AM148" s="275">
        <f t="shared" si="16"/>
        <v>0</v>
      </c>
      <c r="AN148" s="308">
        <f t="shared" si="17"/>
        <v>0</v>
      </c>
      <c r="AO148" s="275">
        <f t="shared" si="18"/>
        <v>434566000</v>
      </c>
      <c r="AP148" s="308">
        <f t="shared" si="19"/>
        <v>100</v>
      </c>
      <c r="AQ148" s="302" t="str">
        <f t="shared" si="20"/>
        <v>WA.2378.EBD.952.301.D.524111</v>
      </c>
      <c r="AR148" s="302" t="str">
        <f>IF(ISNUMBER(SEARCH("COVID",SP2D[[#This Row],[Akun]])),"COVID","Non COVID")</f>
        <v>Non COVID</v>
      </c>
      <c r="AS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8"/>
      <c r="AV148" s="438"/>
      <c r="AW148" s="438"/>
      <c r="AX148" s="438"/>
      <c r="AY148" s="438"/>
      <c r="AZ148" s="438"/>
      <c r="BA148" s="438"/>
      <c r="BB148" s="438"/>
      <c r="BC148" s="439"/>
      <c r="BD148" s="439"/>
      <c r="BE148" s="439"/>
    </row>
    <row r="149" spans="1:57"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
        <v>3775</v>
      </c>
      <c r="AM149" s="275">
        <f t="shared" si="16"/>
        <v>0</v>
      </c>
      <c r="AN149" s="308">
        <f t="shared" si="17"/>
        <v>0</v>
      </c>
      <c r="AO149" s="275">
        <f t="shared" si="18"/>
        <v>387471000</v>
      </c>
      <c r="AP149" s="308">
        <f t="shared" si="19"/>
        <v>100</v>
      </c>
      <c r="AQ149" s="302" t="str">
        <f t="shared" si="20"/>
        <v>WA.2378.EBD.953.301.C.524111</v>
      </c>
      <c r="AR149" s="302" t="str">
        <f>IF(ISNUMBER(SEARCH("COVID",SP2D[[#This Row],[Akun]])),"COVID","Non COVID")</f>
        <v>Non COVID</v>
      </c>
      <c r="AS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8"/>
      <c r="AV149" s="438"/>
      <c r="AW149" s="438"/>
      <c r="AX149" s="438"/>
      <c r="AY149" s="438"/>
      <c r="AZ149" s="438"/>
      <c r="BA149" s="438"/>
      <c r="BB149" s="438"/>
      <c r="BC149" s="439"/>
      <c r="BD149" s="439"/>
      <c r="BE149" s="439"/>
    </row>
    <row r="150" spans="1:57"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
        <v>3775</v>
      </c>
      <c r="AM150" s="275">
        <f t="shared" si="16"/>
        <v>0</v>
      </c>
      <c r="AN150" s="308">
        <f t="shared" si="17"/>
        <v>0</v>
      </c>
      <c r="AO150" s="275">
        <f t="shared" si="18"/>
        <v>76463000</v>
      </c>
      <c r="AP150" s="308">
        <f t="shared" si="19"/>
        <v>100</v>
      </c>
      <c r="AQ150" s="302" t="str">
        <f t="shared" si="20"/>
        <v>WA.2378.EBD.953.302.B.521219</v>
      </c>
      <c r="AR150" s="302" t="str">
        <f>IF(ISNUMBER(SEARCH("COVID",SP2D[[#This Row],[Akun]])),"COVID","Non COVID")</f>
        <v>Non COVID</v>
      </c>
      <c r="AS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8"/>
      <c r="AV150" s="438"/>
      <c r="AW150" s="438"/>
      <c r="AX150" s="438"/>
      <c r="AY150" s="438"/>
      <c r="AZ150" s="438"/>
      <c r="BA150" s="438"/>
      <c r="BB150" s="438"/>
      <c r="BC150" s="439"/>
      <c r="BD150" s="439"/>
      <c r="BE150" s="439"/>
    </row>
    <row r="151" spans="1:57"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
        <v>3775</v>
      </c>
      <c r="AM151" s="275">
        <f t="shared" si="16"/>
        <v>0</v>
      </c>
      <c r="AN151" s="308">
        <f t="shared" si="17"/>
        <v>0</v>
      </c>
      <c r="AO151" s="275">
        <f t="shared" si="18"/>
        <v>92000000</v>
      </c>
      <c r="AP151" s="308">
        <f t="shared" si="19"/>
        <v>100</v>
      </c>
      <c r="AQ151" s="302" t="str">
        <f t="shared" si="20"/>
        <v>WA.2378.EBD.955.301.G.521219</v>
      </c>
      <c r="AR151" s="302" t="str">
        <f>IF(ISNUMBER(SEARCH("COVID",SP2D[[#This Row],[Akun]])),"COVID","Non COVID")</f>
        <v>Non COVID</v>
      </c>
      <c r="AS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8"/>
      <c r="AV151" s="438"/>
      <c r="AW151" s="438"/>
      <c r="AX151" s="438"/>
      <c r="AY151" s="438"/>
      <c r="AZ151" s="438"/>
      <c r="BA151" s="438"/>
      <c r="BB151" s="438"/>
      <c r="BC151" s="439"/>
      <c r="BD151" s="439"/>
      <c r="BE151" s="439"/>
    </row>
    <row r="152" spans="1:57">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229237390</v>
      </c>
      <c r="AD152" s="434">
        <f t="shared" si="22"/>
        <v>0</v>
      </c>
      <c r="AE152" s="434">
        <f t="shared" si="22"/>
        <v>0</v>
      </c>
      <c r="AF152" s="434">
        <f t="shared" si="22"/>
        <v>0</v>
      </c>
      <c r="AG152" s="434">
        <f t="shared" si="22"/>
        <v>0</v>
      </c>
      <c r="AM152" s="434">
        <f>SUM(AM4:AM151)</f>
        <v>8203483476</v>
      </c>
      <c r="AN152" s="178">
        <f>AM152/Q152*100</f>
        <v>48.647356308697468</v>
      </c>
      <c r="AO152" s="434">
        <f>SUM(AO4:AO151)</f>
        <v>8659680524</v>
      </c>
      <c r="AP152" s="178">
        <f>AO152/Q152*100</f>
        <v>51.352643691302532</v>
      </c>
      <c r="AU152" s="434">
        <f>SUM(AU4:AU151)</f>
        <v>99961115</v>
      </c>
      <c r="AV152" s="434">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4" customWidth="1"/>
    <col min="39" max="39" width="9.85546875" style="160" customWidth="1"/>
    <col min="40" max="40" width="15.28515625" style="25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1692987900</v>
      </c>
      <c r="AM4" s="175">
        <f t="shared" ref="AM4:AM14" si="1">IFERROR(AL4/Q4*100,0)</f>
        <v>68.170065597547307</v>
      </c>
      <c r="AN4" s="275">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26074</v>
      </c>
      <c r="AM5" s="175">
        <f t="shared" si="1"/>
        <v>68.615789473684202</v>
      </c>
      <c r="AN5" s="255">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P238" activePane="bottomRight" state="frozen"/>
      <selection pane="topRight" activeCell="D1" sqref="D1"/>
      <selection pane="bottomLeft" activeCell="A15" sqref="A15"/>
      <selection pane="bottomRight" activeCell="S272" sqref="S272"/>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7777</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6" t="s">
        <v>588</v>
      </c>
      <c r="F12" s="184" t="s">
        <v>4602</v>
      </c>
      <c r="G12" s="252" t="s">
        <v>4603</v>
      </c>
      <c r="H12" s="258" t="s">
        <v>4645</v>
      </c>
      <c r="I12" s="258" t="s">
        <v>4646</v>
      </c>
      <c r="J12" s="536" t="s">
        <v>3711</v>
      </c>
      <c r="K12" s="536"/>
      <c r="L12" s="536"/>
      <c r="M12" s="536" t="s">
        <v>3712</v>
      </c>
      <c r="N12" s="536"/>
      <c r="O12" s="536"/>
      <c r="P12" s="536" t="s">
        <v>3713</v>
      </c>
      <c r="Q12" s="536"/>
      <c r="R12" s="536"/>
      <c r="S12" s="536" t="s">
        <v>3714</v>
      </c>
      <c r="T12" s="536"/>
      <c r="U12" s="536"/>
      <c r="V12" s="536" t="s">
        <v>3715</v>
      </c>
      <c r="W12" s="536"/>
      <c r="X12" s="536"/>
      <c r="Y12" s="536" t="s">
        <v>3716</v>
      </c>
      <c r="Z12" s="536"/>
      <c r="AA12" s="536"/>
      <c r="AB12" s="536" t="s">
        <v>3717</v>
      </c>
      <c r="AC12" s="536"/>
      <c r="AD12" s="536"/>
      <c r="AE12" s="536" t="s">
        <v>3718</v>
      </c>
      <c r="AF12" s="536"/>
      <c r="AG12" s="536"/>
      <c r="AH12" s="536" t="s">
        <v>3719</v>
      </c>
      <c r="AI12" s="536"/>
      <c r="AJ12" s="536"/>
      <c r="AK12" s="536" t="s">
        <v>3720</v>
      </c>
      <c r="AL12" s="536"/>
      <c r="AM12" s="536"/>
      <c r="AN12" s="536" t="s">
        <v>3721</v>
      </c>
      <c r="AO12" s="536"/>
      <c r="AP12" s="536"/>
      <c r="AQ12" s="536" t="s">
        <v>3722</v>
      </c>
      <c r="AR12" s="536"/>
      <c r="AS12" s="536"/>
      <c r="AT12" s="357"/>
      <c r="AU12" s="534" t="s">
        <v>3728</v>
      </c>
      <c r="AV12" s="535" t="s">
        <v>3729</v>
      </c>
      <c r="AW12" s="533" t="s">
        <v>3730</v>
      </c>
      <c r="AX12" s="533"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34"/>
      <c r="AV13" s="535"/>
      <c r="AW13" s="533"/>
      <c r="AX13" s="533"/>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2"/>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3"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5"/>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6"/>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6"/>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8"/>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6"/>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6"/>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6"/>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5"/>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8"/>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6"/>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6"/>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5"/>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8"/>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6"/>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6"/>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6"/>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6"/>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6"/>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6"/>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6"/>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8"/>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6"/>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6"/>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6"/>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6"/>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6"/>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6"/>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8"/>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6"/>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6"/>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6"/>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6"/>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5"/>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8"/>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2"/>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3"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4"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4"/>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8"/>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8"/>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3"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4"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4"/>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8"/>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8"/>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4"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4"/>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8"/>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6"/>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6"/>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6"/>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8"/>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6"/>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6"/>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6"/>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8"/>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6"/>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6"/>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6"/>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6"/>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8"/>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6"/>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6"/>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6"/>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8"/>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8"/>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8"/>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6"/>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6"/>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6"/>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6"/>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8"/>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8"/>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6"/>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6"/>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6"/>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6"/>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4"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8"/>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6"/>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6"/>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8"/>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6"/>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6"/>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8"/>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6"/>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6"/>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8"/>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6"/>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6"/>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8"/>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3"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4"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4"/>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8"/>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6"/>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8"/>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4"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4"/>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8"/>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6"/>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6"/>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39"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6"/>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6"/>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8"/>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6"/>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6"/>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39" t="s">
        <v>3804</v>
      </c>
      <c r="BB163" s="111"/>
      <c r="BC163" s="111"/>
      <c r="BD163" s="179"/>
      <c r="BE163" s="111"/>
      <c r="BF163" s="111"/>
      <c r="BG163" s="111"/>
      <c r="BH163" s="111"/>
      <c r="BI163" s="111"/>
      <c r="BJ163" s="111"/>
      <c r="BK163" s="111"/>
      <c r="BL163" s="111">
        <v>358831</v>
      </c>
    </row>
    <row r="164" spans="2:64">
      <c r="B164" s="172">
        <v>521811</v>
      </c>
      <c r="C164" s="110" t="s">
        <v>64</v>
      </c>
      <c r="D164" s="110"/>
      <c r="E164" s="366"/>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6"/>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6"/>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8"/>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6"/>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6"/>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6"/>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6"/>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8"/>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4"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4"/>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8"/>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6"/>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6"/>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39" t="s">
        <v>3804</v>
      </c>
      <c r="BB178" s="111"/>
      <c r="BC178" s="111">
        <v>499528</v>
      </c>
      <c r="BD178" s="179"/>
      <c r="BE178" s="111"/>
      <c r="BF178" s="111"/>
      <c r="BG178" s="111"/>
      <c r="BH178" s="111"/>
      <c r="BI178" s="111"/>
      <c r="BJ178" s="111"/>
      <c r="BK178" s="111"/>
      <c r="BL178" s="111"/>
    </row>
    <row r="179" spans="2:64">
      <c r="B179" s="172">
        <v>524111</v>
      </c>
      <c r="C179" s="110" t="s">
        <v>19</v>
      </c>
      <c r="D179" s="110"/>
      <c r="E179" s="366"/>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8"/>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6"/>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6"/>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39"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6"/>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6"/>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6"/>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8"/>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4"/>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8"/>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6"/>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6"/>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6"/>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8"/>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4"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4"/>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8"/>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6"/>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6"/>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8"/>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6"/>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6"/>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8"/>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6"/>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6"/>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8"/>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6"/>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6"/>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6"/>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8"/>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6"/>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6"/>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8"/>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6"/>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6"/>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6"/>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8"/>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4"/>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4"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4"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8"/>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6"/>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6"/>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39" t="s">
        <v>3804</v>
      </c>
      <c r="BB225" s="111"/>
      <c r="BC225" s="111"/>
      <c r="BD225" s="111"/>
      <c r="BE225" s="111"/>
      <c r="BF225" s="111"/>
      <c r="BG225" s="111"/>
      <c r="BH225" s="111"/>
      <c r="BI225" s="111"/>
      <c r="BJ225" s="111"/>
      <c r="BK225" s="111"/>
      <c r="BL225" s="111"/>
    </row>
    <row r="226" spans="2:64">
      <c r="B226" s="172">
        <v>521811</v>
      </c>
      <c r="C226" s="110" t="s">
        <v>64</v>
      </c>
      <c r="D226" s="110"/>
      <c r="E226" s="366"/>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6"/>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6"/>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6"/>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8"/>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6"/>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6"/>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6"/>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6"/>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8"/>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6"/>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6"/>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6"/>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8"/>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6"/>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4"/>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8"/>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6"/>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6"/>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6"/>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4">
      <c r="B250" s="280"/>
      <c r="C250" s="258"/>
      <c r="D250" s="258"/>
      <c r="E250" s="356"/>
      <c r="F250" s="258"/>
      <c r="G250" s="258"/>
      <c r="H250" s="258"/>
      <c r="I250" s="301">
        <f t="shared" ref="I250:I265" si="573">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1" t="s">
        <v>501</v>
      </c>
      <c r="C251" s="129" t="s">
        <v>76</v>
      </c>
      <c r="D251" s="129"/>
      <c r="E251" s="362"/>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470736598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4242168197</v>
      </c>
      <c r="AV251" s="277">
        <f t="shared" ref="AV251:AV263" si="577">IFERROR(AU251/F251*100,0)</f>
        <v>65.475703287978575</v>
      </c>
      <c r="AW251" s="131">
        <f t="shared" ref="AW251:AW263" si="578">F251-AU251</f>
        <v>2236827803</v>
      </c>
      <c r="AX251" s="131">
        <f t="shared" ref="AX251:AX263" si="579">AW251/F251*100</f>
        <v>34.524296712021432</v>
      </c>
      <c r="AY251" s="129" t="s">
        <v>565</v>
      </c>
      <c r="AZ251" s="133" t="s">
        <v>535</v>
      </c>
      <c r="BB251" s="261"/>
      <c r="BD251" s="261"/>
    </row>
    <row r="252" spans="2:64">
      <c r="B252" s="282" t="s">
        <v>1786</v>
      </c>
      <c r="C252" s="262" t="s">
        <v>1787</v>
      </c>
      <c r="D252" s="263"/>
      <c r="E252" s="367"/>
      <c r="F252" s="264">
        <f>SUM(F253:F263)</f>
        <v>6155047000</v>
      </c>
      <c r="G252" s="264">
        <f>SUM(G253:G263)</f>
        <v>6155047000</v>
      </c>
      <c r="H252" s="264">
        <f>SUM(H253:H263)</f>
        <v>0</v>
      </c>
      <c r="I252" s="264">
        <f t="shared" si="573"/>
        <v>0</v>
      </c>
      <c r="J252" s="264">
        <f t="shared" ref="J252:K252" si="580">SUM(J253:J263)</f>
        <v>208949299</v>
      </c>
      <c r="K252" s="264">
        <f t="shared" si="580"/>
        <v>0</v>
      </c>
      <c r="L252" s="264">
        <f>SUM(L253:L263)</f>
        <v>0</v>
      </c>
      <c r="M252" s="264">
        <f t="shared" ref="M252:N252" si="581">SUM(M253:M263)</f>
        <v>471416928</v>
      </c>
      <c r="N252" s="264">
        <f t="shared" si="581"/>
        <v>0</v>
      </c>
      <c r="O252" s="264">
        <f>SUM(O253:O263)</f>
        <v>0</v>
      </c>
      <c r="P252" s="264">
        <f t="shared" ref="P252:Q252" si="582">SUM(P253:P263)</f>
        <v>493246114</v>
      </c>
      <c r="Q252" s="264">
        <f t="shared" si="582"/>
        <v>0</v>
      </c>
      <c r="R252" s="264">
        <f>SUM(R253:R263)</f>
        <v>0</v>
      </c>
      <c r="S252" s="264">
        <f t="shared" ref="S252:AR252" si="583">SUM(S253:S263)</f>
        <v>811194029</v>
      </c>
      <c r="T252" s="264">
        <f t="shared" si="583"/>
        <v>0</v>
      </c>
      <c r="U252" s="264">
        <f t="shared" si="583"/>
        <v>0</v>
      </c>
      <c r="V252" s="264">
        <f t="shared" si="583"/>
        <v>480605233</v>
      </c>
      <c r="W252" s="264">
        <f t="shared" si="583"/>
        <v>0</v>
      </c>
      <c r="X252" s="264">
        <f t="shared" si="583"/>
        <v>0</v>
      </c>
      <c r="Y252" s="264">
        <f t="shared" si="583"/>
        <v>474970701</v>
      </c>
      <c r="Z252" s="264">
        <f t="shared" si="583"/>
        <v>0</v>
      </c>
      <c r="AA252" s="264">
        <f t="shared" si="583"/>
        <v>0</v>
      </c>
      <c r="AB252" s="264">
        <f t="shared" si="583"/>
        <v>831049295</v>
      </c>
      <c r="AC252" s="264">
        <f t="shared" si="583"/>
        <v>0</v>
      </c>
      <c r="AD252" s="264">
        <f t="shared" si="583"/>
        <v>0</v>
      </c>
      <c r="AE252" s="264">
        <f t="shared" si="583"/>
        <v>470736598</v>
      </c>
      <c r="AF252" s="264">
        <f t="shared" si="583"/>
        <v>0</v>
      </c>
      <c r="AG252" s="264">
        <f t="shared" si="583"/>
        <v>0</v>
      </c>
      <c r="AH252" s="264">
        <f t="shared" si="583"/>
        <v>0</v>
      </c>
      <c r="AI252" s="264">
        <f t="shared" si="583"/>
        <v>0</v>
      </c>
      <c r="AJ252" s="264">
        <f t="shared" si="583"/>
        <v>0</v>
      </c>
      <c r="AK252" s="264">
        <f t="shared" si="583"/>
        <v>0</v>
      </c>
      <c r="AL252" s="264">
        <f t="shared" si="583"/>
        <v>0</v>
      </c>
      <c r="AM252" s="264">
        <f t="shared" si="583"/>
        <v>0</v>
      </c>
      <c r="AN252" s="264">
        <f t="shared" si="583"/>
        <v>0</v>
      </c>
      <c r="AO252" s="264">
        <f t="shared" si="583"/>
        <v>0</v>
      </c>
      <c r="AP252" s="264">
        <f t="shared" si="583"/>
        <v>0</v>
      </c>
      <c r="AQ252" s="264">
        <f t="shared" si="583"/>
        <v>0</v>
      </c>
      <c r="AR252" s="264">
        <f t="shared" si="583"/>
        <v>0</v>
      </c>
      <c r="AS252" s="113"/>
      <c r="AT252" s="113"/>
      <c r="AU252" s="113">
        <f t="shared" si="576"/>
        <v>4242168197</v>
      </c>
      <c r="AV252" s="170">
        <f t="shared" si="577"/>
        <v>68.921783976629257</v>
      </c>
      <c r="AW252" s="121">
        <f t="shared" si="578"/>
        <v>1912878803</v>
      </c>
      <c r="AX252" s="276">
        <f t="shared" si="579"/>
        <v>31.078216023370743</v>
      </c>
      <c r="AY252" s="263" t="s">
        <v>565</v>
      </c>
      <c r="AZ252" t="s">
        <v>535</v>
      </c>
      <c r="BB252" s="265"/>
      <c r="BC252"/>
      <c r="BD252" s="265"/>
      <c r="BE252"/>
    </row>
    <row r="253" spans="2:64">
      <c r="B253" s="283">
        <v>511111</v>
      </c>
      <c r="C253" s="266" t="s">
        <v>77</v>
      </c>
      <c r="D253" s="266"/>
      <c r="E253" s="368"/>
      <c r="F253" s="267">
        <v>2483477000</v>
      </c>
      <c r="G253" s="268">
        <v>2483477000</v>
      </c>
      <c r="H253" s="268"/>
      <c r="I253" s="268">
        <f t="shared" si="573"/>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v>163059300</v>
      </c>
      <c r="AF253" s="269"/>
      <c r="AG253" s="269"/>
      <c r="AH253" s="269"/>
      <c r="AI253" s="269"/>
      <c r="AJ253" s="269"/>
      <c r="AK253" s="269"/>
      <c r="AL253" s="269"/>
      <c r="AM253" s="269"/>
      <c r="AN253" s="269"/>
      <c r="AO253" s="269"/>
      <c r="AP253" s="269"/>
      <c r="AQ253" s="269"/>
      <c r="AR253" s="269"/>
      <c r="AS253" s="269"/>
      <c r="AT253" s="269"/>
      <c r="AU253" s="269">
        <f t="shared" si="576"/>
        <v>1692987900</v>
      </c>
      <c r="AV253" s="278">
        <f t="shared" si="577"/>
        <v>68.170065597547307</v>
      </c>
      <c r="AW253" s="273">
        <f t="shared" si="578"/>
        <v>790489100</v>
      </c>
      <c r="AX253" s="272">
        <f t="shared" si="579"/>
        <v>31.829934402452693</v>
      </c>
      <c r="AY253" s="266" t="s">
        <v>565</v>
      </c>
      <c r="AZ253" t="s">
        <v>535</v>
      </c>
      <c r="BB253" s="159"/>
      <c r="BC253"/>
      <c r="BD253" s="159"/>
      <c r="BE253"/>
    </row>
    <row r="254" spans="2:64">
      <c r="B254" s="283">
        <v>511119</v>
      </c>
      <c r="C254" s="266" t="s">
        <v>79</v>
      </c>
      <c r="D254" s="266"/>
      <c r="E254" s="368"/>
      <c r="F254" s="267">
        <v>38000</v>
      </c>
      <c r="G254" s="268">
        <v>38000</v>
      </c>
      <c r="H254" s="268"/>
      <c r="I254" s="268">
        <f t="shared" si="573"/>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v>2487</v>
      </c>
      <c r="AF254" s="269"/>
      <c r="AG254" s="269"/>
      <c r="AH254" s="269"/>
      <c r="AI254" s="269"/>
      <c r="AJ254" s="269"/>
      <c r="AK254" s="269"/>
      <c r="AL254" s="269"/>
      <c r="AM254" s="269"/>
      <c r="AN254" s="269"/>
      <c r="AO254" s="269"/>
      <c r="AP254" s="269"/>
      <c r="AQ254" s="269"/>
      <c r="AR254" s="269"/>
      <c r="AS254" s="269"/>
      <c r="AT254" s="269"/>
      <c r="AU254" s="269">
        <f t="shared" si="576"/>
        <v>26074</v>
      </c>
      <c r="AV254" s="278">
        <f t="shared" si="577"/>
        <v>68.615789473684202</v>
      </c>
      <c r="AW254" s="273">
        <f t="shared" si="578"/>
        <v>11926</v>
      </c>
      <c r="AX254" s="272">
        <f t="shared" si="579"/>
        <v>31.38421052631579</v>
      </c>
      <c r="AY254" s="266" t="s">
        <v>565</v>
      </c>
      <c r="AZ254" t="s">
        <v>535</v>
      </c>
      <c r="BB254" s="159"/>
      <c r="BC254"/>
      <c r="BD254" s="159"/>
      <c r="BE254"/>
    </row>
    <row r="255" spans="2:64">
      <c r="B255" s="283">
        <v>511121</v>
      </c>
      <c r="C255" s="266" t="s">
        <v>80</v>
      </c>
      <c r="D255" s="266"/>
      <c r="E255" s="368"/>
      <c r="F255" s="267">
        <v>171959000</v>
      </c>
      <c r="G255" s="268">
        <v>171959000</v>
      </c>
      <c r="H255" s="268"/>
      <c r="I255" s="268">
        <f t="shared" si="573"/>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576"/>
        <v>110831210</v>
      </c>
      <c r="AV255" s="278">
        <f t="shared" si="577"/>
        <v>64.452113585215073</v>
      </c>
      <c r="AW255" s="273">
        <f t="shared" si="578"/>
        <v>61127790</v>
      </c>
      <c r="AX255" s="272">
        <f t="shared" si="579"/>
        <v>35.547886414784919</v>
      </c>
      <c r="AY255" s="266" t="s">
        <v>565</v>
      </c>
      <c r="AZ255" t="s">
        <v>535</v>
      </c>
      <c r="BB255" s="159"/>
      <c r="BC255"/>
      <c r="BD255" s="159"/>
      <c r="BE255"/>
    </row>
    <row r="256" spans="2:64">
      <c r="B256" s="283">
        <v>511122</v>
      </c>
      <c r="C256" s="266" t="s">
        <v>81</v>
      </c>
      <c r="D256" s="266"/>
      <c r="E256" s="368"/>
      <c r="F256" s="267">
        <v>46700000</v>
      </c>
      <c r="G256" s="268">
        <v>46700000</v>
      </c>
      <c r="H256" s="268"/>
      <c r="I256" s="268">
        <f t="shared" si="573"/>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576"/>
        <v>33264616</v>
      </c>
      <c r="AV256" s="278">
        <f t="shared" si="577"/>
        <v>71.230441113490357</v>
      </c>
      <c r="AW256" s="273">
        <f t="shared" si="578"/>
        <v>13435384</v>
      </c>
      <c r="AX256" s="272">
        <f t="shared" si="579"/>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573"/>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576"/>
        <v>97300000</v>
      </c>
      <c r="AV257" s="278">
        <f t="shared" si="577"/>
        <v>61.582278481012651</v>
      </c>
      <c r="AW257" s="273">
        <f t="shared" si="578"/>
        <v>60700000</v>
      </c>
      <c r="AX257" s="272">
        <f t="shared" si="579"/>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573"/>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576"/>
        <v>49336000</v>
      </c>
      <c r="AV258" s="278">
        <f t="shared" si="577"/>
        <v>102.39933582399337</v>
      </c>
      <c r="AW258" s="273">
        <f t="shared" si="578"/>
        <v>-1156000</v>
      </c>
      <c r="AX258" s="272">
        <f t="shared" si="579"/>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573"/>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576"/>
        <v>7527916</v>
      </c>
      <c r="AV259" s="278">
        <f t="shared" si="577"/>
        <v>57.320612198279143</v>
      </c>
      <c r="AW259" s="273">
        <f t="shared" si="578"/>
        <v>5605084</v>
      </c>
      <c r="AX259" s="272">
        <f t="shared" si="579"/>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573"/>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576"/>
        <v>89221440</v>
      </c>
      <c r="AV260" s="278">
        <f t="shared" si="577"/>
        <v>68.456522906708202</v>
      </c>
      <c r="AW260" s="273">
        <f t="shared" si="578"/>
        <v>41111560</v>
      </c>
      <c r="AX260" s="272">
        <f t="shared" si="579"/>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573"/>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576"/>
        <v>181402000</v>
      </c>
      <c r="AV261" s="278">
        <f t="shared" si="577"/>
        <v>47.815509029229347</v>
      </c>
      <c r="AW261" s="273">
        <f t="shared" si="578"/>
        <v>197977000</v>
      </c>
      <c r="AX261" s="272">
        <f t="shared" si="579"/>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573"/>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576"/>
        <v>55215000</v>
      </c>
      <c r="AV262" s="278">
        <f t="shared" si="577"/>
        <v>62.488682661837935</v>
      </c>
      <c r="AW262" s="273">
        <f t="shared" si="578"/>
        <v>33145000</v>
      </c>
      <c r="AX262" s="272">
        <f t="shared" si="579"/>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573"/>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576"/>
        <v>1925056041</v>
      </c>
      <c r="AV263" s="278">
        <f t="shared" si="577"/>
        <v>73.043627631770661</v>
      </c>
      <c r="AW263" s="273">
        <f t="shared" si="578"/>
        <v>710431959</v>
      </c>
      <c r="AX263" s="272">
        <f t="shared" si="579"/>
        <v>26.956372368229335</v>
      </c>
      <c r="AY263" s="266" t="s">
        <v>565</v>
      </c>
      <c r="AZ263" t="s">
        <v>535</v>
      </c>
      <c r="BB263" s="159"/>
      <c r="BC263"/>
      <c r="BD263" s="159"/>
      <c r="BE263"/>
    </row>
    <row r="264" spans="2:61">
      <c r="B264" s="282" t="s">
        <v>2187</v>
      </c>
      <c r="C264" s="262" t="s">
        <v>3604</v>
      </c>
      <c r="D264" s="263"/>
      <c r="E264" s="367"/>
      <c r="F264" s="264">
        <f t="shared" ref="F264:G264" si="584">F265</f>
        <v>323949000</v>
      </c>
      <c r="G264" s="264">
        <f t="shared" si="584"/>
        <v>323949000</v>
      </c>
      <c r="H264" s="264">
        <f>H265</f>
        <v>323949000</v>
      </c>
      <c r="I264" s="264">
        <f t="shared" si="573"/>
        <v>0</v>
      </c>
      <c r="J264" s="264">
        <f t="shared" ref="J264:K264" si="585">SUM(J265:J275)</f>
        <v>0</v>
      </c>
      <c r="K264" s="264">
        <f t="shared" si="585"/>
        <v>0</v>
      </c>
      <c r="L264" s="264">
        <f>SUM(L265:L275)</f>
        <v>0</v>
      </c>
      <c r="M264" s="264">
        <f t="shared" ref="M264:N264" si="586">SUM(M265:M275)</f>
        <v>0</v>
      </c>
      <c r="N264" s="264">
        <f t="shared" si="586"/>
        <v>0</v>
      </c>
      <c r="O264" s="264">
        <f>SUM(O265:O275)</f>
        <v>0</v>
      </c>
      <c r="P264" s="264">
        <f t="shared" ref="P264:Q264" si="587">SUM(P265:P275)</f>
        <v>0</v>
      </c>
      <c r="Q264" s="264">
        <f t="shared" si="587"/>
        <v>0</v>
      </c>
      <c r="R264" s="264">
        <f>SUM(R265:R275)</f>
        <v>0</v>
      </c>
      <c r="S264" s="264">
        <f t="shared" ref="S264:AR264" si="588">SUM(S265:S275)</f>
        <v>0</v>
      </c>
      <c r="T264" s="264">
        <f t="shared" si="588"/>
        <v>0</v>
      </c>
      <c r="U264" s="264">
        <f t="shared" si="588"/>
        <v>0</v>
      </c>
      <c r="V264" s="264">
        <f t="shared" si="588"/>
        <v>0</v>
      </c>
      <c r="W264" s="264">
        <f t="shared" si="588"/>
        <v>0</v>
      </c>
      <c r="X264" s="264">
        <f t="shared" si="588"/>
        <v>0</v>
      </c>
      <c r="Y264" s="264">
        <f t="shared" si="588"/>
        <v>0</v>
      </c>
      <c r="Z264" s="264">
        <f t="shared" si="588"/>
        <v>0</v>
      </c>
      <c r="AA264" s="264">
        <f t="shared" si="588"/>
        <v>0</v>
      </c>
      <c r="AB264" s="264">
        <f t="shared" si="588"/>
        <v>0</v>
      </c>
      <c r="AC264" s="264">
        <f t="shared" si="588"/>
        <v>0</v>
      </c>
      <c r="AD264" s="264">
        <f t="shared" si="588"/>
        <v>0</v>
      </c>
      <c r="AE264" s="264">
        <f t="shared" si="588"/>
        <v>0</v>
      </c>
      <c r="AF264" s="264">
        <f t="shared" si="588"/>
        <v>0</v>
      </c>
      <c r="AG264" s="264">
        <f t="shared" si="588"/>
        <v>0</v>
      </c>
      <c r="AH264" s="264">
        <f t="shared" si="588"/>
        <v>0</v>
      </c>
      <c r="AI264" s="264">
        <f t="shared" si="588"/>
        <v>0</v>
      </c>
      <c r="AJ264" s="264">
        <f t="shared" si="588"/>
        <v>0</v>
      </c>
      <c r="AK264" s="264">
        <f t="shared" si="588"/>
        <v>0</v>
      </c>
      <c r="AL264" s="264">
        <f t="shared" si="588"/>
        <v>0</v>
      </c>
      <c r="AM264" s="264">
        <f t="shared" si="588"/>
        <v>0</v>
      </c>
      <c r="AN264" s="264">
        <f t="shared" si="588"/>
        <v>0</v>
      </c>
      <c r="AO264" s="264">
        <f t="shared" si="588"/>
        <v>0</v>
      </c>
      <c r="AP264" s="264">
        <f t="shared" si="588"/>
        <v>0</v>
      </c>
      <c r="AQ264" s="264">
        <f t="shared" si="588"/>
        <v>0</v>
      </c>
      <c r="AR264" s="264">
        <f t="shared" si="588"/>
        <v>0</v>
      </c>
      <c r="AS264" s="113"/>
      <c r="AT264" s="113"/>
      <c r="AU264" s="113">
        <f t="shared" ref="AU264" si="589">SUM(J264:AS264)</f>
        <v>0</v>
      </c>
      <c r="AV264" s="170">
        <f t="shared" ref="AV264" si="590">IFERROR(AU264/F264*100,0)</f>
        <v>0</v>
      </c>
      <c r="AW264" s="113">
        <f t="shared" ref="AW264" si="591">F264-AU264</f>
        <v>323949000</v>
      </c>
      <c r="AX264" s="276">
        <f t="shared" ref="AX264" si="592">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573"/>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G268" t="s">
        <v>7750</v>
      </c>
      <c r="AU268" s="161">
        <f>AU253+AU254+AU255+AU256+AU257+AU258+AU259+AU260+AU262</f>
        <v>2135710156</v>
      </c>
    </row>
    <row r="269" spans="2:61">
      <c r="AG269" t="s">
        <v>7751</v>
      </c>
      <c r="AU269" s="161">
        <f>AU261</f>
        <v>181402000</v>
      </c>
    </row>
    <row r="270" spans="2:61">
      <c r="AB270" s="161"/>
      <c r="AG270" t="s">
        <v>7752</v>
      </c>
      <c r="AU270" s="161">
        <f>AU263</f>
        <v>1925056041</v>
      </c>
    </row>
    <row r="271" spans="2:61">
      <c r="AU271" s="161">
        <f>SUM(AU268:AU270)</f>
        <v>4242168197</v>
      </c>
    </row>
    <row r="272" spans="2:61">
      <c r="D272" s="159"/>
      <c r="E272" s="370"/>
      <c r="F272" s="159"/>
    </row>
    <row r="273" spans="4:6">
      <c r="D273" s="159"/>
      <c r="E273" s="370"/>
      <c r="F273" s="159"/>
    </row>
    <row r="274" spans="4:6">
      <c r="D274" s="159"/>
      <c r="E274" s="370"/>
      <c r="F274" s="159"/>
    </row>
    <row r="275" spans="4:6">
      <c r="D275" s="159"/>
      <c r="E275" s="370"/>
      <c r="F275" s="159"/>
    </row>
    <row r="276" spans="4:6">
      <c r="D276" s="159"/>
      <c r="E276" s="370"/>
      <c r="F276" s="159"/>
    </row>
    <row r="277" spans="4:6">
      <c r="D277" s="159"/>
      <c r="E277" s="370"/>
      <c r="F277" s="159"/>
    </row>
    <row r="278" spans="4:6">
      <c r="D278" s="159"/>
      <c r="E278" s="370"/>
      <c r="F278" s="159"/>
    </row>
    <row r="279" spans="4:6">
      <c r="D279" s="159"/>
      <c r="E279" s="370"/>
      <c r="F279" s="159"/>
    </row>
    <row r="280" spans="4:6">
      <c r="D280" s="159"/>
      <c r="E280" s="370"/>
      <c r="F280" s="159"/>
    </row>
    <row r="281" spans="4:6">
      <c r="D281" s="159"/>
      <c r="E281" s="370"/>
      <c r="F281" s="159"/>
    </row>
    <row r="282" spans="4:6">
      <c r="D282" s="159"/>
      <c r="E282" s="370"/>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107" priority="8">
      <formula>ROW()=CELL("ROW")</formula>
    </cfRule>
  </conditionalFormatting>
  <conditionalFormatting sqref="AS251:AT252">
    <cfRule type="expression" dxfId="106" priority="6">
      <formula>ROW()=CELL("ROW")</formula>
    </cfRule>
  </conditionalFormatting>
  <conditionalFormatting sqref="B252:C252">
    <cfRule type="expression" dxfId="105" priority="5">
      <formula>AND($R$4="Ya",$Q$2=ROW())</formula>
    </cfRule>
  </conditionalFormatting>
  <conditionalFormatting sqref="AU253:AU263">
    <cfRule type="expression" dxfId="104" priority="4">
      <formula>ROW()=CELL("ROW")</formula>
    </cfRule>
  </conditionalFormatting>
  <conditionalFormatting sqref="AS264:AT264">
    <cfRule type="expression" dxfId="103" priority="3">
      <formula>ROW()=CELL("ROW")</formula>
    </cfRule>
  </conditionalFormatting>
  <conditionalFormatting sqref="B264:C264">
    <cfRule type="expression" dxfId="102" priority="2">
      <formula>AND($R$4="Ya",$Q$2=ROW())</formula>
    </cfRule>
  </conditionalFormatting>
  <conditionalFormatting sqref="AW251:AW265">
    <cfRule type="cellIs" dxfId="101"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10" activePane="bottomRight" state="frozen"/>
      <selection pane="topRight" activeCell="C1" sqref="C1"/>
      <selection pane="bottomLeft" activeCell="A4" sqref="A4"/>
      <selection pane="bottomRight" activeCell="P38" sqref="P38"/>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37" t="s">
        <v>7686</v>
      </c>
      <c r="B1" s="537"/>
      <c r="C1" s="537"/>
      <c r="D1" s="537"/>
      <c r="E1" s="537"/>
      <c r="F1" s="537"/>
      <c r="G1" s="537"/>
      <c r="H1" s="537"/>
      <c r="I1" s="537"/>
      <c r="J1" s="537"/>
      <c r="K1" s="537"/>
      <c r="L1" s="537"/>
      <c r="M1" s="537"/>
      <c r="N1" s="537"/>
    </row>
    <row r="2" spans="1:15" ht="15.75">
      <c r="A2" s="538" t="str">
        <f>'PER BULAN'!B5</f>
        <v>Berdasarkan DIPA Revisi 3 TA. 2022 (Tanggal 13 Juli 2022)</v>
      </c>
      <c r="B2" s="538"/>
      <c r="C2" s="538"/>
      <c r="D2" s="538"/>
      <c r="E2" s="538"/>
      <c r="F2" s="538"/>
      <c r="G2" s="538"/>
      <c r="H2" s="538"/>
      <c r="I2" s="538"/>
      <c r="J2" s="538"/>
      <c r="K2" s="538"/>
      <c r="L2" s="538"/>
      <c r="M2" s="538"/>
      <c r="N2" s="538"/>
    </row>
    <row r="3" spans="1:15" ht="15.75">
      <c r="A3" s="538" t="str">
        <f>'PER BULAN'!B6</f>
        <v>SAMPAI DENGAN 24 AGUSTUS 2022</v>
      </c>
      <c r="B3" s="538"/>
      <c r="C3" s="538"/>
      <c r="D3" s="538"/>
      <c r="E3" s="538"/>
      <c r="F3" s="538"/>
      <c r="G3" s="538"/>
      <c r="H3" s="538"/>
      <c r="I3" s="538"/>
      <c r="J3" s="538"/>
      <c r="K3" s="538"/>
      <c r="L3" s="538"/>
      <c r="M3" s="538"/>
      <c r="N3" s="538"/>
    </row>
    <row r="4" spans="1:15">
      <c r="A4" s="360"/>
      <c r="B4" s="360"/>
      <c r="C4" s="360"/>
      <c r="D4" s="360"/>
      <c r="E4" s="360"/>
      <c r="F4" s="360"/>
      <c r="G4" s="360"/>
      <c r="H4" s="360"/>
      <c r="I4" s="360"/>
      <c r="J4" s="360"/>
      <c r="K4" s="360"/>
      <c r="L4" s="360"/>
      <c r="M4" s="360"/>
      <c r="N4" s="360"/>
    </row>
    <row r="5" spans="1:15" ht="15.75">
      <c r="A5" s="328" t="s">
        <v>3878</v>
      </c>
    </row>
    <row r="6" spans="1:15">
      <c r="A6" s="546" t="s">
        <v>571</v>
      </c>
      <c r="B6" s="546" t="s">
        <v>500</v>
      </c>
      <c r="C6" s="557" t="s">
        <v>7680</v>
      </c>
      <c r="D6" s="558"/>
      <c r="E6" s="558"/>
      <c r="F6" s="558"/>
      <c r="G6" s="559"/>
      <c r="H6" s="541" t="s">
        <v>7682</v>
      </c>
      <c r="I6" s="542"/>
      <c r="J6" s="542"/>
      <c r="K6" s="542"/>
      <c r="L6" s="543"/>
      <c r="M6" s="565" t="s">
        <v>4679</v>
      </c>
      <c r="N6" s="565" t="s">
        <v>4681</v>
      </c>
    </row>
    <row r="7" spans="1:15" ht="14.45" customHeight="1">
      <c r="A7" s="547"/>
      <c r="B7" s="547"/>
      <c r="C7" s="560" t="s">
        <v>7681</v>
      </c>
      <c r="D7" s="557" t="s">
        <v>3732</v>
      </c>
      <c r="E7" s="559"/>
      <c r="F7" s="557" t="s">
        <v>3733</v>
      </c>
      <c r="G7" s="559"/>
      <c r="H7" s="544" t="s">
        <v>7683</v>
      </c>
      <c r="I7" s="541" t="s">
        <v>3732</v>
      </c>
      <c r="J7" s="543"/>
      <c r="K7" s="541" t="s">
        <v>3733</v>
      </c>
      <c r="L7" s="543"/>
      <c r="M7" s="566"/>
      <c r="N7" s="566"/>
    </row>
    <row r="8" spans="1:15" ht="14.45" customHeight="1">
      <c r="A8" s="548"/>
      <c r="B8" s="548"/>
      <c r="C8" s="561"/>
      <c r="D8" s="312" t="s">
        <v>4691</v>
      </c>
      <c r="E8" s="312" t="s">
        <v>3729</v>
      </c>
      <c r="F8" s="312" t="s">
        <v>4691</v>
      </c>
      <c r="G8" s="312" t="s">
        <v>3729</v>
      </c>
      <c r="H8" s="545"/>
      <c r="I8" s="443" t="s">
        <v>4691</v>
      </c>
      <c r="J8" s="443" t="s">
        <v>3729</v>
      </c>
      <c r="K8" s="443" t="s">
        <v>4691</v>
      </c>
      <c r="L8" s="443" t="s">
        <v>3729</v>
      </c>
      <c r="M8" s="567"/>
      <c r="N8" s="567"/>
    </row>
    <row r="9" spans="1:15">
      <c r="A9" s="55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52"/>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5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53"/>
      <c r="B13" s="452" t="s">
        <v>4687</v>
      </c>
      <c r="C13" s="453">
        <f>SUM(C9:C12)</f>
        <v>4328014000</v>
      </c>
      <c r="D13" s="453">
        <f>SUM(D9:D12)</f>
        <v>2275241963</v>
      </c>
      <c r="E13" s="454">
        <f t="shared" si="0"/>
        <v>52.570115600365433</v>
      </c>
      <c r="F13" s="453">
        <f t="shared" si="1"/>
        <v>2052772037</v>
      </c>
      <c r="G13" s="454">
        <f t="shared" si="2"/>
        <v>47.429884399634567</v>
      </c>
      <c r="H13" s="453">
        <f>SUM(H9:H12)</f>
        <v>3618462000</v>
      </c>
      <c r="I13" s="453">
        <f>SUM(I9:I12)</f>
        <v>2275241963</v>
      </c>
      <c r="J13" s="454">
        <f t="shared" si="4"/>
        <v>62.878702691917177</v>
      </c>
      <c r="K13" s="453">
        <f t="shared" si="5"/>
        <v>1343220037</v>
      </c>
      <c r="L13" s="454">
        <f t="shared" si="6"/>
        <v>37.121297308082831</v>
      </c>
      <c r="M13" s="453">
        <f>SUM(M9:M12)</f>
        <v>100000000</v>
      </c>
      <c r="N13" s="453">
        <f>SUM(N9:N12)</f>
        <v>609552000</v>
      </c>
    </row>
    <row r="14" spans="1:15" ht="15" customHeight="1">
      <c r="A14" s="551"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52"/>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52"/>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53"/>
      <c r="B17" s="452" t="s">
        <v>4688</v>
      </c>
      <c r="C17" s="453">
        <f>SUM(C14:C16)</f>
        <v>9985150000</v>
      </c>
      <c r="D17" s="453">
        <f>SUM(D14:D16)</f>
        <v>5220546680</v>
      </c>
      <c r="E17" s="454">
        <f t="shared" si="0"/>
        <v>52.283107214213111</v>
      </c>
      <c r="F17" s="453">
        <f t="shared" si="1"/>
        <v>4764603320</v>
      </c>
      <c r="G17" s="454">
        <f t="shared" si="2"/>
        <v>47.716892785786897</v>
      </c>
      <c r="H17" s="453">
        <f>SUM(H14:H16)</f>
        <v>9046216000</v>
      </c>
      <c r="I17" s="453">
        <f>SUM(I14:I16)</f>
        <v>5220546680</v>
      </c>
      <c r="J17" s="454">
        <f t="shared" si="4"/>
        <v>57.709728354927627</v>
      </c>
      <c r="K17" s="453">
        <f t="shared" si="5"/>
        <v>3825669320</v>
      </c>
      <c r="L17" s="454">
        <f t="shared" si="6"/>
        <v>42.290271645072366</v>
      </c>
      <c r="M17" s="453">
        <f t="shared" ref="M17:N17" si="8">SUM(M14:M16)</f>
        <v>0</v>
      </c>
      <c r="N17" s="453">
        <f t="shared" si="8"/>
        <v>938934000</v>
      </c>
    </row>
    <row r="18" spans="1:17" ht="15" customHeight="1">
      <c r="A18" s="551"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52"/>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53"/>
      <c r="B20" s="452" t="s">
        <v>4689</v>
      </c>
      <c r="C20" s="453">
        <f>SUM(C18:C19)</f>
        <v>1278600000</v>
      </c>
      <c r="D20" s="453">
        <f>SUM(D18:D19)</f>
        <v>246477175</v>
      </c>
      <c r="E20" s="454">
        <f t="shared" si="0"/>
        <v>19.27711363991866</v>
      </c>
      <c r="F20" s="453">
        <f t="shared" si="1"/>
        <v>1032122825</v>
      </c>
      <c r="G20" s="454">
        <f t="shared" si="2"/>
        <v>80.722886360081333</v>
      </c>
      <c r="H20" s="453">
        <f>SUM(H18:H19)</f>
        <v>372369000</v>
      </c>
      <c r="I20" s="453">
        <f>SUM(I18:I19)</f>
        <v>246477175</v>
      </c>
      <c r="J20" s="454">
        <f t="shared" si="4"/>
        <v>66.191647263869982</v>
      </c>
      <c r="K20" s="453">
        <f t="shared" si="5"/>
        <v>125891825</v>
      </c>
      <c r="L20" s="454">
        <f t="shared" si="6"/>
        <v>33.808352736130018</v>
      </c>
      <c r="M20" s="453">
        <f t="shared" ref="M20:N20" si="10">SUM(M18:M19)</f>
        <v>0</v>
      </c>
      <c r="N20" s="453">
        <f t="shared" si="10"/>
        <v>906231000</v>
      </c>
    </row>
    <row r="21" spans="1:17" ht="15" customHeight="1">
      <c r="A21" s="551"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52"/>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53"/>
      <c r="B23" s="452" t="s">
        <v>4690</v>
      </c>
      <c r="C23" s="453">
        <f>SUM(C21:C22)</f>
        <v>1271400000</v>
      </c>
      <c r="D23" s="453">
        <f>SUM(D21:D22)</f>
        <v>461217658</v>
      </c>
      <c r="E23" s="454">
        <f t="shared" si="0"/>
        <v>36.276361333962562</v>
      </c>
      <c r="F23" s="453">
        <f t="shared" si="1"/>
        <v>810182342</v>
      </c>
      <c r="G23" s="454">
        <f t="shared" si="2"/>
        <v>63.723638666037438</v>
      </c>
      <c r="H23" s="453">
        <f>SUM(H21:H22)</f>
        <v>838757000</v>
      </c>
      <c r="I23" s="453">
        <f>SUM(I21:I22)</f>
        <v>461217658</v>
      </c>
      <c r="J23" s="454">
        <f t="shared" si="4"/>
        <v>54.988233540822904</v>
      </c>
      <c r="K23" s="453">
        <f t="shared" si="5"/>
        <v>377539342</v>
      </c>
      <c r="L23" s="454">
        <f t="shared" si="6"/>
        <v>45.011766459177096</v>
      </c>
      <c r="M23" s="453">
        <f t="shared" ref="M23:N23" si="12">SUM(M21:M22)</f>
        <v>0</v>
      </c>
      <c r="N23" s="453">
        <f t="shared" si="12"/>
        <v>432643000</v>
      </c>
    </row>
    <row r="24" spans="1:17">
      <c r="A24" s="554" t="s">
        <v>3735</v>
      </c>
      <c r="B24" s="554"/>
      <c r="C24" s="446">
        <f>C13++C17+C20+C23</f>
        <v>16863164000</v>
      </c>
      <c r="D24" s="446">
        <f>D13++D17+D20+D23</f>
        <v>8203483476</v>
      </c>
      <c r="E24" s="447">
        <f t="shared" si="0"/>
        <v>48.647356308697468</v>
      </c>
      <c r="F24" s="446">
        <f t="shared" si="1"/>
        <v>8659680524</v>
      </c>
      <c r="G24" s="447">
        <f t="shared" si="2"/>
        <v>51.352643691302532</v>
      </c>
      <c r="H24" s="144">
        <f>H13++H17+H20+H23</f>
        <v>13875804000</v>
      </c>
      <c r="I24" s="144">
        <f>I13++I17+I20+I23</f>
        <v>8203483476</v>
      </c>
      <c r="J24" s="461">
        <f t="shared" si="4"/>
        <v>59.120779422943706</v>
      </c>
      <c r="K24" s="144">
        <f t="shared" si="5"/>
        <v>5672320524</v>
      </c>
      <c r="L24" s="461">
        <f t="shared" si="6"/>
        <v>40.879220577056294</v>
      </c>
      <c r="M24" s="451">
        <f t="shared" ref="M24:N24" si="13">M13++M17+M20+M23</f>
        <v>100000000</v>
      </c>
      <c r="N24" s="451">
        <f t="shared" si="13"/>
        <v>2887360000</v>
      </c>
      <c r="O24" s="159"/>
    </row>
    <row r="25" spans="1:17">
      <c r="A25" s="549" t="s">
        <v>4685</v>
      </c>
      <c r="B25" s="550"/>
      <c r="C25" s="448">
        <f>C24</f>
        <v>16863164000</v>
      </c>
      <c r="D25" s="449">
        <f>D24</f>
        <v>8203483476</v>
      </c>
      <c r="E25" s="450">
        <f t="shared" si="0"/>
        <v>48.647356308697468</v>
      </c>
      <c r="F25" s="449">
        <f t="shared" si="1"/>
        <v>8659680524</v>
      </c>
      <c r="G25" s="450">
        <f t="shared" si="2"/>
        <v>51.352643691302532</v>
      </c>
      <c r="H25" s="462">
        <f>H24</f>
        <v>13875804000</v>
      </c>
      <c r="I25" s="463">
        <f>I24</f>
        <v>8203483476</v>
      </c>
      <c r="J25" s="464">
        <f t="shared" si="4"/>
        <v>59.120779422943706</v>
      </c>
      <c r="K25" s="463">
        <f t="shared" si="5"/>
        <v>5672320524</v>
      </c>
      <c r="L25" s="464">
        <f t="shared" si="6"/>
        <v>40.879220577056294</v>
      </c>
      <c r="M25" s="571">
        <f>SUM(M24,N24)</f>
        <v>2987360000</v>
      </c>
      <c r="N25" s="572"/>
      <c r="O25" s="161"/>
    </row>
    <row r="28" spans="1:17" ht="15.75">
      <c r="A28" s="328" t="s">
        <v>3885</v>
      </c>
      <c r="P28" s="159">
        <f>I25</f>
        <v>8203483476</v>
      </c>
      <c r="Q28" s="479">
        <v>44775</v>
      </c>
    </row>
    <row r="29" spans="1:17" ht="14.45" customHeight="1">
      <c r="A29" s="562" t="s">
        <v>3871</v>
      </c>
      <c r="B29" s="562" t="s">
        <v>3872</v>
      </c>
      <c r="C29" s="557" t="s">
        <v>7680</v>
      </c>
      <c r="D29" s="558"/>
      <c r="E29" s="558"/>
      <c r="F29" s="558"/>
      <c r="G29" s="559"/>
      <c r="H29" s="541" t="s">
        <v>7682</v>
      </c>
      <c r="I29" s="542"/>
      <c r="J29" s="542"/>
      <c r="K29" s="542"/>
      <c r="L29" s="543"/>
      <c r="M29" s="565" t="s">
        <v>4679</v>
      </c>
      <c r="N29" s="565" t="s">
        <v>4681</v>
      </c>
      <c r="P29" s="159">
        <v>8037886086</v>
      </c>
      <c r="Q29" s="479">
        <v>44774</v>
      </c>
    </row>
    <row r="30" spans="1:17">
      <c r="A30" s="563"/>
      <c r="B30" s="563"/>
      <c r="C30" s="560" t="s">
        <v>7681</v>
      </c>
      <c r="D30" s="557" t="s">
        <v>3732</v>
      </c>
      <c r="E30" s="559"/>
      <c r="F30" s="557" t="s">
        <v>3733</v>
      </c>
      <c r="G30" s="559"/>
      <c r="H30" s="544" t="s">
        <v>7683</v>
      </c>
      <c r="I30" s="541" t="s">
        <v>3732</v>
      </c>
      <c r="J30" s="543"/>
      <c r="K30" s="541" t="s">
        <v>3733</v>
      </c>
      <c r="L30" s="543"/>
      <c r="M30" s="566"/>
      <c r="N30" s="566"/>
      <c r="P30" s="159">
        <f>P28-P29</f>
        <v>165597390</v>
      </c>
      <c r="Q30" s="349">
        <f>P30/H25*100</f>
        <v>1.1934255485303771</v>
      </c>
    </row>
    <row r="31" spans="1:17">
      <c r="A31" s="564"/>
      <c r="B31" s="564"/>
      <c r="C31" s="561"/>
      <c r="D31" s="312" t="s">
        <v>4691</v>
      </c>
      <c r="E31" s="312" t="s">
        <v>3729</v>
      </c>
      <c r="F31" s="312" t="s">
        <v>4691</v>
      </c>
      <c r="G31" s="312" t="s">
        <v>3729</v>
      </c>
      <c r="H31" s="545"/>
      <c r="I31" s="443" t="s">
        <v>4691</v>
      </c>
      <c r="J31" s="443" t="s">
        <v>3729</v>
      </c>
      <c r="K31" s="443" t="s">
        <v>4691</v>
      </c>
      <c r="L31" s="443" t="s">
        <v>3729</v>
      </c>
      <c r="M31" s="567"/>
      <c r="N31" s="567"/>
      <c r="Q31">
        <v>57.93</v>
      </c>
    </row>
    <row r="32" spans="1:17">
      <c r="A32" s="146">
        <v>1</v>
      </c>
      <c r="B32" s="147" t="s">
        <v>3873</v>
      </c>
      <c r="C32" s="148">
        <f>SUM(C33:C34)</f>
        <v>16207230000</v>
      </c>
      <c r="D32" s="148">
        <f>SUM(D33:D34)</f>
        <v>7549283476</v>
      </c>
      <c r="E32" s="444">
        <f t="shared" ref="E32:E35" si="14">IFERROR(D32/C32*100,0)</f>
        <v>46.579726924341792</v>
      </c>
      <c r="F32" s="148">
        <f>SUM(F33:F34)</f>
        <v>8657946524</v>
      </c>
      <c r="G32" s="444">
        <f t="shared" ref="G32:G35" si="15">IFERROR(F32/C32*100,0)</f>
        <v>53.420273075658208</v>
      </c>
      <c r="H32" s="148">
        <f>SUM(H33:H34)</f>
        <v>13221604000</v>
      </c>
      <c r="I32" s="148">
        <f>SUM(I33:I34)</f>
        <v>7549283476</v>
      </c>
      <c r="J32" s="444">
        <f t="shared" ref="J32:J35" si="16">IFERROR(I32/H32*100,0)</f>
        <v>57.098090942672307</v>
      </c>
      <c r="K32" s="148">
        <f>SUM(K33:K34)</f>
        <v>5672320524</v>
      </c>
      <c r="L32" s="444">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5">
        <f t="shared" si="14"/>
        <v>43.162565117153946</v>
      </c>
      <c r="F33" s="115">
        <f t="shared" ref="F33:F34" si="19">C33-D33</f>
        <v>1247955686</v>
      </c>
      <c r="G33" s="445">
        <f t="shared" si="15"/>
        <v>56.837434882846047</v>
      </c>
      <c r="H33" s="152" cm="1">
        <f t="array" ref="H33">SUM(_xlfn._xlws.FILTER(SP2D[Pagu-Blokir],SP2D[Jenis Belanja]="Belanja Barang Operasional",0))</f>
        <v>2095658000</v>
      </c>
      <c r="I33" s="152">
        <f t="shared" ref="I33:I34" si="20">D33</f>
        <v>947702314</v>
      </c>
      <c r="J33" s="445">
        <f t="shared" si="16"/>
        <v>45.222183867787585</v>
      </c>
      <c r="K33" s="152">
        <f t="shared" ref="K33:K34" si="21">H33-I33</f>
        <v>1147955686</v>
      </c>
      <c r="L33" s="445">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5">
        <f t="shared" si="14"/>
        <v>47.115207073124985</v>
      </c>
      <c r="F34" s="115">
        <f t="shared" si="19"/>
        <v>7409990838</v>
      </c>
      <c r="G34" s="445">
        <f t="shared" si="15"/>
        <v>52.884792926875015</v>
      </c>
      <c r="H34" s="152" cm="1">
        <f t="array" ref="H34">SUM(_xlfn._xlws.FILTER(SP2D[Pagu-Blokir],SP2D[Jenis Belanja]="Belanja Barang Non Operasional",0))</f>
        <v>11125946000</v>
      </c>
      <c r="I34" s="152">
        <f t="shared" si="20"/>
        <v>6601581162</v>
      </c>
      <c r="J34" s="445">
        <f t="shared" si="16"/>
        <v>59.335009912864933</v>
      </c>
      <c r="K34" s="152">
        <f t="shared" si="21"/>
        <v>4524364838</v>
      </c>
      <c r="L34" s="445">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39" t="s">
        <v>590</v>
      </c>
      <c r="B37" s="540"/>
      <c r="C37" s="455">
        <f>SUM(C32,C35)</f>
        <v>16863164000</v>
      </c>
      <c r="D37" s="455">
        <f>SUM(D32,D35)</f>
        <v>8203483476</v>
      </c>
      <c r="E37" s="456">
        <f t="shared" ref="E37" si="22">IFERROR(D37/C37*100,0)</f>
        <v>48.647356308697468</v>
      </c>
      <c r="F37" s="455">
        <f>SUM(F32,F35)</f>
        <v>8659680524</v>
      </c>
      <c r="G37" s="456">
        <f t="shared" ref="G37" si="23">IFERROR(F37/C37*100,0)</f>
        <v>51.352643691302532</v>
      </c>
      <c r="H37" s="458">
        <f>SUM(H32,H35)</f>
        <v>13875804000</v>
      </c>
      <c r="I37" s="458">
        <f>SUM(I32,I35)</f>
        <v>8203483476</v>
      </c>
      <c r="J37" s="459">
        <f t="shared" ref="J37" si="24">IFERROR(I37/H37*100,0)</f>
        <v>59.120779422943706</v>
      </c>
      <c r="K37" s="458">
        <f>SUM(K32,K35)</f>
        <v>5672320524</v>
      </c>
      <c r="L37" s="459">
        <f t="shared" ref="L37" si="25">IFERROR(K37/H37*100,0)</f>
        <v>40.879220577056294</v>
      </c>
      <c r="M37" s="465">
        <f t="shared" ref="M37:N37" si="26">SUM(M32,M35)</f>
        <v>100000000</v>
      </c>
      <c r="N37" s="465">
        <f t="shared" si="26"/>
        <v>2887360000</v>
      </c>
    </row>
    <row r="38" spans="1:16">
      <c r="A38" s="539" t="s">
        <v>3876</v>
      </c>
      <c r="B38" s="540"/>
      <c r="C38" s="455"/>
      <c r="D38" s="455"/>
      <c r="E38" s="455"/>
      <c r="F38" s="455"/>
      <c r="G38" s="455"/>
      <c r="H38" s="458"/>
      <c r="I38" s="458"/>
      <c r="J38" s="459"/>
      <c r="K38" s="458"/>
      <c r="L38" s="459"/>
      <c r="M38" s="465"/>
      <c r="N38" s="465"/>
    </row>
    <row r="39" spans="1:16">
      <c r="A39" s="539" t="s">
        <v>3877</v>
      </c>
      <c r="B39" s="540"/>
      <c r="C39" s="455">
        <f>C37</f>
        <v>16863164000</v>
      </c>
      <c r="D39" s="455">
        <f>D37</f>
        <v>8203483476</v>
      </c>
      <c r="E39" s="457">
        <f t="shared" ref="E39" si="27">IFERROR(D39/C39*100,0)</f>
        <v>48.647356308697468</v>
      </c>
      <c r="F39" s="455">
        <f>F37</f>
        <v>8659680524</v>
      </c>
      <c r="G39" s="457">
        <f t="shared" ref="G39" si="28">IFERROR(F39/C39*100,0)</f>
        <v>51.352643691302532</v>
      </c>
      <c r="H39" s="458">
        <f>H37</f>
        <v>13875804000</v>
      </c>
      <c r="I39" s="458">
        <f>I37</f>
        <v>8203483476</v>
      </c>
      <c r="J39" s="460">
        <f t="shared" ref="J39" si="29">IFERROR(I39/H39*100,0)</f>
        <v>59.120779422943706</v>
      </c>
      <c r="K39" s="458">
        <f>K37</f>
        <v>5672320524</v>
      </c>
      <c r="L39" s="460">
        <f t="shared" ref="L39" si="30">IFERROR(K39/H39*100,0)</f>
        <v>40.879220577056294</v>
      </c>
      <c r="M39" s="555">
        <f>SUM(M37:N37)</f>
        <v>2987360000</v>
      </c>
      <c r="N39" s="556"/>
    </row>
    <row r="40" spans="1:16" s="279" customFormat="1">
      <c r="A40" s="314"/>
      <c r="B40" s="314"/>
      <c r="C40" s="315"/>
      <c r="D40" s="315"/>
      <c r="E40" s="315"/>
      <c r="F40" s="315"/>
      <c r="G40" s="315"/>
      <c r="H40" s="315"/>
      <c r="I40" s="315"/>
      <c r="J40" s="315"/>
      <c r="K40" s="315"/>
      <c r="L40" s="315"/>
      <c r="M40" s="316"/>
      <c r="N40" s="316"/>
      <c r="P40" s="265"/>
    </row>
    <row r="42" spans="1:16" ht="15.75">
      <c r="A42" s="327" t="s">
        <v>3883</v>
      </c>
    </row>
    <row r="43" spans="1:16">
      <c r="A43" s="546" t="s">
        <v>571</v>
      </c>
      <c r="B43" s="546" t="s">
        <v>500</v>
      </c>
      <c r="C43" s="557" t="s">
        <v>7680</v>
      </c>
      <c r="D43" s="558"/>
      <c r="E43" s="558"/>
      <c r="F43" s="558"/>
      <c r="G43" s="559"/>
      <c r="H43" s="541" t="s">
        <v>7682</v>
      </c>
      <c r="I43" s="542"/>
      <c r="J43" s="542"/>
      <c r="K43" s="542"/>
      <c r="L43" s="543"/>
      <c r="M43" s="565" t="s">
        <v>4679</v>
      </c>
      <c r="N43" s="565" t="s">
        <v>4681</v>
      </c>
    </row>
    <row r="44" spans="1:16">
      <c r="A44" s="547"/>
      <c r="B44" s="547"/>
      <c r="C44" s="560" t="s">
        <v>7681</v>
      </c>
      <c r="D44" s="557" t="s">
        <v>3732</v>
      </c>
      <c r="E44" s="559"/>
      <c r="F44" s="557" t="s">
        <v>3733</v>
      </c>
      <c r="G44" s="559"/>
      <c r="H44" s="544" t="s">
        <v>7683</v>
      </c>
      <c r="I44" s="541" t="s">
        <v>3732</v>
      </c>
      <c r="J44" s="543"/>
      <c r="K44" s="541" t="s">
        <v>3733</v>
      </c>
      <c r="L44" s="543"/>
      <c r="M44" s="566"/>
      <c r="N44" s="566"/>
    </row>
    <row r="45" spans="1:16">
      <c r="A45" s="548"/>
      <c r="B45" s="548"/>
      <c r="C45" s="561"/>
      <c r="D45" s="312" t="s">
        <v>4691</v>
      </c>
      <c r="E45" s="312" t="s">
        <v>3729</v>
      </c>
      <c r="F45" s="312" t="s">
        <v>4691</v>
      </c>
      <c r="G45" s="312" t="s">
        <v>3729</v>
      </c>
      <c r="H45" s="545"/>
      <c r="I45" s="443" t="s">
        <v>4691</v>
      </c>
      <c r="J45" s="443" t="s">
        <v>3729</v>
      </c>
      <c r="K45" s="443" t="s">
        <v>4691</v>
      </c>
      <c r="L45" s="443" t="s">
        <v>3729</v>
      </c>
      <c r="M45" s="567"/>
      <c r="N45" s="567"/>
    </row>
    <row r="46" spans="1:16">
      <c r="A46" s="568"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68"/>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68"/>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68"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8"/>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8"/>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68"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8"/>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8"/>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68"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8"/>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8"/>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54" t="s">
        <v>3735</v>
      </c>
      <c r="B58" s="554"/>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54" t="s">
        <v>4685</v>
      </c>
      <c r="B59" s="554"/>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69">
        <f>SUM(M58:N58)</f>
        <v>0</v>
      </c>
      <c r="N59" s="570"/>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O39" sqref="O39"/>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3" t="s">
        <v>7687</v>
      </c>
      <c r="B1" s="573"/>
      <c r="C1" s="573"/>
      <c r="D1" s="573"/>
      <c r="E1" s="573"/>
      <c r="F1" s="573"/>
      <c r="G1" s="573"/>
      <c r="H1" s="573"/>
      <c r="I1" s="573"/>
      <c r="J1" s="573"/>
      <c r="K1" s="573"/>
      <c r="L1" s="573"/>
      <c r="M1" s="573"/>
      <c r="N1" s="573"/>
    </row>
    <row r="2" spans="1:15" ht="15.75">
      <c r="A2" s="538" t="str">
        <f>'PER BULAN'!B5</f>
        <v>Berdasarkan DIPA Revisi 3 TA. 2022 (Tanggal 13 Juli 2022)</v>
      </c>
      <c r="B2" s="538"/>
      <c r="C2" s="538"/>
      <c r="D2" s="538"/>
      <c r="E2" s="538"/>
      <c r="F2" s="538"/>
      <c r="G2" s="538"/>
      <c r="H2" s="538"/>
      <c r="I2" s="538"/>
      <c r="J2" s="538"/>
      <c r="K2" s="538"/>
      <c r="L2" s="538"/>
      <c r="M2" s="538"/>
      <c r="N2" s="538"/>
    </row>
    <row r="3" spans="1:15" ht="15.75">
      <c r="A3" s="538" t="str">
        <f>'PER BULAN'!B6</f>
        <v>SAMPAI DENGAN 24 AGUSTUS 2022</v>
      </c>
      <c r="B3" s="538"/>
      <c r="C3" s="538"/>
      <c r="D3" s="538"/>
      <c r="E3" s="538"/>
      <c r="F3" s="538"/>
      <c r="G3" s="538"/>
      <c r="H3" s="538"/>
      <c r="I3" s="538"/>
      <c r="J3" s="538"/>
      <c r="K3" s="538"/>
      <c r="L3" s="538"/>
      <c r="M3" s="538"/>
      <c r="N3" s="538"/>
    </row>
    <row r="4" spans="1:15">
      <c r="A4" s="360"/>
      <c r="B4" s="360"/>
      <c r="C4" s="360"/>
      <c r="D4" s="360"/>
      <c r="E4" s="360"/>
      <c r="F4" s="360"/>
      <c r="G4" s="360"/>
      <c r="H4" s="360"/>
      <c r="I4" s="360"/>
      <c r="J4" s="360"/>
      <c r="K4" s="360"/>
      <c r="L4" s="360"/>
      <c r="M4" s="360"/>
      <c r="N4" s="360"/>
    </row>
    <row r="5" spans="1:15" ht="15.75">
      <c r="A5" s="328" t="s">
        <v>3878</v>
      </c>
    </row>
    <row r="6" spans="1:15">
      <c r="A6" s="546" t="s">
        <v>571</v>
      </c>
      <c r="B6" s="546" t="s">
        <v>500</v>
      </c>
      <c r="C6" s="557" t="s">
        <v>7680</v>
      </c>
      <c r="D6" s="558"/>
      <c r="E6" s="558"/>
      <c r="F6" s="558"/>
      <c r="G6" s="559"/>
      <c r="H6" s="541" t="s">
        <v>7682</v>
      </c>
      <c r="I6" s="542"/>
      <c r="J6" s="542"/>
      <c r="K6" s="542"/>
      <c r="L6" s="543"/>
      <c r="M6" s="565" t="s">
        <v>4679</v>
      </c>
      <c r="N6" s="565" t="s">
        <v>4681</v>
      </c>
    </row>
    <row r="7" spans="1:15" ht="14.45" customHeight="1">
      <c r="A7" s="547"/>
      <c r="B7" s="547"/>
      <c r="C7" s="560" t="s">
        <v>7681</v>
      </c>
      <c r="D7" s="557" t="s">
        <v>3732</v>
      </c>
      <c r="E7" s="559"/>
      <c r="F7" s="557" t="s">
        <v>3733</v>
      </c>
      <c r="G7" s="559"/>
      <c r="H7" s="544" t="s">
        <v>7683</v>
      </c>
      <c r="I7" s="541" t="s">
        <v>3732</v>
      </c>
      <c r="J7" s="543"/>
      <c r="K7" s="541" t="s">
        <v>3733</v>
      </c>
      <c r="L7" s="543"/>
      <c r="M7" s="566"/>
      <c r="N7" s="566"/>
    </row>
    <row r="8" spans="1:15" ht="14.45" customHeight="1">
      <c r="A8" s="548"/>
      <c r="B8" s="548"/>
      <c r="C8" s="561"/>
      <c r="D8" s="312" t="s">
        <v>4691</v>
      </c>
      <c r="E8" s="312" t="s">
        <v>3729</v>
      </c>
      <c r="F8" s="312" t="s">
        <v>4691</v>
      </c>
      <c r="G8" s="312" t="s">
        <v>3729</v>
      </c>
      <c r="H8" s="545"/>
      <c r="I8" s="443" t="s">
        <v>4691</v>
      </c>
      <c r="J8" s="443" t="s">
        <v>3729</v>
      </c>
      <c r="K8" s="443" t="s">
        <v>4691</v>
      </c>
      <c r="L8" s="443" t="s">
        <v>3729</v>
      </c>
      <c r="M8" s="567"/>
      <c r="N8" s="567"/>
    </row>
    <row r="9" spans="1:15">
      <c r="A9" s="55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52"/>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5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52"/>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53"/>
      <c r="B14" s="452" t="s">
        <v>4687</v>
      </c>
      <c r="C14" s="453">
        <f>SUM(C9:C13)</f>
        <v>10807010000</v>
      </c>
      <c r="D14" s="453">
        <f>SUM(D9:D13)</f>
        <v>6517410160</v>
      </c>
      <c r="E14" s="454">
        <f t="shared" si="0"/>
        <v>60.307246500188306</v>
      </c>
      <c r="F14" s="453">
        <f>SUM(F9:F13)</f>
        <v>4289599840</v>
      </c>
      <c r="G14" s="454">
        <f t="shared" si="2"/>
        <v>39.692753499811694</v>
      </c>
      <c r="H14" s="453">
        <f t="shared" ref="H14:I14" si="11">SUM(H9:H13)</f>
        <v>9773509000</v>
      </c>
      <c r="I14" s="453">
        <f t="shared" si="11"/>
        <v>6517410160</v>
      </c>
      <c r="J14" s="454">
        <f t="shared" si="4"/>
        <v>66.684444246176071</v>
      </c>
      <c r="K14" s="453">
        <f>SUM(K9:K13)</f>
        <v>3256098840</v>
      </c>
      <c r="L14" s="454">
        <f t="shared" si="6"/>
        <v>33.315555753823936</v>
      </c>
      <c r="M14" s="453">
        <f>SUM(M9:M13)</f>
        <v>423949000</v>
      </c>
      <c r="N14" s="453">
        <f>SUM(N9:N13)</f>
        <v>609552000</v>
      </c>
    </row>
    <row r="15" spans="1:15" ht="15" customHeight="1">
      <c r="A15" s="551"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52"/>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52"/>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53"/>
      <c r="B18" s="452" t="s">
        <v>4688</v>
      </c>
      <c r="C18" s="453">
        <f>SUM(C15:C17)</f>
        <v>9985150000</v>
      </c>
      <c r="D18" s="453">
        <f>SUM(D15:D17)</f>
        <v>5220546680</v>
      </c>
      <c r="E18" s="454">
        <f t="shared" si="0"/>
        <v>52.283107214213111</v>
      </c>
      <c r="F18" s="453">
        <f t="shared" si="1"/>
        <v>4764603320</v>
      </c>
      <c r="G18" s="454">
        <f t="shared" si="2"/>
        <v>47.716892785786897</v>
      </c>
      <c r="H18" s="453">
        <f>SUM(H15:H17)</f>
        <v>9046216000</v>
      </c>
      <c r="I18" s="453">
        <f>SUM(I15:I17)</f>
        <v>5220546680</v>
      </c>
      <c r="J18" s="454">
        <f t="shared" si="4"/>
        <v>57.709728354927627</v>
      </c>
      <c r="K18" s="453">
        <f t="shared" si="5"/>
        <v>3825669320</v>
      </c>
      <c r="L18" s="454">
        <f t="shared" si="6"/>
        <v>42.290271645072366</v>
      </c>
      <c r="M18" s="453">
        <f t="shared" ref="M18:N18" si="13">SUM(M15:M17)</f>
        <v>0</v>
      </c>
      <c r="N18" s="453">
        <f t="shared" si="13"/>
        <v>938934000</v>
      </c>
    </row>
    <row r="19" spans="1:15" ht="15" customHeight="1">
      <c r="A19" s="551"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52"/>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53"/>
      <c r="B21" s="452" t="s">
        <v>4689</v>
      </c>
      <c r="C21" s="453">
        <f>SUM(C19:C20)</f>
        <v>1278600000</v>
      </c>
      <c r="D21" s="453">
        <f>SUM(D19:D20)</f>
        <v>246477175</v>
      </c>
      <c r="E21" s="454">
        <f t="shared" si="0"/>
        <v>19.27711363991866</v>
      </c>
      <c r="F21" s="453">
        <f t="shared" si="1"/>
        <v>1032122825</v>
      </c>
      <c r="G21" s="454">
        <f t="shared" si="2"/>
        <v>80.722886360081333</v>
      </c>
      <c r="H21" s="453">
        <f>SUM(H19:H20)</f>
        <v>372369000</v>
      </c>
      <c r="I21" s="453">
        <f>SUM(I19:I20)</f>
        <v>246477175</v>
      </c>
      <c r="J21" s="454">
        <f t="shared" si="4"/>
        <v>66.191647263869982</v>
      </c>
      <c r="K21" s="453">
        <f t="shared" si="5"/>
        <v>125891825</v>
      </c>
      <c r="L21" s="454">
        <f t="shared" si="6"/>
        <v>33.808352736130018</v>
      </c>
      <c r="M21" s="453">
        <f t="shared" ref="M21:N21" si="14">SUM(M19:M20)</f>
        <v>0</v>
      </c>
      <c r="N21" s="453">
        <f t="shared" si="14"/>
        <v>906231000</v>
      </c>
    </row>
    <row r="22" spans="1:15" ht="15" customHeight="1">
      <c r="A22" s="551"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52"/>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53"/>
      <c r="B24" s="452" t="s">
        <v>4690</v>
      </c>
      <c r="C24" s="453">
        <f>SUM(C22:C23)</f>
        <v>1271400000</v>
      </c>
      <c r="D24" s="453">
        <f>SUM(D22:D23)</f>
        <v>461217658</v>
      </c>
      <c r="E24" s="454">
        <f t="shared" si="0"/>
        <v>36.276361333962562</v>
      </c>
      <c r="F24" s="453">
        <f t="shared" si="1"/>
        <v>810182342</v>
      </c>
      <c r="G24" s="454">
        <f t="shared" si="2"/>
        <v>63.723638666037438</v>
      </c>
      <c r="H24" s="453">
        <f>SUM(H22:H23)</f>
        <v>838757000</v>
      </c>
      <c r="I24" s="453">
        <f>SUM(I22:I23)</f>
        <v>461217658</v>
      </c>
      <c r="J24" s="454">
        <f t="shared" si="4"/>
        <v>54.988233540822904</v>
      </c>
      <c r="K24" s="453">
        <f t="shared" si="5"/>
        <v>377539342</v>
      </c>
      <c r="L24" s="454">
        <f t="shared" si="6"/>
        <v>45.011766459177096</v>
      </c>
      <c r="M24" s="453">
        <f t="shared" ref="M24:N24" si="15">SUM(M22:M23)</f>
        <v>0</v>
      </c>
      <c r="N24" s="453">
        <f t="shared" si="15"/>
        <v>432643000</v>
      </c>
    </row>
    <row r="25" spans="1:15">
      <c r="A25" s="554" t="s">
        <v>3735</v>
      </c>
      <c r="B25" s="554"/>
      <c r="C25" s="446">
        <f>C14++C18+C21+C24</f>
        <v>23342160000</v>
      </c>
      <c r="D25" s="446">
        <f>D14++D18+D21+D24</f>
        <v>12445651673</v>
      </c>
      <c r="E25" s="447">
        <f t="shared" si="0"/>
        <v>53.318337604574729</v>
      </c>
      <c r="F25" s="446">
        <f t="shared" si="1"/>
        <v>10896508327</v>
      </c>
      <c r="G25" s="447">
        <f t="shared" si="2"/>
        <v>46.681662395425271</v>
      </c>
      <c r="H25" s="144">
        <f>H14++H18+H21+H24</f>
        <v>20030851000</v>
      </c>
      <c r="I25" s="144">
        <f>I14++I18+I21+I24</f>
        <v>12445651673</v>
      </c>
      <c r="J25" s="461">
        <f t="shared" si="4"/>
        <v>62.132416006688885</v>
      </c>
      <c r="K25" s="144">
        <f t="shared" si="5"/>
        <v>7585199327</v>
      </c>
      <c r="L25" s="461">
        <f t="shared" si="6"/>
        <v>37.867583993311115</v>
      </c>
      <c r="M25" s="451">
        <f t="shared" ref="M25:N25" si="16">M14++M18+M21+M24</f>
        <v>423949000</v>
      </c>
      <c r="N25" s="451">
        <f t="shared" si="16"/>
        <v>2887360000</v>
      </c>
      <c r="O25" s="159"/>
    </row>
    <row r="26" spans="1:15">
      <c r="A26" s="549" t="s">
        <v>4685</v>
      </c>
      <c r="B26" s="550"/>
      <c r="C26" s="448">
        <f>C25</f>
        <v>23342160000</v>
      </c>
      <c r="D26" s="449">
        <f>D25</f>
        <v>12445651673</v>
      </c>
      <c r="E26" s="450">
        <f t="shared" si="0"/>
        <v>53.318337604574729</v>
      </c>
      <c r="F26" s="449">
        <f t="shared" si="1"/>
        <v>10896508327</v>
      </c>
      <c r="G26" s="450">
        <f t="shared" si="2"/>
        <v>46.681662395425271</v>
      </c>
      <c r="H26" s="462">
        <f>H25</f>
        <v>20030851000</v>
      </c>
      <c r="I26" s="463">
        <f>I25</f>
        <v>12445651673</v>
      </c>
      <c r="J26" s="464">
        <f t="shared" si="4"/>
        <v>62.132416006688885</v>
      </c>
      <c r="K26" s="463">
        <f t="shared" si="5"/>
        <v>7585199327</v>
      </c>
      <c r="L26" s="464">
        <f t="shared" si="6"/>
        <v>37.867583993311115</v>
      </c>
      <c r="M26" s="571">
        <f>SUM(M25,N25)</f>
        <v>3311309000</v>
      </c>
      <c r="N26" s="572"/>
      <c r="O26" s="161"/>
    </row>
    <row r="29" spans="1:15" ht="15.75">
      <c r="A29" s="328" t="s">
        <v>3885</v>
      </c>
    </row>
    <row r="30" spans="1:15" ht="14.45" customHeight="1">
      <c r="A30" s="562" t="s">
        <v>3871</v>
      </c>
      <c r="B30" s="562" t="s">
        <v>3872</v>
      </c>
      <c r="C30" s="557" t="s">
        <v>7680</v>
      </c>
      <c r="D30" s="558"/>
      <c r="E30" s="558"/>
      <c r="F30" s="558"/>
      <c r="G30" s="559"/>
      <c r="H30" s="541" t="s">
        <v>7682</v>
      </c>
      <c r="I30" s="542"/>
      <c r="J30" s="542"/>
      <c r="K30" s="542"/>
      <c r="L30" s="543"/>
      <c r="M30" s="565" t="s">
        <v>4679</v>
      </c>
      <c r="N30" s="565" t="s">
        <v>4681</v>
      </c>
    </row>
    <row r="31" spans="1:15">
      <c r="A31" s="563"/>
      <c r="B31" s="563"/>
      <c r="C31" s="560" t="s">
        <v>7681</v>
      </c>
      <c r="D31" s="557" t="s">
        <v>3732</v>
      </c>
      <c r="E31" s="559"/>
      <c r="F31" s="557" t="s">
        <v>3733</v>
      </c>
      <c r="G31" s="559"/>
      <c r="H31" s="544" t="s">
        <v>7683</v>
      </c>
      <c r="I31" s="541" t="s">
        <v>3732</v>
      </c>
      <c r="J31" s="543"/>
      <c r="K31" s="541" t="s">
        <v>3733</v>
      </c>
      <c r="L31" s="543"/>
      <c r="M31" s="566"/>
      <c r="N31" s="566"/>
    </row>
    <row r="32" spans="1:15">
      <c r="A32" s="564"/>
      <c r="B32" s="564"/>
      <c r="C32" s="561"/>
      <c r="D32" s="312" t="s">
        <v>4691</v>
      </c>
      <c r="E32" s="312" t="s">
        <v>3729</v>
      </c>
      <c r="F32" s="312" t="s">
        <v>4691</v>
      </c>
      <c r="G32" s="312" t="s">
        <v>3729</v>
      </c>
      <c r="H32" s="545"/>
      <c r="I32" s="443" t="s">
        <v>4691</v>
      </c>
      <c r="J32" s="443" t="s">
        <v>3729</v>
      </c>
      <c r="K32" s="443" t="s">
        <v>4691</v>
      </c>
      <c r="L32" s="443" t="s">
        <v>3729</v>
      </c>
      <c r="M32" s="567"/>
      <c r="N32" s="567"/>
    </row>
    <row r="33" spans="1:14">
      <c r="A33" s="146">
        <v>1</v>
      </c>
      <c r="B33" s="147" t="s">
        <v>4068</v>
      </c>
      <c r="C33" s="148">
        <f>C13</f>
        <v>6478996000</v>
      </c>
      <c r="D33" s="148">
        <f>D13</f>
        <v>4242168197</v>
      </c>
      <c r="E33" s="444">
        <f t="shared" ref="E33" si="17">IFERROR(D33/C33*100,0)</f>
        <v>65.475703287978575</v>
      </c>
      <c r="F33" s="148">
        <f t="shared" ref="F33:F36" si="18">C33-D33</f>
        <v>2236827803</v>
      </c>
      <c r="G33" s="444">
        <f t="shared" ref="G33" si="19">IFERROR(F33/C33*100,0)</f>
        <v>34.524296712021432</v>
      </c>
      <c r="H33" s="148">
        <f>H13</f>
        <v>6155047000</v>
      </c>
      <c r="I33" s="148">
        <f>I13</f>
        <v>4242168197</v>
      </c>
      <c r="J33" s="444">
        <f t="shared" ref="J33" si="20">IFERROR(I33/H33*100,0)</f>
        <v>68.921783976629257</v>
      </c>
      <c r="K33" s="148">
        <f t="shared" ref="K33:K36" si="21">H33-I33</f>
        <v>1912878803</v>
      </c>
      <c r="L33" s="444">
        <f t="shared" ref="L33" si="22">IFERROR(K33/H33*100,0)</f>
        <v>31.078216023370743</v>
      </c>
      <c r="M33" s="148">
        <f>M13</f>
        <v>323949000</v>
      </c>
      <c r="N33" s="148">
        <f>N13</f>
        <v>0</v>
      </c>
    </row>
    <row r="34" spans="1:14">
      <c r="A34" s="146">
        <v>2</v>
      </c>
      <c r="B34" s="147" t="s">
        <v>3873</v>
      </c>
      <c r="C34" s="148">
        <f>SUM(C35:C36)</f>
        <v>16207230000</v>
      </c>
      <c r="D34" s="148">
        <f>SUM(D35:D36)</f>
        <v>7549283476</v>
      </c>
      <c r="E34" s="444">
        <f t="shared" ref="E34:E37" si="23">IFERROR(D34/C34*100,0)</f>
        <v>46.579726924341792</v>
      </c>
      <c r="F34" s="148">
        <f>SUM(F35:F36)</f>
        <v>8657946524</v>
      </c>
      <c r="G34" s="444">
        <f t="shared" ref="G34:G37" si="24">IFERROR(F34/C34*100,0)</f>
        <v>53.420273075658208</v>
      </c>
      <c r="H34" s="148">
        <f>SUM(H35:H36)</f>
        <v>13221604000</v>
      </c>
      <c r="I34" s="148">
        <f>SUM(I35:I36)</f>
        <v>7549283476</v>
      </c>
      <c r="J34" s="444">
        <f t="shared" ref="J34:J37" si="25">IFERROR(I34/H34*100,0)</f>
        <v>57.098090942672307</v>
      </c>
      <c r="K34" s="148">
        <f>SUM(K35:K36)</f>
        <v>5672320524</v>
      </c>
      <c r="L34" s="444">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5">
        <f t="shared" si="23"/>
        <v>43.162565117153946</v>
      </c>
      <c r="F35" s="115">
        <f t="shared" si="18"/>
        <v>1247955686</v>
      </c>
      <c r="G35" s="445">
        <f t="shared" si="24"/>
        <v>56.837434882846047</v>
      </c>
      <c r="H35" s="152" cm="1">
        <f t="array" ref="H35">SUM(_xlfn._xlws.FILTER(SP2D[Pagu-Blokir],SP2D[Jenis Belanja]="Belanja Barang Operasional",0))</f>
        <v>2095658000</v>
      </c>
      <c r="I35" s="152">
        <f>D35</f>
        <v>947702314</v>
      </c>
      <c r="J35" s="445">
        <f t="shared" si="25"/>
        <v>45.222183867787585</v>
      </c>
      <c r="K35" s="152">
        <f t="shared" si="21"/>
        <v>1147955686</v>
      </c>
      <c r="L35" s="445">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5">
        <f t="shared" si="23"/>
        <v>47.115207073124985</v>
      </c>
      <c r="F36" s="115">
        <f t="shared" si="18"/>
        <v>7409990838</v>
      </c>
      <c r="G36" s="445">
        <f t="shared" si="24"/>
        <v>52.884792926875015</v>
      </c>
      <c r="H36" s="152" cm="1">
        <f t="array" ref="H36">SUM(_xlfn._xlws.FILTER(SP2D[Pagu-Blokir],SP2D[Jenis Belanja]="Belanja Barang Non Operasional",0))</f>
        <v>11125946000</v>
      </c>
      <c r="I36" s="152">
        <f>D36</f>
        <v>6601581162</v>
      </c>
      <c r="J36" s="445">
        <f t="shared" si="25"/>
        <v>59.335009912864933</v>
      </c>
      <c r="K36" s="152">
        <f t="shared" si="21"/>
        <v>4524364838</v>
      </c>
      <c r="L36" s="445">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39" t="s">
        <v>590</v>
      </c>
      <c r="B39" s="540"/>
      <c r="C39" s="455">
        <f>SUM(C33,C34,C37)</f>
        <v>23342160000</v>
      </c>
      <c r="D39" s="455">
        <f>SUM(D33,D34,D37)</f>
        <v>12445651673</v>
      </c>
      <c r="E39" s="456">
        <f t="shared" ref="E39" si="28">IFERROR(D39/C39*100,0)</f>
        <v>53.318337604574729</v>
      </c>
      <c r="F39" s="455">
        <f>SUM(F33,F34,F37)</f>
        <v>10896508327</v>
      </c>
      <c r="G39" s="456">
        <f t="shared" ref="G39" si="29">IFERROR(F39/C39*100,0)</f>
        <v>46.681662395425271</v>
      </c>
      <c r="H39" s="458">
        <f>SUM(H33,H34,H37)</f>
        <v>20030851000</v>
      </c>
      <c r="I39" s="458">
        <f>SUM(I33,I34,I37)</f>
        <v>12445651673</v>
      </c>
      <c r="J39" s="459">
        <f t="shared" ref="J39" si="30">IFERROR(I39/H39*100,0)</f>
        <v>62.132416006688885</v>
      </c>
      <c r="K39" s="458">
        <f>SUM(K33,K34,K37)</f>
        <v>7585199327</v>
      </c>
      <c r="L39" s="459">
        <f t="shared" ref="L39" si="31">IFERROR(K39/H39*100,0)</f>
        <v>37.867583993311115</v>
      </c>
      <c r="M39" s="465">
        <f>SUM(M33,M34,M37)</f>
        <v>423949000</v>
      </c>
      <c r="N39" s="465">
        <f>SUM(N33,N34,N37)</f>
        <v>2887360000</v>
      </c>
    </row>
    <row r="40" spans="1:14">
      <c r="A40" s="539" t="s">
        <v>3876</v>
      </c>
      <c r="B40" s="540"/>
      <c r="C40" s="455"/>
      <c r="D40" s="455"/>
      <c r="E40" s="455"/>
      <c r="F40" s="455"/>
      <c r="G40" s="455"/>
      <c r="H40" s="458"/>
      <c r="I40" s="458"/>
      <c r="J40" s="459"/>
      <c r="K40" s="458"/>
      <c r="L40" s="459"/>
      <c r="M40" s="465"/>
      <c r="N40" s="465"/>
    </row>
    <row r="41" spans="1:14">
      <c r="A41" s="539" t="s">
        <v>3877</v>
      </c>
      <c r="B41" s="540"/>
      <c r="C41" s="455">
        <f>C39</f>
        <v>23342160000</v>
      </c>
      <c r="D41" s="455">
        <f>D39</f>
        <v>12445651673</v>
      </c>
      <c r="E41" s="457">
        <f t="shared" ref="E41" si="32">IFERROR(D41/C41*100,0)</f>
        <v>53.318337604574729</v>
      </c>
      <c r="F41" s="455">
        <f>F39</f>
        <v>10896508327</v>
      </c>
      <c r="G41" s="457">
        <f t="shared" ref="G41" si="33">IFERROR(F41/C41*100,0)</f>
        <v>46.681662395425271</v>
      </c>
      <c r="H41" s="458">
        <f>H39</f>
        <v>20030851000</v>
      </c>
      <c r="I41" s="458">
        <f>I39</f>
        <v>12445651673</v>
      </c>
      <c r="J41" s="460">
        <f t="shared" ref="J41" si="34">IFERROR(I41/H41*100,0)</f>
        <v>62.132416006688885</v>
      </c>
      <c r="K41" s="458">
        <f>K39</f>
        <v>7585199327</v>
      </c>
      <c r="L41" s="460">
        <f t="shared" ref="L41" si="35">IFERROR(K41/H41*100,0)</f>
        <v>37.867583993311115</v>
      </c>
      <c r="M41" s="555">
        <f>SUM(M39:N39)</f>
        <v>3311309000</v>
      </c>
      <c r="N41" s="556"/>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46" t="s">
        <v>571</v>
      </c>
      <c r="B45" s="546" t="s">
        <v>500</v>
      </c>
      <c r="C45" s="557" t="s">
        <v>7680</v>
      </c>
      <c r="D45" s="558"/>
      <c r="E45" s="558"/>
      <c r="F45" s="558"/>
      <c r="G45" s="559"/>
      <c r="H45" s="541" t="s">
        <v>7682</v>
      </c>
      <c r="I45" s="542"/>
      <c r="J45" s="542"/>
      <c r="K45" s="542"/>
      <c r="L45" s="543"/>
      <c r="M45" s="565" t="s">
        <v>4679</v>
      </c>
      <c r="N45" s="565" t="s">
        <v>4681</v>
      </c>
    </row>
    <row r="46" spans="1:14">
      <c r="A46" s="547"/>
      <c r="B46" s="547"/>
      <c r="C46" s="560" t="s">
        <v>7681</v>
      </c>
      <c r="D46" s="557" t="s">
        <v>3732</v>
      </c>
      <c r="E46" s="559"/>
      <c r="F46" s="557" t="s">
        <v>3733</v>
      </c>
      <c r="G46" s="559"/>
      <c r="H46" s="544" t="s">
        <v>7683</v>
      </c>
      <c r="I46" s="541" t="s">
        <v>3732</v>
      </c>
      <c r="J46" s="543"/>
      <c r="K46" s="541" t="s">
        <v>3733</v>
      </c>
      <c r="L46" s="543"/>
      <c r="M46" s="566"/>
      <c r="N46" s="566"/>
    </row>
    <row r="47" spans="1:14">
      <c r="A47" s="548"/>
      <c r="B47" s="548"/>
      <c r="C47" s="561"/>
      <c r="D47" s="312" t="s">
        <v>4691</v>
      </c>
      <c r="E47" s="312" t="s">
        <v>3729</v>
      </c>
      <c r="F47" s="312" t="s">
        <v>4691</v>
      </c>
      <c r="G47" s="312" t="s">
        <v>3729</v>
      </c>
      <c r="H47" s="545"/>
      <c r="I47" s="443" t="s">
        <v>4691</v>
      </c>
      <c r="J47" s="443" t="s">
        <v>3729</v>
      </c>
      <c r="K47" s="443" t="s">
        <v>4691</v>
      </c>
      <c r="L47" s="443" t="s">
        <v>3729</v>
      </c>
      <c r="M47" s="567"/>
      <c r="N47" s="567"/>
    </row>
    <row r="48" spans="1:14">
      <c r="A48" s="568"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8"/>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8"/>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68"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8"/>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8"/>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68"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8"/>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8"/>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68"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8"/>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8"/>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54" t="s">
        <v>3735</v>
      </c>
      <c r="B60" s="554"/>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54" t="s">
        <v>4685</v>
      </c>
      <c r="B61" s="554"/>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69">
        <f>SUM(M60:N60)</f>
        <v>0</v>
      </c>
      <c r="N61" s="570"/>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6" t="s">
        <v>4686</v>
      </c>
    </row>
    <row r="2" spans="1:13" ht="15.75">
      <c r="A2" s="538" t="str">
        <f>'PER BULAN'!B5</f>
        <v>Berdasarkan DIPA Revisi 3 TA. 2022 (Tanggal 13 Juli 2022)</v>
      </c>
      <c r="B2" s="538"/>
      <c r="C2" s="538"/>
      <c r="D2" s="538"/>
      <c r="E2" s="538"/>
      <c r="F2" s="538"/>
      <c r="G2" s="538"/>
      <c r="H2" s="538"/>
      <c r="I2" s="538"/>
      <c r="J2" s="538"/>
    </row>
    <row r="3" spans="1:13" ht="15.75">
      <c r="A3" s="538" t="str">
        <f>'PER BULAN'!B6</f>
        <v>SAMPAI DENGAN 24 AGUSTUS 2022</v>
      </c>
      <c r="B3" s="538"/>
      <c r="C3" s="538"/>
      <c r="D3" s="538"/>
      <c r="E3" s="538"/>
      <c r="F3" s="538"/>
      <c r="G3" s="538"/>
      <c r="H3" s="538"/>
      <c r="I3" s="538"/>
      <c r="J3" s="538"/>
    </row>
    <row r="4" spans="1:13">
      <c r="A4" s="145"/>
      <c r="B4" s="145"/>
      <c r="C4" s="145"/>
      <c r="D4" s="260"/>
      <c r="E4" s="300"/>
      <c r="F4" s="300"/>
      <c r="G4" s="145"/>
      <c r="H4" s="145"/>
      <c r="I4" s="145"/>
      <c r="J4" s="192"/>
    </row>
    <row r="5" spans="1:13" ht="15.75">
      <c r="A5" s="328" t="s">
        <v>3878</v>
      </c>
    </row>
    <row r="6" spans="1:13">
      <c r="A6" s="588" t="s">
        <v>571</v>
      </c>
      <c r="B6" s="588" t="s">
        <v>500</v>
      </c>
      <c r="C6" s="588" t="s">
        <v>4682</v>
      </c>
      <c r="D6" s="588" t="s">
        <v>4679</v>
      </c>
      <c r="E6" s="588" t="s">
        <v>4681</v>
      </c>
      <c r="F6" s="588" t="s">
        <v>4683</v>
      </c>
      <c r="G6" s="586" t="str">
        <f>IF($L$8=TRUE,"Realisasi vs Pagu+Blokir","Realisasi vs Pagu-Blokir")</f>
        <v>Realisasi vs Pagu-Blokir</v>
      </c>
      <c r="H6" s="586"/>
      <c r="I6" s="586" t="str">
        <f>IF($L$8=TRUE,"Sisa vs Pagu+Blokir","Sisa vs Pagu-Blokir")</f>
        <v>Sisa vs Pagu-Blokir</v>
      </c>
      <c r="J6" s="586"/>
    </row>
    <row r="7" spans="1:13">
      <c r="A7" s="588"/>
      <c r="B7" s="588"/>
      <c r="C7" s="588"/>
      <c r="D7" s="588"/>
      <c r="E7" s="588"/>
      <c r="F7" s="588"/>
      <c r="G7" s="312" t="s">
        <v>4691</v>
      </c>
      <c r="H7" s="312" t="s">
        <v>3729</v>
      </c>
      <c r="I7" s="312" t="s">
        <v>4691</v>
      </c>
      <c r="J7" s="312" t="s">
        <v>3729</v>
      </c>
    </row>
    <row r="8" spans="1:13">
      <c r="A8" s="55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8">
        <f>IFERROR(IF($L$8=TRUE,G8/C8*100,G8/F8*100),0)</f>
        <v>77.630766351963061</v>
      </c>
      <c r="I8" s="115">
        <f>IF($L$8=TRUE,C8-G8,F8-G8)</f>
        <v>150026871</v>
      </c>
      <c r="J8" s="202">
        <f>IFERROR(IF($L$8=TRUE,I8/C8*100,I8/F8*100),0)</f>
        <v>22.369233648036928</v>
      </c>
      <c r="L8" s="311" t="b">
        <v>0</v>
      </c>
    </row>
    <row r="9" spans="1:13">
      <c r="A9" s="55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8">
        <f t="shared" ref="H9:H24" si="1">IFERROR(IF($L$8=TRUE,G9/C9*100,G9/F9*100),0)</f>
        <v>45.222183867787585</v>
      </c>
      <c r="I9" s="115">
        <f t="shared" ref="I9:I24" si="2">IF($L$8=TRUE,C9-G9,F9-G9)</f>
        <v>1147955686</v>
      </c>
      <c r="J9" s="202">
        <f t="shared" ref="J9:J24" si="3">IFERROR(IF($L$8=TRUE,I9/C9*100,I9/F9*100),0)</f>
        <v>54.777816132212408</v>
      </c>
    </row>
    <row r="10" spans="1:13">
      <c r="A10" s="55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row>
    <row r="11" spans="1:13">
      <c r="A11" s="55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8">
        <f t="shared" si="1"/>
        <v>77.143552950687138</v>
      </c>
      <c r="I11" s="115">
        <f t="shared" si="2"/>
        <v>45237480</v>
      </c>
      <c r="J11" s="202">
        <f t="shared" si="3"/>
        <v>22.856447049312852</v>
      </c>
    </row>
    <row r="12" spans="1:13">
      <c r="A12" s="553"/>
      <c r="B12" s="223" t="s">
        <v>4687</v>
      </c>
      <c r="C12" s="138">
        <f>SUM(C8:C11)</f>
        <v>4328014000</v>
      </c>
      <c r="D12" s="138">
        <f>SUM(D8:D11)</f>
        <v>100000000</v>
      </c>
      <c r="E12" s="138">
        <f>SUM(E8:E11)</f>
        <v>609552000</v>
      </c>
      <c r="F12" s="138">
        <f>SUM(F8:F11)</f>
        <v>3618462000</v>
      </c>
      <c r="G12" s="138">
        <f>SUM(G8:G11)</f>
        <v>2275241963</v>
      </c>
      <c r="H12" s="319">
        <f t="shared" si="1"/>
        <v>62.878702691917177</v>
      </c>
      <c r="I12" s="138">
        <f t="shared" si="2"/>
        <v>1343220037</v>
      </c>
      <c r="J12" s="203">
        <f t="shared" si="3"/>
        <v>37.121297308082831</v>
      </c>
      <c r="K12" s="133"/>
    </row>
    <row r="13" spans="1:13" ht="15" customHeight="1">
      <c r="A13" s="551"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8">
        <f t="shared" si="1"/>
        <v>53.930390789267754</v>
      </c>
      <c r="I13" s="115">
        <f t="shared" si="2"/>
        <v>135406874</v>
      </c>
      <c r="J13" s="202">
        <f t="shared" si="3"/>
        <v>46.069609210732246</v>
      </c>
    </row>
    <row r="14" spans="1:13">
      <c r="A14" s="552"/>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8">
        <f t="shared" si="1"/>
        <v>57.554845301485578</v>
      </c>
      <c r="I14" s="115">
        <f t="shared" si="2"/>
        <v>3642855402</v>
      </c>
      <c r="J14" s="202">
        <f t="shared" si="3"/>
        <v>42.445154698514422</v>
      </c>
      <c r="M14" s="161"/>
    </row>
    <row r="15" spans="1:13">
      <c r="A15" s="552"/>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8">
        <f t="shared" si="1"/>
        <v>72.080328390204826</v>
      </c>
      <c r="I15" s="115">
        <f t="shared" si="2"/>
        <v>47407044</v>
      </c>
      <c r="J15" s="202">
        <f t="shared" si="3"/>
        <v>27.919671609795166</v>
      </c>
    </row>
    <row r="16" spans="1:13">
      <c r="A16" s="553"/>
      <c r="B16" s="223" t="s">
        <v>4688</v>
      </c>
      <c r="C16" s="138">
        <f>SUM(C13:C15)</f>
        <v>9985150000</v>
      </c>
      <c r="D16" s="138">
        <f t="shared" ref="D16:E16" si="5">SUM(D13:D15)</f>
        <v>0</v>
      </c>
      <c r="E16" s="138">
        <f t="shared" si="5"/>
        <v>938934000</v>
      </c>
      <c r="F16" s="138">
        <f>SUM(F13:F15)</f>
        <v>9046216000</v>
      </c>
      <c r="G16" s="138">
        <f>SUM(G13:G15)</f>
        <v>5220546680</v>
      </c>
      <c r="H16" s="319">
        <f t="shared" si="1"/>
        <v>57.709728354927627</v>
      </c>
      <c r="I16" s="138">
        <f t="shared" si="2"/>
        <v>3825669320</v>
      </c>
      <c r="J16" s="203">
        <f t="shared" si="3"/>
        <v>42.290271645072366</v>
      </c>
    </row>
    <row r="17" spans="1:13" ht="15" customHeight="1">
      <c r="A17" s="551"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8">
        <f t="shared" si="1"/>
        <v>75.5327832528925</v>
      </c>
      <c r="I17" s="115">
        <f t="shared" si="2"/>
        <v>50795410</v>
      </c>
      <c r="J17" s="202">
        <f t="shared" si="3"/>
        <v>24.4672167471075</v>
      </c>
    </row>
    <row r="18" spans="1:13">
      <c r="A18" s="552"/>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8">
        <f t="shared" si="1"/>
        <v>54.421553989670016</v>
      </c>
      <c r="I18" s="115">
        <f t="shared" si="2"/>
        <v>75096415</v>
      </c>
      <c r="J18" s="202">
        <f t="shared" si="3"/>
        <v>45.578446010329984</v>
      </c>
      <c r="M18" s="161"/>
    </row>
    <row r="19" spans="1:13">
      <c r="A19" s="553"/>
      <c r="B19" s="223" t="s">
        <v>4689</v>
      </c>
      <c r="C19" s="138">
        <f>SUM(C17:C18)</f>
        <v>1278600000</v>
      </c>
      <c r="D19" s="138">
        <f t="shared" ref="D19:E19" si="7">SUM(D17:D18)</f>
        <v>0</v>
      </c>
      <c r="E19" s="138">
        <f t="shared" si="7"/>
        <v>906231000</v>
      </c>
      <c r="F19" s="138">
        <f>SUM(F17:F18)</f>
        <v>372369000</v>
      </c>
      <c r="G19" s="138">
        <f>SUM(G17:G18)</f>
        <v>246477175</v>
      </c>
      <c r="H19" s="319">
        <f t="shared" si="1"/>
        <v>66.191647263869982</v>
      </c>
      <c r="I19" s="138">
        <f t="shared" si="2"/>
        <v>125891825</v>
      </c>
      <c r="J19" s="203">
        <f t="shared" si="3"/>
        <v>33.808352736130018</v>
      </c>
    </row>
    <row r="20" spans="1:13" ht="15" customHeight="1">
      <c r="A20" s="551"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8">
        <f t="shared" si="1"/>
        <v>53.324849191315749</v>
      </c>
      <c r="I20" s="115">
        <f t="shared" si="2"/>
        <v>320331560</v>
      </c>
      <c r="J20" s="202">
        <f t="shared" si="3"/>
        <v>46.675150808684251</v>
      </c>
    </row>
    <row r="21" spans="1:13">
      <c r="A21" s="552"/>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8">
        <f t="shared" si="1"/>
        <v>62.476119823950363</v>
      </c>
      <c r="I21" s="115">
        <f t="shared" si="2"/>
        <v>57207782</v>
      </c>
      <c r="J21" s="202">
        <f t="shared" si="3"/>
        <v>37.523880176049637</v>
      </c>
    </row>
    <row r="22" spans="1:13">
      <c r="A22" s="553"/>
      <c r="B22" s="223" t="s">
        <v>4690</v>
      </c>
      <c r="C22" s="138">
        <f>SUM(C20:C21)</f>
        <v>1271400000</v>
      </c>
      <c r="D22" s="138">
        <f t="shared" ref="D22:E22" si="9">SUM(D20:D21)</f>
        <v>0</v>
      </c>
      <c r="E22" s="138">
        <f t="shared" si="9"/>
        <v>432643000</v>
      </c>
      <c r="F22" s="138">
        <f>SUM(F20:F21)</f>
        <v>838757000</v>
      </c>
      <c r="G22" s="138">
        <f>SUM(G20:G21)</f>
        <v>461217658</v>
      </c>
      <c r="H22" s="319">
        <f t="shared" si="1"/>
        <v>54.988233540822904</v>
      </c>
      <c r="I22" s="138">
        <f t="shared" si="2"/>
        <v>377539342</v>
      </c>
      <c r="J22" s="203">
        <f t="shared" si="3"/>
        <v>45.011766459177096</v>
      </c>
    </row>
    <row r="23" spans="1:13">
      <c r="A23" s="587" t="s">
        <v>3735</v>
      </c>
      <c r="B23" s="587"/>
      <c r="C23" s="122">
        <f>C12++C16+C19+C22</f>
        <v>16863164000</v>
      </c>
      <c r="D23" s="122">
        <f t="shared" ref="D23:E23" si="10">D12++D16+D19+D22</f>
        <v>100000000</v>
      </c>
      <c r="E23" s="122">
        <f t="shared" si="10"/>
        <v>2887360000</v>
      </c>
      <c r="F23" s="122">
        <f>F12++F16+F19+F22</f>
        <v>13875804000</v>
      </c>
      <c r="G23" s="122">
        <f>G12++G16+G19+G22</f>
        <v>8203483476</v>
      </c>
      <c r="H23" s="320">
        <f t="shared" si="1"/>
        <v>59.120779422943706</v>
      </c>
      <c r="I23" s="122">
        <f t="shared" si="2"/>
        <v>5672320524</v>
      </c>
      <c r="J23" s="204">
        <f t="shared" si="3"/>
        <v>40.879220577056294</v>
      </c>
      <c r="M23" s="159"/>
    </row>
    <row r="24" spans="1:13">
      <c r="A24" s="578" t="s">
        <v>4685</v>
      </c>
      <c r="B24" s="579"/>
      <c r="C24" s="310">
        <f>C23</f>
        <v>16863164000</v>
      </c>
      <c r="D24" s="580">
        <f>SUM(D23,E23)</f>
        <v>2987360000</v>
      </c>
      <c r="E24" s="581"/>
      <c r="F24" s="310">
        <f>F23</f>
        <v>13875804000</v>
      </c>
      <c r="G24" s="122">
        <f>G23</f>
        <v>8203483476</v>
      </c>
      <c r="H24" s="320">
        <f t="shared" si="1"/>
        <v>59.120779422943706</v>
      </c>
      <c r="I24" s="122">
        <f t="shared" si="2"/>
        <v>5672320524</v>
      </c>
      <c r="J24" s="204">
        <f t="shared" si="3"/>
        <v>40.879220577056294</v>
      </c>
      <c r="M24" s="161"/>
    </row>
    <row r="26" spans="1:13">
      <c r="J26" s="208"/>
    </row>
    <row r="27" spans="1:13" ht="15.75">
      <c r="A27" s="328" t="s">
        <v>3885</v>
      </c>
    </row>
    <row r="28" spans="1:13" ht="14.45" customHeight="1">
      <c r="A28" s="576" t="s">
        <v>3871</v>
      </c>
      <c r="B28" s="576" t="s">
        <v>3872</v>
      </c>
      <c r="C28" s="576" t="s">
        <v>4682</v>
      </c>
      <c r="D28" s="582" t="s">
        <v>4679</v>
      </c>
      <c r="E28" s="582" t="s">
        <v>4681</v>
      </c>
      <c r="F28" s="576" t="s">
        <v>4683</v>
      </c>
      <c r="G28" s="586" t="str">
        <f>IF($L$8=TRUE,"Realisasi vs Pagu+Blokir","Realisasi vs Pagu-Blokir")</f>
        <v>Realisasi vs Pagu-Blokir</v>
      </c>
      <c r="H28" s="586"/>
      <c r="I28" s="586" t="str">
        <f>IF($L$8=TRUE,"Sisa vs Pagu+Blokir","Sisa vs Pagu-Blokir")</f>
        <v>Sisa vs Pagu-Blokir</v>
      </c>
      <c r="J28" s="586"/>
    </row>
    <row r="29" spans="1:13">
      <c r="A29" s="577"/>
      <c r="B29" s="577"/>
      <c r="C29" s="577"/>
      <c r="D29" s="583"/>
      <c r="E29" s="583"/>
      <c r="F29" s="577"/>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4" t="s">
        <v>590</v>
      </c>
      <c r="B35" s="575"/>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74" t="s">
        <v>3876</v>
      </c>
      <c r="B36" s="575"/>
      <c r="C36" s="157"/>
      <c r="D36" s="157"/>
      <c r="E36" s="157"/>
      <c r="F36" s="157"/>
      <c r="G36" s="157"/>
      <c r="H36" s="158"/>
      <c r="I36" s="157"/>
      <c r="J36" s="158"/>
    </row>
    <row r="37" spans="1:12">
      <c r="A37" s="574" t="s">
        <v>3877</v>
      </c>
      <c r="B37" s="575"/>
      <c r="C37" s="157">
        <f>C35</f>
        <v>16863164000</v>
      </c>
      <c r="D37" s="584">
        <f>SUM(D35:E35)</f>
        <v>2987360000</v>
      </c>
      <c r="E37" s="585"/>
      <c r="F37" s="157">
        <f>F35</f>
        <v>13875804000</v>
      </c>
      <c r="G37" s="157">
        <f>G35-G36</f>
        <v>8203483476</v>
      </c>
      <c r="H37" s="158">
        <f t="shared" si="12"/>
        <v>59.120779422943706</v>
      </c>
      <c r="I37" s="157">
        <f t="shared" si="13"/>
        <v>5672320524</v>
      </c>
      <c r="J37" s="158">
        <f t="shared" si="14"/>
        <v>40.879220577056294</v>
      </c>
    </row>
    <row r="38" spans="1:12" s="279" customFormat="1">
      <c r="A38" s="314"/>
      <c r="B38" s="314"/>
      <c r="C38" s="315"/>
      <c r="D38" s="316"/>
      <c r="E38" s="316"/>
      <c r="F38" s="315"/>
      <c r="G38" s="315"/>
      <c r="H38" s="317"/>
      <c r="I38" s="315"/>
      <c r="J38" s="317"/>
      <c r="L38" s="265"/>
    </row>
    <row r="40" spans="1:12" ht="15.75">
      <c r="A40" s="327" t="s">
        <v>3883</v>
      </c>
    </row>
    <row r="41" spans="1:12">
      <c r="A41" s="588" t="s">
        <v>571</v>
      </c>
      <c r="B41" s="588" t="s">
        <v>500</v>
      </c>
      <c r="C41" s="588" t="s">
        <v>4682</v>
      </c>
      <c r="D41" s="588" t="s">
        <v>4679</v>
      </c>
      <c r="E41" s="588" t="s">
        <v>4681</v>
      </c>
      <c r="F41" s="588" t="s">
        <v>4683</v>
      </c>
      <c r="G41" s="586" t="str">
        <f>IF($L$8=TRUE,"Realisasi vs Pagu+Blokir","Realisasi vs Pagu-Blokir")</f>
        <v>Realisasi vs Pagu-Blokir</v>
      </c>
      <c r="H41" s="586"/>
      <c r="I41" s="586" t="str">
        <f>IF($L$8=TRUE,"Sisa vs Pagu+Blokir","Sisa vs Pagu-Blokir")</f>
        <v>Sisa vs Pagu-Blokir</v>
      </c>
      <c r="J41" s="586"/>
    </row>
    <row r="42" spans="1:12">
      <c r="A42" s="588"/>
      <c r="B42" s="588"/>
      <c r="C42" s="588"/>
      <c r="D42" s="588"/>
      <c r="E42" s="588"/>
      <c r="F42" s="588"/>
      <c r="G42" s="312" t="s">
        <v>4691</v>
      </c>
      <c r="H42" s="312" t="s">
        <v>3729</v>
      </c>
      <c r="I42" s="312" t="s">
        <v>4691</v>
      </c>
      <c r="J42" s="312" t="s">
        <v>3729</v>
      </c>
    </row>
    <row r="43" spans="1:12">
      <c r="A43" s="568"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68"/>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68"/>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68"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68"/>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68"/>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68"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68"/>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68"/>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68"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68"/>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68"/>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87" t="s">
        <v>3735</v>
      </c>
      <c r="B55" s="587"/>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87" t="s">
        <v>4685</v>
      </c>
      <c r="B56" s="587"/>
      <c r="C56" s="310">
        <f>C55</f>
        <v>96812000</v>
      </c>
      <c r="D56" s="589">
        <f>SUM(D55:E55)</f>
        <v>0</v>
      </c>
      <c r="E56" s="589"/>
      <c r="F56" s="310">
        <f>F55</f>
        <v>96812000</v>
      </c>
      <c r="G56" s="122">
        <f>G55</f>
        <v>89176280</v>
      </c>
      <c r="H56" s="324">
        <f t="shared" si="18"/>
        <v>92.112837251580387</v>
      </c>
      <c r="I56" s="122">
        <f t="shared" si="19"/>
        <v>7635720</v>
      </c>
      <c r="J56" s="320">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6" t="s">
        <v>4686</v>
      </c>
    </row>
    <row r="2" spans="1:13" ht="15.75">
      <c r="A2" s="538" t="str">
        <f>'PER BULAN'!B5</f>
        <v>Berdasarkan DIPA Revisi 3 TA. 2022 (Tanggal 13 Juli 2022)</v>
      </c>
      <c r="B2" s="538"/>
      <c r="C2" s="538"/>
      <c r="D2" s="538"/>
      <c r="E2" s="538"/>
      <c r="F2" s="538"/>
      <c r="G2" s="538"/>
      <c r="H2" s="538"/>
      <c r="I2" s="538"/>
      <c r="J2" s="538"/>
    </row>
    <row r="3" spans="1:13" ht="15.75">
      <c r="A3" s="538" t="str">
        <f>'PER BULAN'!B6</f>
        <v>SAMPAI DENGAN 24 AGUSTUS 2022</v>
      </c>
      <c r="B3" s="538"/>
      <c r="C3" s="538"/>
      <c r="D3" s="538"/>
      <c r="E3" s="538"/>
      <c r="F3" s="538"/>
      <c r="G3" s="538"/>
      <c r="H3" s="538"/>
      <c r="I3" s="538"/>
      <c r="J3" s="538"/>
    </row>
    <row r="4" spans="1:13">
      <c r="A4" s="331"/>
      <c r="B4" s="331"/>
      <c r="C4" s="331"/>
      <c r="D4" s="331"/>
      <c r="E4" s="331"/>
      <c r="F4" s="331"/>
      <c r="G4" s="331"/>
      <c r="H4" s="331"/>
      <c r="I4" s="331"/>
      <c r="J4" s="331"/>
    </row>
    <row r="5" spans="1:13" ht="15.75">
      <c r="A5" s="328" t="s">
        <v>3878</v>
      </c>
    </row>
    <row r="6" spans="1:13">
      <c r="A6" s="588" t="s">
        <v>571</v>
      </c>
      <c r="B6" s="588" t="s">
        <v>500</v>
      </c>
      <c r="C6" s="588" t="s">
        <v>4682</v>
      </c>
      <c r="D6" s="588" t="s">
        <v>4679</v>
      </c>
      <c r="E6" s="588" t="s">
        <v>4681</v>
      </c>
      <c r="F6" s="588" t="s">
        <v>3731</v>
      </c>
      <c r="G6" s="586" t="s">
        <v>3732</v>
      </c>
      <c r="H6" s="586"/>
      <c r="I6" s="586" t="s">
        <v>3733</v>
      </c>
      <c r="J6" s="586"/>
    </row>
    <row r="7" spans="1:13">
      <c r="A7" s="588"/>
      <c r="B7" s="588"/>
      <c r="C7" s="588"/>
      <c r="D7" s="588"/>
      <c r="E7" s="588"/>
      <c r="F7" s="588"/>
      <c r="G7" s="312" t="s">
        <v>4691</v>
      </c>
      <c r="H7" s="312" t="s">
        <v>3729</v>
      </c>
      <c r="I7" s="312" t="s">
        <v>4691</v>
      </c>
      <c r="J7" s="312" t="s">
        <v>3729</v>
      </c>
    </row>
    <row r="8" spans="1:13">
      <c r="A8" s="55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8">
        <f>IFERROR(IF($L$8=TRUE,G8/C8*100,G8/F8*100),0)</f>
        <v>43.88168995922468</v>
      </c>
      <c r="I8" s="115">
        <f>IF($L$8=TRUE,C8-G8,F8-G8)</f>
        <v>665844871</v>
      </c>
      <c r="J8" s="202">
        <f>IFERROR(IF($L$8=TRUE,I8/C8*100,I8/F8*100),0)</f>
        <v>56.11831004077532</v>
      </c>
      <c r="L8" s="311" t="b">
        <v>0</v>
      </c>
    </row>
    <row r="9" spans="1:13">
      <c r="A9" s="55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8">
        <f t="shared" ref="H9:H24" si="0">IFERROR(IF($L$8=TRUE,G9/C9*100,G9/F9*100),0)</f>
        <v>43.162565117153946</v>
      </c>
      <c r="I9" s="115">
        <f t="shared" ref="I9:I24" si="1">IF($L$8=TRUE,C9-G9,F9-G9)</f>
        <v>1247955686</v>
      </c>
      <c r="J9" s="202">
        <f t="shared" ref="J9:J24" si="2">IFERROR(IF($L$8=TRUE,I9/C9*100,I9/F9*100),0)</f>
        <v>56.837434882846047</v>
      </c>
    </row>
    <row r="10" spans="1:13">
      <c r="A10" s="55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row>
    <row r="11" spans="1:13">
      <c r="A11" s="55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8">
        <f t="shared" si="0"/>
        <v>52.663672737306847</v>
      </c>
      <c r="I11" s="115">
        <f t="shared" si="1"/>
        <v>137237480</v>
      </c>
      <c r="J11" s="202">
        <f t="shared" si="2"/>
        <v>47.336327262693153</v>
      </c>
    </row>
    <row r="12" spans="1:13">
      <c r="A12" s="553"/>
      <c r="B12" s="223" t="s">
        <v>4687</v>
      </c>
      <c r="C12" s="138">
        <f>SUM(C8:C11)</f>
        <v>4328014000</v>
      </c>
      <c r="D12" s="138">
        <f>SUM(D8:D11)</f>
        <v>100000000</v>
      </c>
      <c r="E12" s="138">
        <f>SUM(E8:E11)</f>
        <v>609552000</v>
      </c>
      <c r="F12" s="138">
        <f>SUM(F8:F11)</f>
        <v>4328014000</v>
      </c>
      <c r="G12" s="138">
        <f>SUM(G8:G11)</f>
        <v>2275241963</v>
      </c>
      <c r="H12" s="319">
        <f t="shared" si="0"/>
        <v>52.570115600365433</v>
      </c>
      <c r="I12" s="138">
        <f t="shared" si="1"/>
        <v>2052772037</v>
      </c>
      <c r="J12" s="203">
        <f t="shared" si="2"/>
        <v>47.429884399634567</v>
      </c>
      <c r="K12" s="133"/>
    </row>
    <row r="13" spans="1:13" ht="15" customHeight="1">
      <c r="A13" s="551"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8">
        <f t="shared" si="0"/>
        <v>20.614828369214923</v>
      </c>
      <c r="I13" s="115">
        <f t="shared" si="1"/>
        <v>610406874</v>
      </c>
      <c r="J13" s="202">
        <f t="shared" si="2"/>
        <v>79.385171630785081</v>
      </c>
    </row>
    <row r="14" spans="1:13">
      <c r="A14" s="552"/>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8">
        <f t="shared" si="0"/>
        <v>57.554845301485578</v>
      </c>
      <c r="I14" s="115">
        <f t="shared" si="1"/>
        <v>3642855402</v>
      </c>
      <c r="J14" s="202">
        <f t="shared" si="2"/>
        <v>42.445154698514422</v>
      </c>
      <c r="M14" s="161"/>
    </row>
    <row r="15" spans="1:13">
      <c r="A15" s="552"/>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8">
        <f t="shared" si="0"/>
        <v>19.312730933580756</v>
      </c>
      <c r="I15" s="115">
        <f t="shared" si="1"/>
        <v>511341044</v>
      </c>
      <c r="J15" s="202">
        <f t="shared" si="2"/>
        <v>80.687269066419248</v>
      </c>
    </row>
    <row r="16" spans="1:13">
      <c r="A16" s="553"/>
      <c r="B16" s="223" t="s">
        <v>4688</v>
      </c>
      <c r="C16" s="138">
        <f>SUM(C13:C15)</f>
        <v>9985150000</v>
      </c>
      <c r="D16" s="138">
        <f t="shared" ref="D16:E16" si="3">SUM(D13:D15)</f>
        <v>0</v>
      </c>
      <c r="E16" s="138">
        <f t="shared" si="3"/>
        <v>938934000</v>
      </c>
      <c r="F16" s="138">
        <f>SUM(F13:F15)</f>
        <v>9985150000</v>
      </c>
      <c r="G16" s="138">
        <f>SUM(G13:G15)</f>
        <v>5220546680</v>
      </c>
      <c r="H16" s="319">
        <f t="shared" si="0"/>
        <v>52.283107214213111</v>
      </c>
      <c r="I16" s="138">
        <f t="shared" si="1"/>
        <v>4764603320</v>
      </c>
      <c r="J16" s="203">
        <f t="shared" si="2"/>
        <v>47.716892785786897</v>
      </c>
    </row>
    <row r="17" spans="1:13" ht="15" customHeight="1">
      <c r="A17" s="551"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8">
        <f t="shared" si="0"/>
        <v>33.075425015819448</v>
      </c>
      <c r="I17" s="115">
        <f t="shared" si="1"/>
        <v>317289410</v>
      </c>
      <c r="J17" s="202">
        <f t="shared" si="2"/>
        <v>66.924574984180552</v>
      </c>
    </row>
    <row r="18" spans="1:13">
      <c r="A18" s="552"/>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8">
        <f t="shared" si="0"/>
        <v>11.145628962088255</v>
      </c>
      <c r="I18" s="115">
        <f t="shared" si="1"/>
        <v>714833415</v>
      </c>
      <c r="J18" s="202">
        <f t="shared" si="2"/>
        <v>88.854371037911747</v>
      </c>
      <c r="M18" s="161"/>
    </row>
    <row r="19" spans="1:13">
      <c r="A19" s="553"/>
      <c r="B19" s="223" t="s">
        <v>4689</v>
      </c>
      <c r="C19" s="138">
        <f>SUM(C17:C18)</f>
        <v>1278600000</v>
      </c>
      <c r="D19" s="138">
        <f t="shared" ref="D19:E19" si="4">SUM(D17:D18)</f>
        <v>0</v>
      </c>
      <c r="E19" s="138">
        <f t="shared" si="4"/>
        <v>906231000</v>
      </c>
      <c r="F19" s="138">
        <f>SUM(F17:F18)</f>
        <v>1278600000</v>
      </c>
      <c r="G19" s="138">
        <f>SUM(G17:G18)</f>
        <v>246477175</v>
      </c>
      <c r="H19" s="319">
        <f t="shared" si="0"/>
        <v>19.27711363991866</v>
      </c>
      <c r="I19" s="138">
        <f t="shared" si="1"/>
        <v>1032122825</v>
      </c>
      <c r="J19" s="203">
        <f t="shared" si="2"/>
        <v>80.722886360081333</v>
      </c>
    </row>
    <row r="20" spans="1:13" ht="15" customHeight="1">
      <c r="A20" s="551"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8">
        <f t="shared" si="0"/>
        <v>53.324849191315749</v>
      </c>
      <c r="I20" s="115">
        <f t="shared" si="1"/>
        <v>320331560</v>
      </c>
      <c r="J20" s="202">
        <f t="shared" si="2"/>
        <v>46.675150808684251</v>
      </c>
    </row>
    <row r="21" spans="1:13">
      <c r="A21" s="552"/>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8">
        <f t="shared" si="0"/>
        <v>16.279134848743805</v>
      </c>
      <c r="I21" s="115">
        <f t="shared" si="1"/>
        <v>489850782</v>
      </c>
      <c r="J21" s="202">
        <f t="shared" si="2"/>
        <v>83.720865151256191</v>
      </c>
    </row>
    <row r="22" spans="1:13">
      <c r="A22" s="553"/>
      <c r="B22" s="223" t="s">
        <v>4690</v>
      </c>
      <c r="C22" s="138">
        <f>SUM(C20:C21)</f>
        <v>1271400000</v>
      </c>
      <c r="D22" s="138">
        <f t="shared" ref="D22:E22" si="5">SUM(D20:D21)</f>
        <v>0</v>
      </c>
      <c r="E22" s="138">
        <f t="shared" si="5"/>
        <v>432643000</v>
      </c>
      <c r="F22" s="138">
        <f>SUM(F20:F21)</f>
        <v>1271400000</v>
      </c>
      <c r="G22" s="138">
        <f>SUM(G20:G21)</f>
        <v>461217658</v>
      </c>
      <c r="H22" s="319">
        <f t="shared" si="0"/>
        <v>36.276361333962562</v>
      </c>
      <c r="I22" s="138">
        <f t="shared" si="1"/>
        <v>810182342</v>
      </c>
      <c r="J22" s="203">
        <f t="shared" si="2"/>
        <v>63.723638666037438</v>
      </c>
    </row>
    <row r="23" spans="1:13">
      <c r="A23" s="587" t="s">
        <v>3735</v>
      </c>
      <c r="B23" s="587"/>
      <c r="C23" s="122">
        <f>C12++C16+C19+C22</f>
        <v>16863164000</v>
      </c>
      <c r="D23" s="122">
        <f t="shared" ref="D23:E23" si="6">D12++D16+D19+D22</f>
        <v>100000000</v>
      </c>
      <c r="E23" s="122">
        <f t="shared" si="6"/>
        <v>2887360000</v>
      </c>
      <c r="F23" s="122">
        <f>F12++F16+F19+F22</f>
        <v>16863164000</v>
      </c>
      <c r="G23" s="122">
        <f>G12++G16+G19+G22</f>
        <v>8203483476</v>
      </c>
      <c r="H23" s="320">
        <f t="shared" si="0"/>
        <v>48.647356308697468</v>
      </c>
      <c r="I23" s="122">
        <f t="shared" si="1"/>
        <v>8659680524</v>
      </c>
      <c r="J23" s="204">
        <f t="shared" si="2"/>
        <v>51.352643691302532</v>
      </c>
      <c r="M23" s="159"/>
    </row>
    <row r="24" spans="1:13">
      <c r="A24" s="578" t="s">
        <v>4685</v>
      </c>
      <c r="B24" s="579"/>
      <c r="C24" s="310">
        <f>C23</f>
        <v>16863164000</v>
      </c>
      <c r="D24" s="580">
        <f>SUM(D23,E23)</f>
        <v>2987360000</v>
      </c>
      <c r="E24" s="581"/>
      <c r="F24" s="310">
        <f>F23</f>
        <v>16863164000</v>
      </c>
      <c r="G24" s="122">
        <f>G23</f>
        <v>8203483476</v>
      </c>
      <c r="H24" s="320">
        <f t="shared" si="0"/>
        <v>48.647356308697468</v>
      </c>
      <c r="I24" s="122">
        <f t="shared" si="1"/>
        <v>8659680524</v>
      </c>
      <c r="J24" s="204">
        <f t="shared" si="2"/>
        <v>51.352643691302532</v>
      </c>
      <c r="M24" s="161"/>
    </row>
    <row r="25" spans="1:13">
      <c r="I25" s="159"/>
      <c r="J25" s="359"/>
    </row>
    <row r="26" spans="1:13">
      <c r="I26" s="159"/>
      <c r="J26" s="359"/>
    </row>
    <row r="27" spans="1:13" ht="15.75">
      <c r="A27" s="328" t="s">
        <v>3885</v>
      </c>
      <c r="I27" s="159"/>
      <c r="J27" s="359"/>
    </row>
    <row r="28" spans="1:13" ht="14.45" customHeight="1">
      <c r="A28" s="576" t="s">
        <v>3871</v>
      </c>
      <c r="B28" s="576" t="s">
        <v>3872</v>
      </c>
      <c r="C28" s="576" t="s">
        <v>4682</v>
      </c>
      <c r="D28" s="582" t="s">
        <v>4679</v>
      </c>
      <c r="E28" s="582" t="s">
        <v>4681</v>
      </c>
      <c r="F28" s="588" t="s">
        <v>3731</v>
      </c>
      <c r="G28" s="586" t="s">
        <v>3732</v>
      </c>
      <c r="H28" s="586"/>
      <c r="I28" s="586" t="s">
        <v>3733</v>
      </c>
      <c r="J28" s="586"/>
    </row>
    <row r="29" spans="1:13">
      <c r="A29" s="577"/>
      <c r="B29" s="577"/>
      <c r="C29" s="577"/>
      <c r="D29" s="583"/>
      <c r="E29" s="583"/>
      <c r="F29" s="588"/>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4" t="s">
        <v>590</v>
      </c>
      <c r="B35" s="575"/>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74" t="s">
        <v>3876</v>
      </c>
      <c r="B36" s="575"/>
      <c r="C36" s="157"/>
      <c r="D36" s="157"/>
      <c r="E36" s="157"/>
      <c r="F36" s="157"/>
      <c r="G36" s="157"/>
      <c r="H36" s="158"/>
      <c r="I36" s="157"/>
      <c r="J36" s="158"/>
    </row>
    <row r="37" spans="1:12">
      <c r="A37" s="574" t="s">
        <v>3877</v>
      </c>
      <c r="B37" s="575"/>
      <c r="C37" s="157">
        <f>C35</f>
        <v>16863164000</v>
      </c>
      <c r="D37" s="584">
        <f>SUM(D35:E35)</f>
        <v>2987360000</v>
      </c>
      <c r="E37" s="585"/>
      <c r="F37" s="157">
        <f>F35</f>
        <v>16863164000</v>
      </c>
      <c r="G37" s="157">
        <f>G35-G36</f>
        <v>8203483476</v>
      </c>
      <c r="H37" s="158">
        <f t="shared" si="8"/>
        <v>48.647356308697468</v>
      </c>
      <c r="I37" s="157">
        <f t="shared" si="9"/>
        <v>8659680524</v>
      </c>
      <c r="J37" s="158">
        <f t="shared" si="10"/>
        <v>51.352643691302532</v>
      </c>
    </row>
    <row r="38" spans="1:12" s="279" customFormat="1">
      <c r="A38" s="314"/>
      <c r="B38" s="314"/>
      <c r="C38" s="315"/>
      <c r="D38" s="316"/>
      <c r="E38" s="316"/>
      <c r="F38" s="315"/>
      <c r="G38" s="315"/>
      <c r="H38" s="317"/>
      <c r="I38" s="315"/>
      <c r="J38" s="317"/>
      <c r="L38" s="265"/>
    </row>
    <row r="40" spans="1:12" ht="15.75">
      <c r="A40" s="327" t="s">
        <v>3883</v>
      </c>
    </row>
    <row r="41" spans="1:12">
      <c r="A41" s="588" t="s">
        <v>571</v>
      </c>
      <c r="B41" s="588" t="s">
        <v>500</v>
      </c>
      <c r="C41" s="588" t="s">
        <v>4682</v>
      </c>
      <c r="D41" s="588" t="s">
        <v>4679</v>
      </c>
      <c r="E41" s="588" t="s">
        <v>4681</v>
      </c>
      <c r="F41" s="588" t="s">
        <v>3731</v>
      </c>
      <c r="G41" s="586" t="s">
        <v>3732</v>
      </c>
      <c r="H41" s="586"/>
      <c r="I41" s="586" t="s">
        <v>3733</v>
      </c>
      <c r="J41" s="586"/>
    </row>
    <row r="42" spans="1:12">
      <c r="A42" s="588"/>
      <c r="B42" s="588"/>
      <c r="C42" s="588"/>
      <c r="D42" s="588"/>
      <c r="E42" s="588"/>
      <c r="F42" s="588"/>
      <c r="G42" s="312" t="s">
        <v>4691</v>
      </c>
      <c r="H42" s="312" t="s">
        <v>3729</v>
      </c>
      <c r="I42" s="312" t="s">
        <v>4691</v>
      </c>
      <c r="J42" s="312" t="s">
        <v>3729</v>
      </c>
    </row>
    <row r="43" spans="1:12">
      <c r="A43" s="568"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68"/>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68"/>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68"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68"/>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68"/>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68"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68"/>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68"/>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68"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68"/>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68"/>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87" t="s">
        <v>3735</v>
      </c>
      <c r="B55" s="587"/>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87" t="s">
        <v>4685</v>
      </c>
      <c r="B56" s="587"/>
      <c r="C56" s="310">
        <f>C55</f>
        <v>101811000</v>
      </c>
      <c r="D56" s="589">
        <f>SUM(D55:E55)</f>
        <v>0</v>
      </c>
      <c r="E56" s="589"/>
      <c r="F56" s="310">
        <f>F55</f>
        <v>96812000</v>
      </c>
      <c r="G56" s="122">
        <f>G55</f>
        <v>89176280</v>
      </c>
      <c r="H56" s="324">
        <f t="shared" si="12"/>
        <v>92.112837251580387</v>
      </c>
      <c r="I56" s="122">
        <f t="shared" si="13"/>
        <v>7635720</v>
      </c>
      <c r="J56" s="320">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38" t="str">
        <f>'PERSUBBID - Gaji'!A2</f>
        <v>Berdasarkan DIPA Revisi 3 TA. 2022 (Tanggal 13 Juli 2022)</v>
      </c>
      <c r="C2" s="538"/>
      <c r="D2" s="538"/>
      <c r="E2" s="538"/>
      <c r="F2" s="538"/>
      <c r="G2" s="538"/>
      <c r="H2" s="538"/>
      <c r="I2" s="538"/>
      <c r="J2" s="538"/>
      <c r="K2" s="538"/>
      <c r="L2" s="538"/>
      <c r="M2" s="538"/>
      <c r="N2" s="538"/>
      <c r="O2" s="538"/>
      <c r="P2" s="538"/>
    </row>
    <row r="3" spans="2:16" ht="15.75">
      <c r="B3" s="538" t="str">
        <f>'PERSUBBID - Gaji'!A3</f>
        <v>SAMPAI DENGAN 24 AGUSTUS 2022</v>
      </c>
      <c r="C3" s="538"/>
      <c r="D3" s="538"/>
      <c r="E3" s="538"/>
      <c r="F3" s="538"/>
      <c r="G3" s="538"/>
      <c r="H3" s="538"/>
      <c r="I3" s="538"/>
      <c r="J3" s="538"/>
      <c r="K3" s="538"/>
      <c r="L3" s="538"/>
      <c r="M3" s="538"/>
      <c r="N3" s="538"/>
      <c r="O3" s="538"/>
      <c r="P3" s="538"/>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DENGAN GAJI (BERDASARKAN PAGU SEBELUM BLOKIR)","REALISASI DENGAN GAJI (BERDASARKAN PAGU SETELAH BLOKIR)")</f>
        <v>REALISASI DENGAN GAJI (BERDASARKAN PAGU SETELAH BLOKIR)</v>
      </c>
      <c r="B1" s="573"/>
      <c r="C1" s="573"/>
      <c r="D1" s="573"/>
      <c r="E1" s="573"/>
      <c r="F1" s="573"/>
      <c r="G1" s="573"/>
      <c r="H1" s="573"/>
      <c r="I1" s="573"/>
      <c r="J1" s="573"/>
      <c r="L1" s="326"/>
    </row>
    <row r="2" spans="1:13" ht="15.75">
      <c r="A2" s="538" t="str">
        <f>'PER BULAN'!B5</f>
        <v>Berdasarkan DIPA Revisi 3 TA. 2022 (Tanggal 13 Juli 2022)</v>
      </c>
      <c r="B2" s="538"/>
      <c r="C2" s="538"/>
      <c r="D2" s="538"/>
      <c r="E2" s="538"/>
      <c r="F2" s="538"/>
      <c r="G2" s="538"/>
      <c r="H2" s="538"/>
      <c r="I2" s="538"/>
      <c r="J2" s="538"/>
    </row>
    <row r="3" spans="1:13" ht="15.75">
      <c r="A3" s="538" t="str">
        <f>'PER BULAN'!B6</f>
        <v>SAMPAI DENGAN 24 AGUSTUS 2022</v>
      </c>
      <c r="B3" s="538"/>
      <c r="C3" s="538"/>
      <c r="D3" s="538"/>
      <c r="E3" s="538"/>
      <c r="F3" s="538"/>
      <c r="G3" s="538"/>
      <c r="H3" s="538"/>
      <c r="I3" s="538"/>
      <c r="J3" s="538"/>
    </row>
    <row r="4" spans="1:13">
      <c r="A4" s="300"/>
      <c r="B4" s="300"/>
      <c r="C4" s="300"/>
      <c r="D4" s="300"/>
      <c r="E4" s="300"/>
      <c r="F4" s="300"/>
      <c r="G4" s="300"/>
      <c r="H4" s="300"/>
      <c r="I4" s="300"/>
      <c r="J4" s="300"/>
    </row>
    <row r="5" spans="1:13" ht="15.75">
      <c r="A5" s="328" t="s">
        <v>3878</v>
      </c>
    </row>
    <row r="6" spans="1:13">
      <c r="A6" s="588" t="s">
        <v>571</v>
      </c>
      <c r="B6" s="588" t="s">
        <v>500</v>
      </c>
      <c r="C6" s="588" t="s">
        <v>4682</v>
      </c>
      <c r="D6" s="588" t="s">
        <v>4679</v>
      </c>
      <c r="E6" s="588" t="s">
        <v>4681</v>
      </c>
      <c r="F6" s="588" t="s">
        <v>4683</v>
      </c>
      <c r="G6" s="586" t="str">
        <f>IF($L$8=TRUE,"Realisasi vs Pagu+Blokir","Realisasi vs Pagu-Blokir")</f>
        <v>Realisasi vs Pagu-Blokir</v>
      </c>
      <c r="H6" s="586"/>
      <c r="I6" s="586" t="str">
        <f>IF($L$8=TRUE,"Sisa vs Pagu+Blokir","Sisa vs Pagu-Blokir")</f>
        <v>Sisa vs Pagu-Blokir</v>
      </c>
      <c r="J6" s="586"/>
    </row>
    <row r="7" spans="1:13">
      <c r="A7" s="588"/>
      <c r="B7" s="588"/>
      <c r="C7" s="588"/>
      <c r="D7" s="588"/>
      <c r="E7" s="588"/>
      <c r="F7" s="588"/>
      <c r="G7" s="312" t="s">
        <v>4691</v>
      </c>
      <c r="H7" s="312" t="s">
        <v>3729</v>
      </c>
      <c r="I7" s="312" t="s">
        <v>4691</v>
      </c>
      <c r="J7" s="312" t="s">
        <v>3729</v>
      </c>
    </row>
    <row r="8" spans="1:13">
      <c r="A8" s="55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8">
        <f>IFERROR(IF($L$8=TRUE,G8/C8*100,G8/F8*100),0)</f>
        <v>77.630766351963061</v>
      </c>
      <c r="I8" s="115">
        <f>IF($L$8=TRUE,C8-G8,F8-G8)</f>
        <v>150026871</v>
      </c>
      <c r="J8" s="202">
        <f>IFERROR(IF($L$8=TRUE,I8/C8*100,I8/F8*100),0)</f>
        <v>22.369233648036928</v>
      </c>
      <c r="K8" s="329"/>
      <c r="L8" s="311" t="b">
        <v>0</v>
      </c>
    </row>
    <row r="9" spans="1:13">
      <c r="A9" s="55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8">
        <f t="shared" ref="H9:H25" si="1">IFERROR(IF($L$8=TRUE,G9/C9*100,G9/F9*100),0)</f>
        <v>45.222183867787585</v>
      </c>
      <c r="I9" s="115">
        <f t="shared" ref="I9:I25" si="2">IF($L$8=TRUE,C9-G9,F9-G9)</f>
        <v>1147955686</v>
      </c>
      <c r="J9" s="202">
        <f t="shared" ref="J9:J25" si="3">IFERROR(IF($L$8=TRUE,I9/C9*100,I9/F9*100),0)</f>
        <v>54.777816132212408</v>
      </c>
      <c r="K9" s="329"/>
    </row>
    <row r="10" spans="1:13">
      <c r="A10" s="55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c r="K10" s="329"/>
    </row>
    <row r="11" spans="1:13">
      <c r="A11" s="55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8">
        <f t="shared" si="1"/>
        <v>77.143552950687138</v>
      </c>
      <c r="I11" s="115">
        <f t="shared" si="2"/>
        <v>45237480</v>
      </c>
      <c r="J11" s="202">
        <f t="shared" si="3"/>
        <v>22.856447049312852</v>
      </c>
      <c r="K11" s="329"/>
    </row>
    <row r="12" spans="1:13">
      <c r="A12" s="55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8">
        <f t="shared" ref="H12" si="4">IFERROR(IF($L$8=TRUE,G12/C12*100,G12/F12*100),0)</f>
        <v>68.921783976629257</v>
      </c>
      <c r="I12" s="115">
        <f t="shared" ref="I12" si="5">IF($L$8=TRUE,C12-G12,F12-G12)</f>
        <v>1912878803</v>
      </c>
      <c r="J12" s="202">
        <f t="shared" ref="J12" si="6">IFERROR(IF($L$8=TRUE,I12/C12*100,I12/F12*100),0)</f>
        <v>31.078216023370743</v>
      </c>
      <c r="K12" s="329"/>
    </row>
    <row r="13" spans="1:13">
      <c r="A13" s="553"/>
      <c r="B13" s="223" t="s">
        <v>4687</v>
      </c>
      <c r="C13" s="138">
        <f>SUM(C8:C12)</f>
        <v>10807010000</v>
      </c>
      <c r="D13" s="138">
        <f t="shared" ref="D13:G13" si="7">SUM(D8:D12)</f>
        <v>423949000</v>
      </c>
      <c r="E13" s="138">
        <f t="shared" si="7"/>
        <v>609552000</v>
      </c>
      <c r="F13" s="138">
        <f t="shared" si="7"/>
        <v>9773509000</v>
      </c>
      <c r="G13" s="138">
        <f t="shared" si="7"/>
        <v>6517410160</v>
      </c>
      <c r="H13" s="319">
        <f t="shared" si="1"/>
        <v>66.684444246176071</v>
      </c>
      <c r="I13" s="138">
        <f t="shared" si="2"/>
        <v>3256098840</v>
      </c>
      <c r="J13" s="203">
        <f t="shared" si="3"/>
        <v>33.315555753823936</v>
      </c>
      <c r="K13" s="329"/>
    </row>
    <row r="14" spans="1:13" ht="15" customHeight="1">
      <c r="A14" s="551"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8">
        <f t="shared" si="1"/>
        <v>53.930390789267754</v>
      </c>
      <c r="I14" s="115">
        <f t="shared" si="2"/>
        <v>135406874</v>
      </c>
      <c r="J14" s="202">
        <f t="shared" si="3"/>
        <v>46.069609210732246</v>
      </c>
      <c r="K14" s="329"/>
    </row>
    <row r="15" spans="1:13">
      <c r="A15" s="552"/>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8">
        <f t="shared" si="1"/>
        <v>57.554845301485578</v>
      </c>
      <c r="I15" s="115">
        <f t="shared" si="2"/>
        <v>3642855402</v>
      </c>
      <c r="J15" s="202">
        <f t="shared" si="3"/>
        <v>42.445154698514422</v>
      </c>
      <c r="K15" s="329"/>
      <c r="M15" s="161"/>
    </row>
    <row r="16" spans="1:13">
      <c r="A16" s="552"/>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8">
        <f t="shared" si="1"/>
        <v>72.080328390204826</v>
      </c>
      <c r="I16" s="115">
        <f t="shared" si="2"/>
        <v>47407044</v>
      </c>
      <c r="J16" s="202">
        <f t="shared" si="3"/>
        <v>27.919671609795166</v>
      </c>
      <c r="K16" s="329"/>
    </row>
    <row r="17" spans="1:13">
      <c r="A17" s="553"/>
      <c r="B17" s="223" t="s">
        <v>4688</v>
      </c>
      <c r="C17" s="138">
        <f>SUM(C14:C16)</f>
        <v>9985150000</v>
      </c>
      <c r="D17" s="138">
        <f t="shared" ref="D17:E17" si="9">SUM(D14:D16)</f>
        <v>0</v>
      </c>
      <c r="E17" s="138">
        <f t="shared" si="9"/>
        <v>938934000</v>
      </c>
      <c r="F17" s="138">
        <f>SUM(F14:F16)</f>
        <v>9046216000</v>
      </c>
      <c r="G17" s="138">
        <f>SUM(G14:G16)</f>
        <v>5220546680</v>
      </c>
      <c r="H17" s="319">
        <f t="shared" si="1"/>
        <v>57.709728354927627</v>
      </c>
      <c r="I17" s="138">
        <f t="shared" si="2"/>
        <v>3825669320</v>
      </c>
      <c r="J17" s="203">
        <f t="shared" si="3"/>
        <v>42.290271645072366</v>
      </c>
      <c r="K17" s="329"/>
    </row>
    <row r="18" spans="1:13" ht="15" customHeight="1">
      <c r="A18" s="551"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8">
        <f t="shared" si="1"/>
        <v>75.5327832528925</v>
      </c>
      <c r="I18" s="115">
        <f t="shared" si="2"/>
        <v>50795410</v>
      </c>
      <c r="J18" s="202">
        <f t="shared" si="3"/>
        <v>24.4672167471075</v>
      </c>
      <c r="K18" s="329"/>
    </row>
    <row r="19" spans="1:13">
      <c r="A19" s="552"/>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8">
        <f t="shared" si="1"/>
        <v>54.421553989670016</v>
      </c>
      <c r="I19" s="115">
        <f t="shared" si="2"/>
        <v>75096415</v>
      </c>
      <c r="J19" s="202">
        <f t="shared" si="3"/>
        <v>45.578446010329984</v>
      </c>
      <c r="K19" s="329"/>
      <c r="M19" s="161"/>
    </row>
    <row r="20" spans="1:13">
      <c r="A20" s="553"/>
      <c r="B20" s="223" t="s">
        <v>4689</v>
      </c>
      <c r="C20" s="138">
        <f>SUM(C18:C19)</f>
        <v>1278600000</v>
      </c>
      <c r="D20" s="138">
        <f t="shared" ref="D20:E20" si="11">SUM(D18:D19)</f>
        <v>0</v>
      </c>
      <c r="E20" s="138">
        <f t="shared" si="11"/>
        <v>906231000</v>
      </c>
      <c r="F20" s="138">
        <f>SUM(F18:F19)</f>
        <v>372369000</v>
      </c>
      <c r="G20" s="138">
        <f>SUM(G18:G19)</f>
        <v>246477175</v>
      </c>
      <c r="H20" s="319">
        <f t="shared" si="1"/>
        <v>66.191647263869982</v>
      </c>
      <c r="I20" s="138">
        <f t="shared" si="2"/>
        <v>125891825</v>
      </c>
      <c r="J20" s="203">
        <f t="shared" si="3"/>
        <v>33.808352736130018</v>
      </c>
      <c r="K20" s="329"/>
    </row>
    <row r="21" spans="1:13" ht="15" customHeight="1">
      <c r="A21" s="551"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8">
        <f t="shared" si="1"/>
        <v>53.324849191315749</v>
      </c>
      <c r="I21" s="115">
        <f t="shared" si="2"/>
        <v>320331560</v>
      </c>
      <c r="J21" s="202">
        <f t="shared" si="3"/>
        <v>46.675150808684251</v>
      </c>
      <c r="K21" s="329"/>
    </row>
    <row r="22" spans="1:13">
      <c r="A22" s="552"/>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8">
        <f t="shared" si="1"/>
        <v>62.476119823950363</v>
      </c>
      <c r="I22" s="115">
        <f t="shared" si="2"/>
        <v>57207782</v>
      </c>
      <c r="J22" s="202">
        <f t="shared" si="3"/>
        <v>37.523880176049637</v>
      </c>
      <c r="K22" s="329"/>
    </row>
    <row r="23" spans="1:13">
      <c r="A23" s="553"/>
      <c r="B23" s="223" t="s">
        <v>4690</v>
      </c>
      <c r="C23" s="138">
        <f>SUM(C21:C22)</f>
        <v>1271400000</v>
      </c>
      <c r="D23" s="138">
        <f t="shared" ref="D23:E23" si="13">SUM(D21:D22)</f>
        <v>0</v>
      </c>
      <c r="E23" s="138">
        <f t="shared" si="13"/>
        <v>432643000</v>
      </c>
      <c r="F23" s="138">
        <f>SUM(F21:F22)</f>
        <v>838757000</v>
      </c>
      <c r="G23" s="138">
        <f>SUM(G21:G22)</f>
        <v>461217658</v>
      </c>
      <c r="H23" s="319">
        <f t="shared" si="1"/>
        <v>54.988233540822904</v>
      </c>
      <c r="I23" s="138">
        <f t="shared" si="2"/>
        <v>377539342</v>
      </c>
      <c r="J23" s="203">
        <f t="shared" si="3"/>
        <v>45.011766459177096</v>
      </c>
      <c r="K23" s="329"/>
    </row>
    <row r="24" spans="1:13">
      <c r="A24" s="587" t="s">
        <v>3735</v>
      </c>
      <c r="B24" s="587"/>
      <c r="C24" s="122">
        <f>C13++C17+C20+C23</f>
        <v>23342160000</v>
      </c>
      <c r="D24" s="122">
        <f t="shared" ref="D24:E24" si="14">D13++D17+D20+D23</f>
        <v>423949000</v>
      </c>
      <c r="E24" s="122">
        <f t="shared" si="14"/>
        <v>2887360000</v>
      </c>
      <c r="F24" s="122">
        <f>F13++F17+F20+F23</f>
        <v>20030851000</v>
      </c>
      <c r="G24" s="122">
        <f>G13++G17+G20+G23</f>
        <v>12445651673</v>
      </c>
      <c r="H24" s="320">
        <f t="shared" si="1"/>
        <v>62.132416006688885</v>
      </c>
      <c r="I24" s="122">
        <f t="shared" si="2"/>
        <v>7585199327</v>
      </c>
      <c r="J24" s="204">
        <f t="shared" si="3"/>
        <v>37.867583993311115</v>
      </c>
      <c r="K24" s="329"/>
      <c r="M24" s="159"/>
    </row>
    <row r="25" spans="1:13">
      <c r="A25" s="578" t="s">
        <v>4685</v>
      </c>
      <c r="B25" s="579"/>
      <c r="C25" s="310">
        <f>C24</f>
        <v>23342160000</v>
      </c>
      <c r="D25" s="580">
        <f>SUM(D24,E24)</f>
        <v>3311309000</v>
      </c>
      <c r="E25" s="581"/>
      <c r="F25" s="310">
        <f>F24</f>
        <v>20030851000</v>
      </c>
      <c r="G25" s="122">
        <f>G24</f>
        <v>12445651673</v>
      </c>
      <c r="H25" s="320">
        <f t="shared" si="1"/>
        <v>62.132416006688885</v>
      </c>
      <c r="I25" s="122">
        <f t="shared" si="2"/>
        <v>7585199327</v>
      </c>
      <c r="J25" s="204">
        <f t="shared" si="3"/>
        <v>37.867583993311115</v>
      </c>
      <c r="K25" s="329"/>
      <c r="M25" s="161"/>
    </row>
    <row r="29" spans="1:13" ht="15.75">
      <c r="A29" s="328" t="s">
        <v>3885</v>
      </c>
    </row>
    <row r="30" spans="1:13" ht="14.45" customHeight="1">
      <c r="A30" s="576" t="s">
        <v>3871</v>
      </c>
      <c r="B30" s="576" t="s">
        <v>3872</v>
      </c>
      <c r="C30" s="576" t="s">
        <v>4682</v>
      </c>
      <c r="D30" s="582" t="s">
        <v>4679</v>
      </c>
      <c r="E30" s="582" t="s">
        <v>4681</v>
      </c>
      <c r="F30" s="576" t="s">
        <v>4683</v>
      </c>
      <c r="G30" s="586" t="str">
        <f>IF($L$8=TRUE,"Realisasi vs Pagu+Blokir","Realisasi vs Pagu-Blokir")</f>
        <v>Realisasi vs Pagu-Blokir</v>
      </c>
      <c r="H30" s="586"/>
      <c r="I30" s="586" t="str">
        <f>IF($L$8=TRUE,"Sisa vs Pagu+Blokir","Sisa vs Pagu-Blokir")</f>
        <v>Sisa vs Pagu-Blokir</v>
      </c>
      <c r="J30" s="586"/>
    </row>
    <row r="31" spans="1:13">
      <c r="A31" s="577"/>
      <c r="B31" s="577"/>
      <c r="C31" s="577"/>
      <c r="D31" s="583"/>
      <c r="E31" s="583"/>
      <c r="F31" s="577"/>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29"/>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29"/>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29"/>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74" t="s">
        <v>590</v>
      </c>
      <c r="B38" s="575"/>
      <c r="C38" s="157">
        <f>SUM(C32,C33,C36)</f>
        <v>23342160000</v>
      </c>
      <c r="D38" s="157">
        <f t="shared" ref="D38:G38" si="24">SUM(D32,D33,D36)</f>
        <v>423949000</v>
      </c>
      <c r="E38" s="157">
        <f t="shared" si="24"/>
        <v>2887360000</v>
      </c>
      <c r="F38" s="157">
        <f t="shared" si="24"/>
        <v>20030851000</v>
      </c>
      <c r="G38" s="157">
        <f t="shared" si="24"/>
        <v>12445651673</v>
      </c>
      <c r="H38" s="158">
        <f t="shared" si="20"/>
        <v>62.132416006688885</v>
      </c>
      <c r="I38" s="157">
        <f t="shared" si="21"/>
        <v>7585199327</v>
      </c>
      <c r="J38" s="158">
        <f t="shared" si="22"/>
        <v>37.867583993311115</v>
      </c>
      <c r="K38" s="329"/>
    </row>
    <row r="39" spans="1:12">
      <c r="A39" s="574" t="s">
        <v>3876</v>
      </c>
      <c r="B39" s="575"/>
      <c r="C39" s="157"/>
      <c r="D39" s="157"/>
      <c r="E39" s="157"/>
      <c r="F39" s="157"/>
      <c r="G39" s="157"/>
      <c r="H39" s="158"/>
      <c r="I39" s="157"/>
      <c r="J39" s="158"/>
      <c r="K39" s="329"/>
    </row>
    <row r="40" spans="1:12">
      <c r="A40" s="574" t="s">
        <v>3877</v>
      </c>
      <c r="B40" s="575"/>
      <c r="C40" s="157">
        <f>C38</f>
        <v>23342160000</v>
      </c>
      <c r="D40" s="584">
        <f>SUM(D38:E38)</f>
        <v>3311309000</v>
      </c>
      <c r="E40" s="585"/>
      <c r="F40" s="157">
        <f>F38</f>
        <v>20030851000</v>
      </c>
      <c r="G40" s="157">
        <f>G38-G39</f>
        <v>12445651673</v>
      </c>
      <c r="H40" s="158">
        <f t="shared" si="20"/>
        <v>62.132416006688885</v>
      </c>
      <c r="I40" s="157">
        <f t="shared" si="21"/>
        <v>7585199327</v>
      </c>
      <c r="J40" s="158">
        <f t="shared" si="22"/>
        <v>37.867583993311115</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88" t="s">
        <v>571</v>
      </c>
      <c r="B45" s="588" t="s">
        <v>500</v>
      </c>
      <c r="C45" s="588" t="s">
        <v>4682</v>
      </c>
      <c r="D45" s="588" t="s">
        <v>4679</v>
      </c>
      <c r="E45" s="588" t="s">
        <v>4681</v>
      </c>
      <c r="F45" s="588" t="s">
        <v>4683</v>
      </c>
      <c r="G45" s="586" t="str">
        <f>IF($L$8=TRUE,"Realisasi vs Pagu+Blokir","Realisasi vs Pagu-Blokir")</f>
        <v>Realisasi vs Pagu-Blokir</v>
      </c>
      <c r="H45" s="586"/>
      <c r="I45" s="586" t="str">
        <f>IF($L$8=TRUE,"Sisa vs Pagu+Blokir","Sisa vs Pagu-Blokir")</f>
        <v>Sisa vs Pagu-Blokir</v>
      </c>
      <c r="J45" s="586"/>
    </row>
    <row r="46" spans="1:12">
      <c r="A46" s="588"/>
      <c r="B46" s="588"/>
      <c r="C46" s="588"/>
      <c r="D46" s="588"/>
      <c r="E46" s="588"/>
      <c r="F46" s="588"/>
      <c r="G46" s="312" t="s">
        <v>4691</v>
      </c>
      <c r="H46" s="312" t="s">
        <v>3729</v>
      </c>
      <c r="I46" s="312" t="s">
        <v>4691</v>
      </c>
      <c r="J46" s="312" t="s">
        <v>3729</v>
      </c>
    </row>
    <row r="47" spans="1:12">
      <c r="A47" s="568"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68"/>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68"/>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68"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68"/>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68"/>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68"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68"/>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68"/>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68"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68"/>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68"/>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87" t="s">
        <v>3735</v>
      </c>
      <c r="B59" s="587"/>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87" t="s">
        <v>4685</v>
      </c>
      <c r="B60" s="587"/>
      <c r="C60" s="310">
        <f>C59</f>
        <v>96812000</v>
      </c>
      <c r="D60" s="589">
        <f>SUM(D59:E59)</f>
        <v>0</v>
      </c>
      <c r="E60" s="589"/>
      <c r="F60" s="310">
        <f>F59</f>
        <v>96812000</v>
      </c>
      <c r="G60" s="122">
        <f>G59</f>
        <v>89176280</v>
      </c>
      <c r="H60" s="324">
        <f t="shared" si="26"/>
        <v>92.112837251580387</v>
      </c>
      <c r="I60" s="122">
        <f t="shared" si="27"/>
        <v>7635720</v>
      </c>
      <c r="J60" s="320">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37" t="str">
        <f>IF(L8=TRUE,"REALISASI DENGAN GAJI (BERDASARKAN PAGU SEBELUM BLOKIR)","REALISASI DENGAN GAJI (BERDASARKAN PAGU SETELAH BLOKIR)")</f>
        <v>REALISASI DENGAN GAJI (BERDASARKAN PAGU SETELAH BLOKIR)</v>
      </c>
      <c r="B1" s="537"/>
      <c r="C1" s="537"/>
      <c r="D1" s="537"/>
      <c r="E1" s="537"/>
      <c r="F1" s="537"/>
      <c r="G1" s="537"/>
      <c r="H1" s="537"/>
      <c r="I1" s="537"/>
      <c r="J1" s="537"/>
      <c r="L1" s="326"/>
    </row>
    <row r="2" spans="1:13" ht="15.75">
      <c r="A2" s="538" t="str">
        <f>'PER BULAN'!B5</f>
        <v>Berdasarkan DIPA Revisi 3 TA. 2022 (Tanggal 13 Juli 2022)</v>
      </c>
      <c r="B2" s="538"/>
      <c r="C2" s="538"/>
      <c r="D2" s="538"/>
      <c r="E2" s="538"/>
      <c r="F2" s="538"/>
      <c r="G2" s="538"/>
      <c r="H2" s="538"/>
      <c r="I2" s="538"/>
      <c r="J2" s="538"/>
    </row>
    <row r="3" spans="1:13" ht="15.75">
      <c r="A3" s="538" t="str">
        <f>'PER BULAN'!B6</f>
        <v>SAMPAI DENGAN 24 AGUSTUS 2022</v>
      </c>
      <c r="B3" s="538"/>
      <c r="C3" s="538"/>
      <c r="D3" s="538"/>
      <c r="E3" s="538"/>
      <c r="F3" s="538"/>
      <c r="G3" s="538"/>
      <c r="H3" s="538"/>
      <c r="I3" s="538"/>
      <c r="J3" s="538"/>
    </row>
    <row r="4" spans="1:13">
      <c r="A4" s="331"/>
      <c r="B4" s="331"/>
      <c r="C4" s="331"/>
      <c r="D4" s="331"/>
      <c r="E4" s="331"/>
      <c r="F4" s="331"/>
      <c r="G4" s="331"/>
      <c r="H4" s="331"/>
      <c r="I4" s="331"/>
      <c r="J4" s="331"/>
    </row>
    <row r="5" spans="1:13" ht="15.75">
      <c r="A5" s="328" t="s">
        <v>3878</v>
      </c>
    </row>
    <row r="6" spans="1:13">
      <c r="A6" s="588" t="s">
        <v>571</v>
      </c>
      <c r="B6" s="588" t="s">
        <v>500</v>
      </c>
      <c r="C6" s="588" t="s">
        <v>4682</v>
      </c>
      <c r="D6" s="588" t="s">
        <v>4679</v>
      </c>
      <c r="E6" s="588" t="s">
        <v>4681</v>
      </c>
      <c r="F6" s="588" t="s">
        <v>3731</v>
      </c>
      <c r="G6" s="586" t="s">
        <v>3732</v>
      </c>
      <c r="H6" s="586"/>
      <c r="I6" s="586" t="s">
        <v>3733</v>
      </c>
      <c r="J6" s="586"/>
    </row>
    <row r="7" spans="1:13">
      <c r="A7" s="588"/>
      <c r="B7" s="588"/>
      <c r="C7" s="588"/>
      <c r="D7" s="588"/>
      <c r="E7" s="588"/>
      <c r="F7" s="588"/>
      <c r="G7" s="312" t="s">
        <v>4691</v>
      </c>
      <c r="H7" s="312" t="s">
        <v>3729</v>
      </c>
      <c r="I7" s="312" t="s">
        <v>4691</v>
      </c>
      <c r="J7" s="312" t="s">
        <v>3729</v>
      </c>
    </row>
    <row r="8" spans="1:13">
      <c r="A8" s="55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8">
        <f>IFERROR(IF($L$8=TRUE,G8/C8*100,G8/F8*100),0)</f>
        <v>43.88168995922468</v>
      </c>
      <c r="I8" s="115">
        <f>IF($L$8=TRUE,C8-G8,F8-G8)</f>
        <v>665844871</v>
      </c>
      <c r="J8" s="202">
        <f>IFERROR(IF($L$8=TRUE,I8/C8*100,I8/F8*100),0)</f>
        <v>56.11831004077532</v>
      </c>
      <c r="K8" s="329"/>
      <c r="L8" s="311" t="b">
        <v>0</v>
      </c>
    </row>
    <row r="9" spans="1:13">
      <c r="A9" s="55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8">
        <f t="shared" ref="H9:H23" si="0">IFERROR(IF($L$8=TRUE,G9/C9*100,G9/F9*100),0)</f>
        <v>43.162565117153946</v>
      </c>
      <c r="I9" s="115">
        <f t="shared" ref="I9:I25" si="1">IF($L$8=TRUE,C9-G9,F9-G9)</f>
        <v>1247955686</v>
      </c>
      <c r="J9" s="202">
        <f t="shared" ref="J9:J25" si="2">IFERROR(IF($L$8=TRUE,I9/C9*100,I9/F9*100),0)</f>
        <v>56.837434882846047</v>
      </c>
      <c r="K9" s="329"/>
    </row>
    <row r="10" spans="1:13">
      <c r="A10" s="55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c r="K10" s="329"/>
    </row>
    <row r="11" spans="1:13">
      <c r="A11" s="55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8">
        <f t="shared" si="0"/>
        <v>52.663672737306847</v>
      </c>
      <c r="I11" s="115">
        <f t="shared" si="1"/>
        <v>137237480</v>
      </c>
      <c r="J11" s="202">
        <f t="shared" si="2"/>
        <v>47.336327262693153</v>
      </c>
      <c r="K11" s="329"/>
    </row>
    <row r="12" spans="1:13">
      <c r="A12" s="55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8">
        <f t="shared" si="0"/>
        <v>68.921783976629257</v>
      </c>
      <c r="I12" s="115">
        <f t="shared" si="1"/>
        <v>1912878803</v>
      </c>
      <c r="J12" s="202">
        <f t="shared" si="2"/>
        <v>31.078216023370743</v>
      </c>
      <c r="K12" s="329"/>
    </row>
    <row r="13" spans="1:13">
      <c r="A13" s="553"/>
      <c r="B13" s="223" t="s">
        <v>4687</v>
      </c>
      <c r="C13" s="138">
        <f>SUM(C8:C12)</f>
        <v>10807010000</v>
      </c>
      <c r="D13" s="138">
        <f t="shared" ref="D13:G13" si="3">SUM(D8:D12)</f>
        <v>423949000</v>
      </c>
      <c r="E13" s="138">
        <f t="shared" si="3"/>
        <v>609552000</v>
      </c>
      <c r="F13" s="138">
        <f t="shared" si="3"/>
        <v>10483061000</v>
      </c>
      <c r="G13" s="138">
        <f t="shared" si="3"/>
        <v>6517410160</v>
      </c>
      <c r="H13" s="319">
        <f t="shared" si="0"/>
        <v>62.170869367258284</v>
      </c>
      <c r="I13" s="138">
        <f t="shared" si="1"/>
        <v>3965650840</v>
      </c>
      <c r="J13" s="203">
        <f t="shared" si="2"/>
        <v>37.829130632741716</v>
      </c>
      <c r="K13" s="329"/>
    </row>
    <row r="14" spans="1:13" ht="15" customHeight="1">
      <c r="A14" s="551"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8">
        <f t="shared" si="0"/>
        <v>20.614828369214923</v>
      </c>
      <c r="I14" s="115">
        <f t="shared" si="1"/>
        <v>610406874</v>
      </c>
      <c r="J14" s="202">
        <f t="shared" si="2"/>
        <v>79.385171630785081</v>
      </c>
      <c r="K14" s="329"/>
    </row>
    <row r="15" spans="1:13">
      <c r="A15" s="552"/>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8">
        <f t="shared" si="0"/>
        <v>57.554845301485578</v>
      </c>
      <c r="I15" s="115">
        <f t="shared" si="1"/>
        <v>3642855402</v>
      </c>
      <c r="J15" s="202">
        <f t="shared" si="2"/>
        <v>42.445154698514422</v>
      </c>
      <c r="K15" s="329"/>
      <c r="M15" s="161"/>
    </row>
    <row r="16" spans="1:13">
      <c r="A16" s="552"/>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8">
        <f t="shared" si="0"/>
        <v>19.312730933580756</v>
      </c>
      <c r="I16" s="115">
        <f t="shared" si="1"/>
        <v>511341044</v>
      </c>
      <c r="J16" s="202">
        <f t="shared" si="2"/>
        <v>80.687269066419248</v>
      </c>
      <c r="K16" s="329"/>
    </row>
    <row r="17" spans="1:13">
      <c r="A17" s="553"/>
      <c r="B17" s="223" t="s">
        <v>4688</v>
      </c>
      <c r="C17" s="138">
        <f>SUM(C14:C16)</f>
        <v>9985150000</v>
      </c>
      <c r="D17" s="138">
        <f t="shared" ref="D17:E17" si="4">SUM(D14:D16)</f>
        <v>0</v>
      </c>
      <c r="E17" s="138">
        <f t="shared" si="4"/>
        <v>938934000</v>
      </c>
      <c r="F17" s="138">
        <f>SUM(F14:F16)</f>
        <v>9985150000</v>
      </c>
      <c r="G17" s="138">
        <f>SUM(G14:G16)</f>
        <v>5220546680</v>
      </c>
      <c r="H17" s="319">
        <f t="shared" si="0"/>
        <v>52.283107214213111</v>
      </c>
      <c r="I17" s="138">
        <f t="shared" si="1"/>
        <v>4764603320</v>
      </c>
      <c r="J17" s="203">
        <f t="shared" si="2"/>
        <v>47.716892785786897</v>
      </c>
      <c r="K17" s="329"/>
    </row>
    <row r="18" spans="1:13" ht="15" customHeight="1">
      <c r="A18" s="551"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8">
        <f t="shared" si="0"/>
        <v>33.075425015819448</v>
      </c>
      <c r="I18" s="115">
        <f t="shared" si="1"/>
        <v>317289410</v>
      </c>
      <c r="J18" s="202">
        <f t="shared" si="2"/>
        <v>66.924574984180552</v>
      </c>
      <c r="K18" s="329"/>
    </row>
    <row r="19" spans="1:13">
      <c r="A19" s="552"/>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8">
        <f t="shared" si="0"/>
        <v>11.145628962088255</v>
      </c>
      <c r="I19" s="115">
        <f t="shared" si="1"/>
        <v>714833415</v>
      </c>
      <c r="J19" s="202">
        <f t="shared" si="2"/>
        <v>88.854371037911747</v>
      </c>
      <c r="K19" s="329"/>
      <c r="M19" s="161"/>
    </row>
    <row r="20" spans="1:13">
      <c r="A20" s="553"/>
      <c r="B20" s="223" t="s">
        <v>4689</v>
      </c>
      <c r="C20" s="138">
        <f>SUM(C18:C19)</f>
        <v>1278600000</v>
      </c>
      <c r="D20" s="138">
        <f t="shared" ref="D20:E20" si="5">SUM(D18:D19)</f>
        <v>0</v>
      </c>
      <c r="E20" s="138">
        <f t="shared" si="5"/>
        <v>906231000</v>
      </c>
      <c r="F20" s="138">
        <f>SUM(F18:F19)</f>
        <v>1278600000</v>
      </c>
      <c r="G20" s="138">
        <f>SUM(G18:G19)</f>
        <v>246477175</v>
      </c>
      <c r="H20" s="319">
        <f t="shared" si="0"/>
        <v>19.27711363991866</v>
      </c>
      <c r="I20" s="138">
        <f t="shared" si="1"/>
        <v>1032122825</v>
      </c>
      <c r="J20" s="203">
        <f t="shared" si="2"/>
        <v>80.722886360081333</v>
      </c>
      <c r="K20" s="329"/>
    </row>
    <row r="21" spans="1:13" ht="15" customHeight="1">
      <c r="A21" s="551"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8">
        <f t="shared" si="0"/>
        <v>53.324849191315749</v>
      </c>
      <c r="I21" s="115">
        <f t="shared" si="1"/>
        <v>320331560</v>
      </c>
      <c r="J21" s="202">
        <f t="shared" si="2"/>
        <v>46.675150808684251</v>
      </c>
      <c r="K21" s="329"/>
    </row>
    <row r="22" spans="1:13">
      <c r="A22" s="552"/>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8">
        <f t="shared" si="0"/>
        <v>16.279134848743805</v>
      </c>
      <c r="I22" s="115">
        <f t="shared" si="1"/>
        <v>489850782</v>
      </c>
      <c r="J22" s="202">
        <f t="shared" si="2"/>
        <v>83.720865151256191</v>
      </c>
      <c r="K22" s="329"/>
    </row>
    <row r="23" spans="1:13">
      <c r="A23" s="553"/>
      <c r="B23" s="223" t="s">
        <v>4690</v>
      </c>
      <c r="C23" s="138">
        <f>SUM(C21:C22)</f>
        <v>1271400000</v>
      </c>
      <c r="D23" s="138">
        <f t="shared" ref="D23:E23" si="6">SUM(D21:D22)</f>
        <v>0</v>
      </c>
      <c r="E23" s="138">
        <f t="shared" si="6"/>
        <v>432643000</v>
      </c>
      <c r="F23" s="138">
        <f>SUM(F21:F22)</f>
        <v>1271400000</v>
      </c>
      <c r="G23" s="138">
        <f>SUM(G21:G22)</f>
        <v>461217658</v>
      </c>
      <c r="H23" s="319">
        <f t="shared" si="0"/>
        <v>36.276361333962562</v>
      </c>
      <c r="I23" s="138">
        <f t="shared" si="1"/>
        <v>810182342</v>
      </c>
      <c r="J23" s="203">
        <f t="shared" si="2"/>
        <v>63.723638666037438</v>
      </c>
      <c r="K23" s="329"/>
    </row>
    <row r="24" spans="1:13">
      <c r="A24" s="587" t="s">
        <v>3735</v>
      </c>
      <c r="B24" s="587"/>
      <c r="C24" s="122">
        <f>C13++C17+C20+C23</f>
        <v>23342160000</v>
      </c>
      <c r="D24" s="122">
        <f t="shared" ref="D24:E24" si="7">D13++D17+D20+D23</f>
        <v>423949000</v>
      </c>
      <c r="E24" s="122">
        <f t="shared" si="7"/>
        <v>2887360000</v>
      </c>
      <c r="F24" s="122">
        <f>F13++F17+F20+F23</f>
        <v>23018211000</v>
      </c>
      <c r="G24" s="122">
        <f>G13++G17+G20+G23</f>
        <v>12445651673</v>
      </c>
      <c r="H24" s="320">
        <f>IFERROR(IF($L$8=TRUE,G24/C24*100,G24/F24*100),0)</f>
        <v>54.068718342185676</v>
      </c>
      <c r="I24" s="122">
        <f t="shared" si="1"/>
        <v>10572559327</v>
      </c>
      <c r="J24" s="204">
        <f t="shared" si="2"/>
        <v>45.931281657814324</v>
      </c>
      <c r="K24" s="329"/>
      <c r="M24" s="159"/>
    </row>
    <row r="25" spans="1:13">
      <c r="A25" s="578" t="s">
        <v>4685</v>
      </c>
      <c r="B25" s="579"/>
      <c r="C25" s="310">
        <f>C24</f>
        <v>23342160000</v>
      </c>
      <c r="D25" s="580">
        <f>SUM(D24,E24)</f>
        <v>3311309000</v>
      </c>
      <c r="E25" s="581"/>
      <c r="F25" s="310">
        <f>F24</f>
        <v>23018211000</v>
      </c>
      <c r="G25" s="122">
        <f>G24</f>
        <v>12445651673</v>
      </c>
      <c r="H25" s="320">
        <f>IFERROR(IF($L$8=TRUE,G25/C25*100,G25/F25*100),0)</f>
        <v>54.068718342185676</v>
      </c>
      <c r="I25" s="122">
        <f t="shared" si="1"/>
        <v>10572559327</v>
      </c>
      <c r="J25" s="204">
        <f t="shared" si="2"/>
        <v>45.931281657814324</v>
      </c>
      <c r="K25" s="329"/>
      <c r="M25" s="161"/>
    </row>
    <row r="28" spans="1:13">
      <c r="M28" s="349"/>
    </row>
    <row r="29" spans="1:13" ht="15.75">
      <c r="A29" s="328" t="s">
        <v>3885</v>
      </c>
    </row>
    <row r="30" spans="1:13" ht="14.45" customHeight="1">
      <c r="A30" s="576" t="s">
        <v>3871</v>
      </c>
      <c r="B30" s="576" t="s">
        <v>3872</v>
      </c>
      <c r="C30" s="576" t="s">
        <v>4682</v>
      </c>
      <c r="D30" s="582" t="s">
        <v>4679</v>
      </c>
      <c r="E30" s="582" t="s">
        <v>4681</v>
      </c>
      <c r="F30" s="588" t="s">
        <v>3731</v>
      </c>
      <c r="G30" s="586" t="s">
        <v>3732</v>
      </c>
      <c r="H30" s="586"/>
      <c r="I30" s="586" t="s">
        <v>3733</v>
      </c>
      <c r="J30" s="586"/>
    </row>
    <row r="31" spans="1:13">
      <c r="A31" s="577"/>
      <c r="B31" s="577"/>
      <c r="C31" s="577"/>
      <c r="D31" s="583"/>
      <c r="E31" s="583"/>
      <c r="F31" s="588"/>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29"/>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29"/>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29"/>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74" t="s">
        <v>590</v>
      </c>
      <c r="B38" s="575"/>
      <c r="C38" s="157">
        <f>SUM(C32,C33,C36)</f>
        <v>23342160000</v>
      </c>
      <c r="D38" s="157">
        <f t="shared" ref="D38:G38" si="13">SUM(D32,D33,D36)</f>
        <v>423949000</v>
      </c>
      <c r="E38" s="157">
        <f t="shared" si="13"/>
        <v>2887360000</v>
      </c>
      <c r="F38" s="157">
        <f t="shared" si="13"/>
        <v>23018211000</v>
      </c>
      <c r="G38" s="157">
        <f t="shared" si="13"/>
        <v>12445651673</v>
      </c>
      <c r="H38" s="158">
        <f t="shared" si="9"/>
        <v>54.068718342185676</v>
      </c>
      <c r="I38" s="157">
        <f t="shared" si="10"/>
        <v>10572559327</v>
      </c>
      <c r="J38" s="158">
        <f t="shared" si="11"/>
        <v>45.931281657814324</v>
      </c>
      <c r="K38" s="329"/>
    </row>
    <row r="39" spans="1:12">
      <c r="A39" s="574" t="s">
        <v>3876</v>
      </c>
      <c r="B39" s="575"/>
      <c r="C39" s="157"/>
      <c r="D39" s="157"/>
      <c r="E39" s="157"/>
      <c r="F39" s="157"/>
      <c r="G39" s="157"/>
      <c r="H39" s="158"/>
      <c r="I39" s="157"/>
      <c r="J39" s="158"/>
      <c r="K39" s="329"/>
    </row>
    <row r="40" spans="1:12">
      <c r="A40" s="574" t="s">
        <v>3877</v>
      </c>
      <c r="B40" s="575"/>
      <c r="C40" s="157">
        <f>C38</f>
        <v>23342160000</v>
      </c>
      <c r="D40" s="584">
        <f>SUM(D38:E38)</f>
        <v>3311309000</v>
      </c>
      <c r="E40" s="585"/>
      <c r="F40" s="157">
        <f>F38</f>
        <v>23018211000</v>
      </c>
      <c r="G40" s="157">
        <f>G38-G39</f>
        <v>12445651673</v>
      </c>
      <c r="H40" s="158">
        <f t="shared" si="9"/>
        <v>54.068718342185676</v>
      </c>
      <c r="I40" s="157">
        <f t="shared" si="10"/>
        <v>10572559327</v>
      </c>
      <c r="J40" s="158">
        <f t="shared" si="11"/>
        <v>45.931281657814324</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88" t="s">
        <v>571</v>
      </c>
      <c r="B45" s="588" t="s">
        <v>500</v>
      </c>
      <c r="C45" s="588" t="s">
        <v>4682</v>
      </c>
      <c r="D45" s="588" t="s">
        <v>4679</v>
      </c>
      <c r="E45" s="588" t="s">
        <v>4681</v>
      </c>
      <c r="F45" s="588" t="s">
        <v>3731</v>
      </c>
      <c r="G45" s="586" t="s">
        <v>3732</v>
      </c>
      <c r="H45" s="586"/>
      <c r="I45" s="586" t="s">
        <v>3733</v>
      </c>
      <c r="J45" s="586"/>
    </row>
    <row r="46" spans="1:12">
      <c r="A46" s="588"/>
      <c r="B46" s="588"/>
      <c r="C46" s="588"/>
      <c r="D46" s="588"/>
      <c r="E46" s="588"/>
      <c r="F46" s="588"/>
      <c r="G46" s="312" t="s">
        <v>4691</v>
      </c>
      <c r="H46" s="312" t="s">
        <v>3729</v>
      </c>
      <c r="I46" s="312" t="s">
        <v>4691</v>
      </c>
      <c r="J46" s="312" t="s">
        <v>3729</v>
      </c>
    </row>
    <row r="47" spans="1:12">
      <c r="A47" s="568"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68"/>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68"/>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68"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68"/>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68"/>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68"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68"/>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68"/>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68"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68"/>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68"/>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87" t="s">
        <v>3735</v>
      </c>
      <c r="B59" s="587"/>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87" t="s">
        <v>4685</v>
      </c>
      <c r="B60" s="587"/>
      <c r="C60" s="310">
        <f>C59</f>
        <v>101811000</v>
      </c>
      <c r="D60" s="589">
        <f>SUM(D59:E59)</f>
        <v>0</v>
      </c>
      <c r="E60" s="589"/>
      <c r="F60" s="310">
        <f>F59</f>
        <v>96812000</v>
      </c>
      <c r="G60" s="122">
        <f>G59</f>
        <v>89176280</v>
      </c>
      <c r="H60" s="324">
        <f t="shared" si="14"/>
        <v>92.112837251580387</v>
      </c>
      <c r="I60" s="122">
        <f t="shared" si="15"/>
        <v>7635720</v>
      </c>
      <c r="J60" s="320">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38" t="str">
        <f>'PERSUBBID - Gaji'!A2</f>
        <v>Berdasarkan DIPA Revisi 3 TA. 2022 (Tanggal 13 Juli 2022)</v>
      </c>
      <c r="C2" s="538"/>
      <c r="D2" s="538"/>
      <c r="E2" s="538"/>
      <c r="F2" s="538"/>
      <c r="G2" s="538"/>
      <c r="H2" s="538"/>
      <c r="I2" s="538"/>
      <c r="J2" s="538"/>
      <c r="K2" s="538"/>
      <c r="L2" s="538"/>
      <c r="M2" s="538"/>
      <c r="N2" s="538"/>
      <c r="O2" s="538"/>
      <c r="P2" s="538"/>
    </row>
    <row r="3" spans="2:16" ht="15.75">
      <c r="B3" s="538" t="str">
        <f>'PERSUBBID - Gaji'!A3</f>
        <v>SAMPAI DENGAN 24 AGUSTUS 2022</v>
      </c>
      <c r="C3" s="538"/>
      <c r="D3" s="538"/>
      <c r="E3" s="538"/>
      <c r="F3" s="538"/>
      <c r="G3" s="538"/>
      <c r="H3" s="538"/>
      <c r="I3" s="538"/>
      <c r="J3" s="538"/>
      <c r="K3" s="538"/>
      <c r="L3" s="538"/>
      <c r="M3" s="538"/>
      <c r="N3" s="538"/>
      <c r="O3" s="538"/>
      <c r="P3" s="53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2022-08-24T01:24:38Z</cp:lastPrinted>
  <dcterms:created xsi:type="dcterms:W3CDTF">2021-07-27T04:05:22Z</dcterms:created>
  <dcterms:modified xsi:type="dcterms:W3CDTF">2022-08-24T02:02:53Z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