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9B64B3E0-5DE2-415C-A877-3CDBB0E96844}" xr6:coauthVersionLast="47" xr6:coauthVersionMax="47" xr10:uidLastSave="{00000000-0000-0000-0000-000000000000}"/>
  <bookViews>
    <workbookView xWindow="-120" yWindow="-120" windowWidth="29040" windowHeight="15840" tabRatio="872" firstSheet="1" activeTab="9"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1" r:id="rId24"/>
    <pivotCache cacheId="13"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3" i="23"/>
  <c r="O4" i="23"/>
  <c r="O7" i="23"/>
  <c r="O6" i="23"/>
  <c r="O5" i="23"/>
  <c r="F45" i="22"/>
  <c r="D44" i="22"/>
  <c r="E44" i="22"/>
  <c r="E42" i="22"/>
  <c r="C44" i="22"/>
  <c r="C41" i="22"/>
  <c r="AU271" i="13"/>
  <c r="AU269" i="13"/>
  <c r="AU270" i="13"/>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F41" i="22"/>
  <c r="E41" i="22"/>
  <c r="BE152" i="16" l="1"/>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AW263" i="13"/>
  <c r="AX263" i="13" s="1"/>
  <c r="J251" i="13"/>
  <c r="Y252" i="13"/>
  <c r="Y251" i="13" s="1"/>
  <c r="V252" i="13"/>
  <c r="V251" i="13" s="1"/>
  <c r="R252" i="13"/>
  <c r="R251" i="13" s="1"/>
  <c r="AV253" i="13" l="1"/>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L8" i="23" s="1"/>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Q4" i="23" l="1"/>
  <c r="F227" i="23"/>
  <c r="BE196" i="13"/>
  <c r="BE148" i="13"/>
  <c r="BE147" i="13" s="1"/>
  <c r="BE146" i="13" s="1"/>
  <c r="BE155" i="13"/>
  <c r="O11" i="23"/>
  <c r="L7" i="23" s="1"/>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D196" i="13" l="1"/>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I24" i="41"/>
  <c r="J22" i="41"/>
  <c r="K22" i="41"/>
  <c r="L22" i="41" s="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D61" i="41" l="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<sst xmlns="http://schemas.openxmlformats.org/spreadsheetml/2006/main" count="120376" uniqueCount="7765">
  <si>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</si>
  <si>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</si>
  <si>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</si>
  <si>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</si>
  <si>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</si>
  <si>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</si>
  <si>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</si>
  <si>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</si>
  <si>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</si>
  <si>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</si>
  <si>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</si>
  <si>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</si>
  <si>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</si>
  <si>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</si>
  <si>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</si>
  <si>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</si>
  <si>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</si>
  <si>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</si>
  <si>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</si>
  <si>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</si>
  <si>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</si>
  <si>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</si>
  <si>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</si>
  <si>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</si>
  <si>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</si>
  <si>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</si>
  <si>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</si>
  <si>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</si>
  <si>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</si>
  <si>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</si>
  <si>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</si>
  <si>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</si>
  <si>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</si>
  <si>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</si>
  <si>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</si>
  <si>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</si>
  <si>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</si>
  <si>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</si>
  <si>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</si>
  <si>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</si>
  <si>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</si>
  <si>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</si>
  <si>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</si>
  <si>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</si>
  <si>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</si>
  <si>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</si>
  <si>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</si>
  <si>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</si>
  <si>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</si>
  <si>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</si>
  <si>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</si>
  <si>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</si>
  <si>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</si>
  <si>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</si>
  <si>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</si>
  <si>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</si>
  <si>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</si>
  <si>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</si>
  <si>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</si>
  <si>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</si>
  <si>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</si>
  <si>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</si>
  <si>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</si>
  <si>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</si>
  <si>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</si>
  <si>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</si>
  <si>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</si>
  <si>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</si>
  <si>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</si>
  <si>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</si>
  <si>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</si>
  <si>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</si>
  <si>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</si>
  <si>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</si>
  <si>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</si>
  <si>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</si>
  <si>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</si>
  <si>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</si>
  <si>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</si>
  <si>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</si>
  <si>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</si>
  <si>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</si>
  <si>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</si>
  <si>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</si>
  <si>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</si>
  <si>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</si>
  <si>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</si>
  <si>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</si>
  <si>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</si>
  <si>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</si>
  <si>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</si>
  <si>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</si>
  <si>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</si>
  <si>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</si>
  <si>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</si>
  <si>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</si>
  <si>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</si>
  <si>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</si>
  <si>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</si>
  <si>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</si>
  <si>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</si>
  <si>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</si>
  <si>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</si>
  <si>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</si>
  <si>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</si>
  <si>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</si>
  <si>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</si>
  <si>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</si>
  <si>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</si>
  <si>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</si>
  <si>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</si>
  <si>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</si>
  <si>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</si>
  <si>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</si>
  <si>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</si>
  <si>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</si>
  <si>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</si>
  <si>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</si>
  <si>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</si>
  <si>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</si>
  <si>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</si>
  <si>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</si>
  <si>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</si>
  <si>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</si>
  <si>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</si>
  <si>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</si>
  <si>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</si>
  <si>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</si>
  <si>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</si>
  <si>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</si>
  <si>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</si>
  <si>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</si>
  <si>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</si>
  <si>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</si>
  <si>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</si>
  <si>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</si>
  <si>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</si>
  <si>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</si>
  <si>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</si>
  <si>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</si>
  <si>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</si>
  <si>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</si>
  <si>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</si>
  <si>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</si>
  <si>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</si>
  <si>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</si>
  <si>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</si>
  <si>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</si>
  <si>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</si>
  <si>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</si>
  <si>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</si>
  <si>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</si>
  <si>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</si>
  <si>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</si>
  <si>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</si>
  <si>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</si>
  <si>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</si>
  <si>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</si>
  <si>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</si>
  <si>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</si>
  <si>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</si>
  <si>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</si>
  <si>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</si>
  <si>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</si>
  <si>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</si>
  <si>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</si>
  <si>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</si>
  <si>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</si>
  <si>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</si>
  <si>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</si>
  <si>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</si>
  <si>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</si>
  <si>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</si>
  <si>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</si>
  <si>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</si>
  <si>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</si>
  <si>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</si>
  <si>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</si>
  <si>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</si>
  <si>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</si>
  <si>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</si>
  <si>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</si>
  <si>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</si>
  <si>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</si>
  <si>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</si>
  <si>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</si>
  <si>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</si>
  <si>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</si>
  <si>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</si>
  <si>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</si>
  <si>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</si>
  <si>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</si>
  <si>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</si>
  <si>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</si>
  <si>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</si>
  <si>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</si>
  <si>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</si>
  <si>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</si>
  <si>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</si>
  <si>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</si>
  <si>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</si>
  <si>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</si>
  <si>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</si>
  <si>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</si>
  <si>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</si>
  <si>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</si>
  <si>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</si>
  <si>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</si>
  <si>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</si>
  <si>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</si>
  <si>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</si>
  <si>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</si>
  <si>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</si>
  <si>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</si>
  <si>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</si>
  <si>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</si>
  <si>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</si>
  <si>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</si>
  <si>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</si>
  <si>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</si>
  <si>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</si>
  <si>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</si>
  <si>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</si>
  <si>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</si>
  <si>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</si>
  <si>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</si>
  <si>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</si>
  <si>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</si>
  <si>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</si>
  <si>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</si>
  <si>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</si>
  <si>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</si>
  <si>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</si>
  <si>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</si>
  <si>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</si>
  <si>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</si>
  <si>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</si>
  <si>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</si>
  <si>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</si>
  <si>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</si>
  <si>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</si>
  <si>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</si>
  <si>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</si>
  <si>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</si>
  <si>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</si>
  <si>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</si>
  <si>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</si>
  <si>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</si>
  <si>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</si>
  <si>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</si>
  <si>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</si>
  <si>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</si>
  <si>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</si>
  <si>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</si>
  <si>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</si>
  <si>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</si>
  <si>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</si>
  <si>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</si>
  <si>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</si>
  <si>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</si>
  <si>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</si>
  <si>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</si>
  <si>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</si>
  <si>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</si>
  <si>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</si>
  <si>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</si>
  <si>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</si>
  <si>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</si>
  <si>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</si>
  <si>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</si>
  <si>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</si>
  <si>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</si>
  <si>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</si>
  <si>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</si>
  <si>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</si>
  <si>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</si>
  <si>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</si>
  <si>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</si>
  <si>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</si>
  <si>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</si>
  <si>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</si>
  <si>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</si>
  <si>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</si>
  <si>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</si>
  <si>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</si>
  <si>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</si>
  <si>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</si>
  <si>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</si>
  <si>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</si>
  <si>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</si>
  <si>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</si>
  <si>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</si>
  <si>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</si>
  <si>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</si>
  <si>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</si>
  <si>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</si>
  <si>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</si>
  <si>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</si>
  <si>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</si>
  <si>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</si>
  <si>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</si>
  <si>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</si>
  <si>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</si>
  <si>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</si>
  <si>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</si>
  <si>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</si>
  <si>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</si>
  <si>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</si>
  <si>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</si>
  <si>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</si>
  <si>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</si>
  <si>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</si>
  <si>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</si>
  <si>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</si>
  <si>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</si>
  <si>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</si>
  <si>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</si>
  <si>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</si>
  <si>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</si>
  <si>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</si>
  <si>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</si>
  <si>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</si>
  <si>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</si>
  <si>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</si>
  <si>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</si>
  <si>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</si>
  <si>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</si>
  <si>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</si>
  <si>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</si>
  <si>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</si>
  <si>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</si>
  <si>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</si>
  <si>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</si>
  <si>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</si>
  <si>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</si>
  <si>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</si>
  <si>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</si>
  <si>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</si>
  <si>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</si>
  <si>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</si>
  <si>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</si>
  <si>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</si>
  <si>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</si>
  <si>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</si>
  <si>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</si>
  <si>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</si>
  <si>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</si>
  <si>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</si>
  <si>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</si>
  <si>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</si>
  <si>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</si>
  <si>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</si>
  <si>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</si>
  <si>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</si>
  <si>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</si>
  <si>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</si>
  <si>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</si>
  <si>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</si>
  <si>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</si>
  <si>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</si>
  <si>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</si>
  <si>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</si>
  <si>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</si>
  <si>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</si>
  <si>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</si>
  <si>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</si>
  <si>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</si>
  <si>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</si>
  <si>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</si>
  <si>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</si>
  <si>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</si>
  <si>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</si>
  <si>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</si>
  <si>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</si>
  <si>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</si>
  <si>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</si>
  <si>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</si>
  <si>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</si>
  <si>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</si>
  <si>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</si>
  <si>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</si>
  <si>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</si>
  <si>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</si>
  <si>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</si>
  <si>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</si>
  <si>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</si>
  <si>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</si>
  <si>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</si>
  <si>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</si>
  <si>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</si>
  <si>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</si>
  <si>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</si>
  <si>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</si>
  <si>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</si>
  <si>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</si>
  <si>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</si>
  <si>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</si>
  <si>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</si>
  <si>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</si>
  <si>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</si>
  <si>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</si>
  <si>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</si>
  <si>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</si>
  <si>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</si>
  <si>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</si>
  <si>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</si>
  <si>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</si>
  <si>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</si>
  <si>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</si>
  <si>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</si>
  <si>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</si>
  <si>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</si>
  <si>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</si>
  <si>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</si>
  <si>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</si>
  <si>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</si>
  <si>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</si>
  <si>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</si>
  <si>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</si>
  <si>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</si>
  <si>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</si>
  <si>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</si>
  <si>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</si>
  <si>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</si>
  <si>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</si>
  <si>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</si>
  <si>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</si>
  <si>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</si>
  <si>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</si>
  <si>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</si>
  <si>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</si>
  <si>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</si>
  <si>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</si>
  <si>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</si>
  <si>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</si>
  <si>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</si>
  <si>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</si>
  <si>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</si>
  <si>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</si>
  <si>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</si>
  <si>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</si>
  <si>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</si>
  <si>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</si>
  <si>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</si>
  <si>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</si>
  <si>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</si>
  <si>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</si>
  <si>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</si>
  <si>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</si>
  <si>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</si>
  <si>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</si>
  <si>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</si>
  <si>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</si>
  <si>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</si>
  <si>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</si>
  <si>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</si>
  <si>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</si>
  <si>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</si>
  <si>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</si>
  <si>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</si>
  <si>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</si>
  <si>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</si>
  <si>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</si>
  <si>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</si>
  <si>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</si>
  <si>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</si>
  <si>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</si>
  <si>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</si>
  <si>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</si>
  <si>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</si>
  <si>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</si>
  <si>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</si>
  <si>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</si>
  <si>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</si>
  <si>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</si>
  <si>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</si>
  <si>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</si>
  <si>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</si>
  <si>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</si>
  <si>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</si>
  <si>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</si>
  <si>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</si>
  <si>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</si>
  <si>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</si>
  <si>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</si>
  <si>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</si>
  <si>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</si>
  <si>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</si>
  <si>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</si>
  <si>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</si>
  <si>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</si>
  <si>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</si>
  <si>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</si>
  <si>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</si>
  <si>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</si>
  <si>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</si>
  <si>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</si>
  <si>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</si>
  <si>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</si>
  <si>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</si>
  <si>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</si>
  <si>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</si>
  <si>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</si>
  <si>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</si>
  <si>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</si>
  <si>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</si>
  <si>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</si>
  <si>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</si>
  <si>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</si>
  <si>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</si>
  <si>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</si>
  <si>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</si>
  <si>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</si>
  <si>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</si>
  <si>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</si>
  <si>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</si>
  <si>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</si>
  <si>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</si>
  <si>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</si>
  <si>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</si>
  <si>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</si>
  <si>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</si>
  <si>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</si>
  <si>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</si>
  <si>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</si>
  <si>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</si>
  <si>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</si>
  <si>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</si>
  <si>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</si>
  <si>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</si>
  <si>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</si>
  <si>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</si>
  <si>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</si>
  <si>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</si>
  <si>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</si>
  <si>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</si>
  <si>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</si>
  <si>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</si>
  <si>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</si>
  <si>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</si>
  <si>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</si>
  <si>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</si>
  <si>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</si>
  <si>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</si>
  <si>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</si>
  <si>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</si>
  <si>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</si>
  <si>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</si>
  <si>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</si>
  <si>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</si>
  <si>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</si>
  <si>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</si>
  <si>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</si>
  <si>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</si>
  <si>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</si>
  <si>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</si>
  <si>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</si>
  <si>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</si>
  <si>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</si>
  <si>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</si>
  <si>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</si>
  <si>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</si>
  <si>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</si>
  <si>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</si>
  <si>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</si>
  <si>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</si>
  <si>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</si>
  <si>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</si>
  <si>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</si>
  <si>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</si>
  <si>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</si>
  <si>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</si>
  <si>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</si>
  <si>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</si>
  <si>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</si>
  <si>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</si>
  <si>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</si>
  <si>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</si>
  <si>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</si>
  <si>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</si>
  <si>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</si>
  <si>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</si>
  <si>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</si>
  <si>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</si>
  <si>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</si>
  <si>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</si>
  <si>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</si>
  <si>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</si>
  <si>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</si>
  <si>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</si>
  <si>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</si>
  <si>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</si>
  <si>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</si>
  <si>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</si>
  <si>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</si>
  <si>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</si>
  <si>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</si>
  <si>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</si>
  <si>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</si>
  <si>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</si>
  <si>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</si>
  <si>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</si>
  <si>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</si>
  <si>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</si>
  <si>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</si>
  <si>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</si>
  <si>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</si>
  <si>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</si>
  <si>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</si>
  <si>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</si>
  <si>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</si>
  <si>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</si>
  <si>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</si>
  <si>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</si>
  <si>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</si>
  <si>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</si>
  <si>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</si>
  <si>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</si>
  <si>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</si>
  <si>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</si>
  <si>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</si>
  <si>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</si>
  <si>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</si>
  <si>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</si>
  <si>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</si>
  <si>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</si>
  <si>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</si>
  <si>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</si>
  <si>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</si>
  <si>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</si>
  <si>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</si>
  <si>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</si>
  <si>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</si>
  <si>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</si>
  <si>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</si>
  <si>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</si>
  <si>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</si>
  <si>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</si>
  <si>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</si>
  <si>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</si>
  <si>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</si>
  <si>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</si>
  <si>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</si>
  <si>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</si>
  <si>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</si>
  <si>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</si>
  <si>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</si>
  <si>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</si>
  <si>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</si>
  <si>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</si>
  <si>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</si>
  <si>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</si>
  <si>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</si>
  <si>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</si>
  <si>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</si>
  <si>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</si>
  <si>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</si>
  <si>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</si>
  <si>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</si>
  <si>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</si>
  <si>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</si>
  <si>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</si>
  <si>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</si>
  <si>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</si>
  <si>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</si>
  <si>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</si>
  <si>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</si>
  <si>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</si>
  <si>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</si>
  <si>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</si>
  <si>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</si>
  <si>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</si>
  <si>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</si>
  <si>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</si>
  <si>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</si>
  <si>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</si>
  <si>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</si>
  <si>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</si>
  <si>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</si>
  <si>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</si>
  <si>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</si>
  <si>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</si>
  <si>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</si>
  <si>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</si>
  <si>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</si>
  <si>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</si>
  <si>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</si>
  <si>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</si>
  <si>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</si>
  <si>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</si>
  <si>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</si>
  <si>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</si>
  <si>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</si>
  <si>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</si>
  <si>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</si>
  <si>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</si>
  <si>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</si>
  <si>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</si>
  <si>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</si>
  <si>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</si>
  <si>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</si>
  <si>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</si>
  <si>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</si>
  <si>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</si>
  <si>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</si>
  <si>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</si>
  <si>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</si>
  <si>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</si>
  <si>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</si>
  <si>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</si>
  <si>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</si>
  <si>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</si>
  <si>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</si>
  <si>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</si>
  <si>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</si>
  <si>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</si>
  <si>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</si>
  <si>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</si>
  <si>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</si>
  <si>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</si>
  <si>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</si>
  <si>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</si>
  <si>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</si>
  <si>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</si>
  <si>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</si>
  <si>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</si>
  <si>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</si>
  <si>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</si>
  <si>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</si>
  <si>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</si>
  <si>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</si>
  <si>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</si>
  <si>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</si>
  <si>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</si>
  <si>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</si>
  <si>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</si>
  <si>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</si>
  <si>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</si>
  <si>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</si>
  <si>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</si>
  <si>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</si>
  <si>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</si>
  <si>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</si>
  <si>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</si>
  <si>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</si>
  <si>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</si>
  <si>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</si>
  <si>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</si>
  <si>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</si>
  <si>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</si>
  <si>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</si>
  <si>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</si>
  <si>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</si>
  <si>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</si>
  <si>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</si>
  <si>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</si>
  <si>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</si>
  <si>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</si>
  <si>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</si>
  <si>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</si>
  <si>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</si>
  <si>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</si>
  <si>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</si>
  <si>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</si>
  <si>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</si>
  <si>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</si>
  <si>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</si>
  <si>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</si>
  <si>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</si>
  <si>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</si>
  <si>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</si>
  <si>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</si>
  <si>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</si>
  <si>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</si>
  <si>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</si>
  <si>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</si>
  <si>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</si>
  <si>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</si>
  <si>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</si>
  <si>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</si>
  <si>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</si>
  <si>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</si>
  <si>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</si>
  <si>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</si>
  <si>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</si>
  <si>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</si>
  <si>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</si>
  <si>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</si>
  <si>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</si>
  <si>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</si>
  <si>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</si>
  <si>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</si>
  <si>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</si>
  <si>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</si>
  <si>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</si>
  <si>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</si>
  <si>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</si>
  <si>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</si>
  <si>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</si>
  <si>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</si>
  <si>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</si>
  <si>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</si>
  <si>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</si>
  <si>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</si>
  <si>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</si>
  <si>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</si>
  <si>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</si>
  <si>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</si>
  <si>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</si>
  <si>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</si>
  <si>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</si>
  <si>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</si>
  <si>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</si>
  <si>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</si>
  <si>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</si>
  <si>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</si>
  <si>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</si>
  <si>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</si>
  <si>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</si>
  <si>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</si>
  <si>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</si>
  <si>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</si>
  <si>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</si>
  <si>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</si>
  <si>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</si>
  <si>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</si>
  <si>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</si>
  <si>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</si>
  <si>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</si>
  <si>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</si>
  <si>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</si>
  <si>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</si>
  <si>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</si>
  <si>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</si>
  <si>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</si>
  <si>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</si>
  <si>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</si>
  <si>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</si>
  <si>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</si>
  <si>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</si>
  <si>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</si>
  <si>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</si>
  <si>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</si>
  <si>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</si>
  <si>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</si>
  <si>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</si>
  <si>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</si>
  <si>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</si>
  <si>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</si>
  <si>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</si>
  <si>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</si>
  <si>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</si>
  <si>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</si>
  <si>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</si>
  <si>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</si>
  <si>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</si>
  <si>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</si>
  <si>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</si>
  <si>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</si>
  <si>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</si>
  <si>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</si>
  <si>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</si>
  <si>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</si>
  <si>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</si>
  <si>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</si>
  <si>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</si>
  <si>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</si>
  <si>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</si>
  <si>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</si>
  <si>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</si>
  <si>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</si>
  <si>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</si>
  <si>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</si>
  <si>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</si>
  <si>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</si>
  <si>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</si>
  <si>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</si>
  <si>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</si>
  <si>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</si>
  <si>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</si>
  <si>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</si>
  <si>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</si>
  <si>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</si>
  <si>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</si>
  <si>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</si>
  <si>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</si>
  <si>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</si>
  <si>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</si>
  <si>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</si>
  <si>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</si>
  <si>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</si>
  <si>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</si>
  <si>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</si>
  <si>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</si>
  <si>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</si>
  <si>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</si>
  <si>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</si>
  <si>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</si>
  <si>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</si>
  <si>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</si>
  <si>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</si>
  <si>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</si>
  <si>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</si>
  <si>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</si>
  <si>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</si>
  <si>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</si>
  <si>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</si>
  <si>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</si>
  <si>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</si>
  <si>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</si>
  <si>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</si>
  <si>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</si>
  <si>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</si>
  <si>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</si>
  <si>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</si>
  <si>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</si>
  <si>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</si>
  <si>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</si>
  <si>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</si>
  <si>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</si>
  <si>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</si>
  <si>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</si>
  <si>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</si>
  <si>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</si>
  <si>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</si>
  <si>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</si>
  <si>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</si>
  <si>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</si>
  <si>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</si>
  <si>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</si>
  <si>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</si>
  <si>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</si>
  <si>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</si>
  <si>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</si>
  <si>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</si>
  <si>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</si>
  <si>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</si>
  <si>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</si>
  <si>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</si>
  <si>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</si>
  <si>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</si>
  <si>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</si>
  <si>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</si>
  <si>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</si>
  <si>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</si>
  <si>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</si>
  <si>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</si>
  <si>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</si>
  <si>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</si>
  <si>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</si>
  <si>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</si>
  <si>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</si>
  <si>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</si>
  <si>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</si>
  <si>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</si>
  <si>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</si>
  <si>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</si>
  <si>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</si>
  <si>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</si>
  <si>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</si>
  <si>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</si>
  <si>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</si>
  <si>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</si>
  <si>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</si>
  <si>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</si>
  <si>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</si>
  <si>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</si>
  <si>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</si>
  <si>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</si>
  <si>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</si>
  <si>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</si>
  <si>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</si>
  <si>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</si>
  <si>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</si>
  <si>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</si>
  <si>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</si>
  <si>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</si>
  <si>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</si>
  <si>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</si>
  <si>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</si>
  <si>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</si>
  <si>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</si>
  <si>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</si>
  <si>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</si>
  <si>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</si>
  <si>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</si>
  <si>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</si>
  <si>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</si>
  <si>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</si>
  <si>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</si>
  <si>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</si>
  <si>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</si>
  <si>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</si>
  <si>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</si>
  <si>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</si>
  <si>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</si>
  <si>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</si>
  <si>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</si>
  <si>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</si>
  <si>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</si>
  <si>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</si>
  <si>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</si>
  <si>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</si>
  <si>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</si>
  <si>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</si>
  <si>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</si>
  <si>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</si>
  <si>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</si>
  <si>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</si>
  <si>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</si>
  <si>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</si>
  <si>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</si>
  <si>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</si>
  <si>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</si>
  <si>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</si>
  <si>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</si>
  <si>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</si>
  <si>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</si>
  <si>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</si>
  <si>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</si>
  <si>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</si>
  <si>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</si>
  <si>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</si>
  <si>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</si>
  <si>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</si>
  <si>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</si>
  <si>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</si>
  <si>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</si>
  <si>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</si>
  <si>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</si>
  <si>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</si>
  <si>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</si>
  <si>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</si>
  <si>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</si>
  <si>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</si>
  <si>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</si>
  <si>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</si>
  <si>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</si>
  <si>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</si>
  <si>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</si>
  <si>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</si>
  <si>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</si>
  <si>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</si>
  <si>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</si>
  <si>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</si>
  <si>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</si>
  <si>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</si>
  <si>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</si>
  <si>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</si>
  <si>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</si>
  <si>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</si>
  <si>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</si>
  <si>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</si>
  <si>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</si>
  <si>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</si>
  <si>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</si>
  <si>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</si>
  <si>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</si>
  <si>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</si>
  <si>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</si>
  <si>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</si>
  <si>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</si>
  <si>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</si>
  <si>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</si>
  <si>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</si>
  <si>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</si>
  <si>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</si>
  <si>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</si>
  <si>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</si>
  <si>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</si>
  <si>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</si>
  <si>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</si>
  <si>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</si>
  <si>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</si>
  <si>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</si>
  <si>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</si>
  <si>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</si>
  <si>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</si>
  <si>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</si>
  <si>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</si>
  <si>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</si>
  <si>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</si>
  <si>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</si>
  <si>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</si>
  <si>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</si>
  <si>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</si>
  <si>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</si>
  <si>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</si>
  <si>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</si>
  <si>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</si>
  <si>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</si>
  <si>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</si>
  <si>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</si>
  <si>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</si>
  <si>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</si>
  <si>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</si>
  <si>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</si>
  <si>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</si>
  <si>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</si>
  <si>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</si>
  <si>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</si>
  <si>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</si>
  <si>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</si>
  <si>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</si>
  <si>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</si>
  <si>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</si>
  <si>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</si>
  <si>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</si>
  <si>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</si>
  <si>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</si>
  <si>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</si>
  <si>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</si>
  <si>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</si>
  <si>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</si>
  <si>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</si>
  <si>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</si>
  <si>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</si>
  <si>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</si>
  <si>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</si>
  <si>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</si>
  <si>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</si>
  <si>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</si>
  <si>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</si>
  <si>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</si>
  <si>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</si>
  <si>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</si>
  <si>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</si>
  <si>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</si>
  <si>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</si>
  <si>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</si>
  <si>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</si>
  <si>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</si>
  <si>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</si>
  <si>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</si>
  <si>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</si>
  <si>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</si>
  <si>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</si>
  <si>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</si>
  <si>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</si>
  <si>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</si>
  <si>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</si>
  <si>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</si>
  <si>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</si>
  <si>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</si>
  <si>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</si>
  <si>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</si>
  <si>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</si>
  <si>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</si>
  <si>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</si>
  <si>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</si>
  <si>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</si>
  <si>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</si>
  <si>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</si>
  <si>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</si>
  <si>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</si>
  <si>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</si>
  <si>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</si>
  <si>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</si>
  <si>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</si>
  <si>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</si>
  <si>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</si>
  <si>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</si>
  <si>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</si>
  <si>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</si>
  <si>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</si>
  <si>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</si>
  <si>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</si>
  <si>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</si>
  <si>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</si>
  <si>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</si>
  <si>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</si>
  <si>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</si>
  <si>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</si>
  <si>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</si>
  <si>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</si>
  <si>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</si>
  <si>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</si>
  <si>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</si>
  <si>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</si>
  <si>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</si>
  <si>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</si>
  <si>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</si>
  <si>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</si>
  <si>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</si>
  <si>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</si>
  <si>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</si>
  <si>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</si>
  <si>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</si>
  <si>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</si>
  <si>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</si>
  <si>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</si>
  <si>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</si>
  <si>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</si>
  <si>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</si>
  <si>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</si>
  <si>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</si>
  <si>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</si>
  <si>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</si>
  <si>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</si>
  <si>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</si>
  <si>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</si>
  <si>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</si>
  <si>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</si>
  <si>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</si>
  <si>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</si>
  <si>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</si>
  <si>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</si>
  <si>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</si>
  <si>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</si>
  <si>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</si>
  <si>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</si>
  <si>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</si>
  <si>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</si>
  <si>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</si>
  <si>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</si>
  <si>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</si>
  <si>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</si>
  <si>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</si>
  <si>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</si>
  <si>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</si>
  <si>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</si>
  <si>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</si>
  <si>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</si>
  <si>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</si>
  <si>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</si>
  <si>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</si>
  <si>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</si>
  <si>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</si>
  <si>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</si>
  <si>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</si>
  <si>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</si>
  <si>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</si>
  <si>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</si>
  <si>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</si>
  <si>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</si>
  <si>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</si>
  <si>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</si>
  <si>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</si>
  <si>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</si>
  <si>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</si>
  <si>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</si>
  <si>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</si>
  <si>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</si>
  <si>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</si>
  <si>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</si>
  <si>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</si>
  <si>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</si>
  <si>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</si>
  <si>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</si>
  <si>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</si>
  <si>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</si>
  <si>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</si>
  <si>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</si>
  <si>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</si>
  <si>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</si>
  <si>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</si>
  <si>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</si>
  <si>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</si>
  <si>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</si>
  <si>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</si>
  <si>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</si>
  <si>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</si>
  <si>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</si>
  <si>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</si>
  <si>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</si>
  <si>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</si>
  <si>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</si>
  <si>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</si>
  <si>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</si>
  <si>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</si>
  <si>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</si>
  <si>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</si>
  <si>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</si>
  <si>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</si>
  <si>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</si>
  <si>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</si>
  <si>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</si>
  <si>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</si>
  <si>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</si>
  <si>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</si>
  <si>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</si>
  <si>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</si>
  <si>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</si>
  <si>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</si>
  <si>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</si>
  <si>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</si>
  <si>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</si>
  <si>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</si>
  <si>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</si>
  <si>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</si>
  <si>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</si>
  <si>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</si>
  <si>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</si>
  <si>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</si>
  <si>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</si>
  <si>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</si>
  <si>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</si>
  <si>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</si>
  <si>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</si>
  <si>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</si>
  <si>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</si>
  <si>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</si>
  <si>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</si>
  <si>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</si>
  <si>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</si>
  <si>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</si>
  <si>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</si>
  <si>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</si>
  <si>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</si>
  <si>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</si>
  <si>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</si>
  <si>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</si>
  <si>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</si>
  <si>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</si>
  <si>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</si>
  <si>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</si>
  <si>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</si>
  <si>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</si>
  <si>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</si>
  <si>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</si>
  <si>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</si>
  <si>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</si>
  <si>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</si>
  <si>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</si>
  <si>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</si>
  <si>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</si>
  <si>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</si>
  <si>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</si>
  <si>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</si>
  <si>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</si>
  <si>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</si>
  <si>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</si>
  <si>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</si>
  <si>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</si>
  <si>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</si>
  <si>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</si>
  <si>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</si>
  <si>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</si>
  <si>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</si>
  <si>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</si>
  <si>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</si>
  <si>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</si>
  <si>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</si>
  <si>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</si>
  <si>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</si>
  <si>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</si>
  <si>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</si>
  <si>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</si>
  <si>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</si>
  <si>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</si>
  <si>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</si>
  <si>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</si>
  <si>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</si>
  <si>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</si>
  <si>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</si>
  <si>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</si>
  <si>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</si>
  <si>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</si>
  <si>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</si>
  <si>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</si>
  <si>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</si>
  <si>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</si>
  <si>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</si>
  <si>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</si>
  <si>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</si>
  <si>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</si>
  <si>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</si>
  <si>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</si>
  <si>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</si>
  <si>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</si>
  <si>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</si>
  <si>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</si>
  <si>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</si>
  <si>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</si>
  <si>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</si>
  <si>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</si>
  <si>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</si>
  <si>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</si>
  <si>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</si>
  <si>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</si>
  <si>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</si>
  <si>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</si>
  <si>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</si>
  <si>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</si>
  <si>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</si>
  <si>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</si>
  <si>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</si>
  <si>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</si>
  <si>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</si>
  <si>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</si>
  <si>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</si>
  <si>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</si>
  <si>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</si>
  <si>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</si>
  <si>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</si>
  <si>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</si>
  <si>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</si>
  <si>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</si>
  <si>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</si>
  <si>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</si>
  <si>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</si>
  <si>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</si>
  <si>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</si>
  <si>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</si>
  <si>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</si>
  <si>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</si>
  <si>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</si>
  <si>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</si>
  <si>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</si>
  <si>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</si>
  <si>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</si>
  <si>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</si>
  <si>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</si>
  <si>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</si>
  <si>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</si>
  <si>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</si>
  <si>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</si>
  <si>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</si>
  <si>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</si>
  <si>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</si>
  <si>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</si>
  <si>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</si>
  <si>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</si>
  <si>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</si>
  <si>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</si>
  <si>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</si>
  <si>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</si>
  <si>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</si>
  <si>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</si>
  <si>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</si>
  <si>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</si>
  <si>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</si>
  <si>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</si>
  <si>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</si>
  <si>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</si>
  <si>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</si>
  <si>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</si>
  <si>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</si>
  <si>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</si>
  <si>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</si>
  <si>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</si>
  <si>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</si>
  <si>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</si>
  <si>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</si>
  <si>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</si>
  <si>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</si>
  <si>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</si>
  <si>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</si>
  <si>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</si>
  <si>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</si>
  <si>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</si>
  <si>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</si>
  <si>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</si>
  <si>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</si>
  <si>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</si>
  <si>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</si>
  <si>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</si>
  <si>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</si>
  <si>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</si>
  <si>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</si>
  <si>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</si>
  <si>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</si>
  <si>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</si>
  <si>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</si>
  <si>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</si>
  <si>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</si>
  <si>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</si>
  <si>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</si>
  <si>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</si>
  <si>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</si>
  <si>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</si>
  <si>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</si>
  <si>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</si>
  <si>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</si>
  <si>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</si>
  <si>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</si>
  <si>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</si>
  <si>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</si>
  <si>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</si>
  <si>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</si>
  <si>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</si>
  <si>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</si>
  <si>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</si>
  <si>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</si>
  <si>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</si>
  <si>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</si>
  <si>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</si>
  <si>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</si>
  <si>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</si>
  <si>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</si>
  <si>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</si>
  <si>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</si>
  <si>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</si>
  <si>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</si>
  <si>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</si>
  <si>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</si>
  <si>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</si>
  <si>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</si>
  <si>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</si>
  <si>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</si>
  <si>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</si>
  <si>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</si>
  <si>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</si>
  <si>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</si>
  <si>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</si>
  <si>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</si>
  <si>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</si>
  <si>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</si>
  <si>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</si>
  <si>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</si>
  <si>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</si>
  <si>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</si>
  <si>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</si>
  <si>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</si>
  <si>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</si>
  <si>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</si>
  <si>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</si>
  <si>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</si>
  <si>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</si>
  <si>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</si>
  <si>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</si>
  <si>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</si>
  <si>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</si>
  <si>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</si>
  <si>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</si>
  <si>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</si>
  <si>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</si>
  <si>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</si>
  <si>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</si>
  <si>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</si>
  <si>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</si>
  <si>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</si>
  <si>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</si>
  <si>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</si>
  <si>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</si>
  <si>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</si>
  <si>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</si>
  <si>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</si>
  <si>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</si>
  <si>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</si>
  <si>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</si>
  <si>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</si>
  <si>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</si>
  <si>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</si>
  <si>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</si>
  <si>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</si>
  <si>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</si>
  <si>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</si>
  <si>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</si>
  <si>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</si>
  <si>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</si>
  <si>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</si>
  <si>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</si>
  <si>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</si>
  <si>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</si>
  <si>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</si>
  <si>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</si>
  <si>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</si>
  <si>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</si>
  <si>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</si>
  <si>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</si>
  <si>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</si>
  <si>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</si>
  <si>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</si>
  <si>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</si>
  <si>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</si>
  <si>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</si>
  <si>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</si>
  <si>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</si>
  <si>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</si>
  <si>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</si>
  <si>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</si>
  <si>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</si>
  <si>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</si>
  <si>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</si>
  <si>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</si>
  <si>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</si>
  <si>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</si>
  <si>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</si>
  <si>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</si>
  <si>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</si>
  <si>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</si>
  <si>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</si>
  <si>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</si>
  <si>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</si>
  <si>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</si>
  <si>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</si>
  <si>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</si>
  <si>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</si>
  <si>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</si>
  <si>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</si>
  <si>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</si>
  <si>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</si>
  <si>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</si>
  <si>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</si>
  <si>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</si>
  <si>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</si>
  <si>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</si>
  <si>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</si>
  <si>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</si>
  <si>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</si>
  <si>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</si>
  <si>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</si>
  <si>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</si>
  <si>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</si>
  <si>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</si>
  <si>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</si>
  <si>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</si>
  <si>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</si>
  <si>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</si>
  <si>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</si>
  <si>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</si>
  <si>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</si>
  <si>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</si>
  <si>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</si>
  <si>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</si>
  <si>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</si>
  <si>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</si>
  <si>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</si>
  <si>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</si>
  <si>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</si>
  <si>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</si>
  <si>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</si>
  <si>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</si>
  <si>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</si>
  <si>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</si>
  <si>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</si>
  <si>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</si>
  <si>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</si>
  <si>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</si>
  <si>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</si>
  <si>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</si>
  <si>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</si>
  <si>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</si>
  <si>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</si>
  <si>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</si>
  <si>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</si>
  <si>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</si>
  <si>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</si>
  <si>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</si>
  <si>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</si>
  <si>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</si>
  <si>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</si>
  <si>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</si>
  <si>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</si>
  <si>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</si>
  <si>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</si>
  <si>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</si>
  <si>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</si>
  <si>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</si>
  <si>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</si>
  <si>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</si>
  <si>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</si>
  <si>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</si>
  <si>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</si>
  <si>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</si>
  <si>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</si>
  <si>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</si>
  <si>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</si>
  <si>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</si>
  <si>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</si>
  <si>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</si>
  <si>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</si>
  <si>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</si>
  <si>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</si>
  <si>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</si>
  <si>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</si>
  <si>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</si>
  <si>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</si>
  <si>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</si>
  <si>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</si>
  <si>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</si>
  <si>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</si>
  <si>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</si>
  <si>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</si>
  <si>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</si>
  <si>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</si>
  <si>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</si>
  <si>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</si>
  <si>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</si>
  <si>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</si>
  <si>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</si>
  <si>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</si>
  <si>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</si>
  <si>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</si>
  <si>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</si>
  <si>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</si>
  <si>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</si>
  <si>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</si>
  <si>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</si>
  <si>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</si>
  <si>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</si>
  <si>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</si>
  <si>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</si>
  <si>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</si>
  <si>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</si>
  <si>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</si>
  <si>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</si>
  <si>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</si>
  <si>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</si>
  <si>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</si>
  <si>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</si>
  <si>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</si>
  <si>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</si>
  <si>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</si>
  <si>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</si>
  <si>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</si>
  <si>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</si>
  <si>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</si>
  <si>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</si>
  <si>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</si>
  <si>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</si>
  <si>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</si>
  <si>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</si>
  <si>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</si>
  <si>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</si>
  <si>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</si>
  <si>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</si>
  <si>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</si>
  <si>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</si>
  <si>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</si>
  <si>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</si>
  <si>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</si>
  <si>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</si>
  <si>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</si>
  <si>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</si>
  <si>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</si>
  <si>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</si>
  <si>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</si>
  <si>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</si>
  <si>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</si>
  <si>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</si>
  <si>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</si>
  <si>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</si>
  <si>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</si>
  <si>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</si>
  <si>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</si>
  <si>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</si>
  <si>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</si>
  <si>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</si>
  <si>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</si>
  <si>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</si>
  <si>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</si>
  <si>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</si>
  <si>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</si>
  <si>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</si>
  <si>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</si>
  <si>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</si>
  <si>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</si>
  <si>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</si>
  <si>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</si>
  <si>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</si>
  <si>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</si>
  <si>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</si>
  <si>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</si>
  <si>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</si>
  <si>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</si>
  <si>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</si>
  <si>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</si>
  <si>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</si>
  <si>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</si>
  <si>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</si>
  <si>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</si>
  <si>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</si>
  <si>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</si>
  <si>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</si>
  <si>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</si>
  <si>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</si>
  <si>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</si>
  <si>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</si>
  <si>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</si>
  <si>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</si>
  <si>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</si>
  <si>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</si>
  <si>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</si>
  <si>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</si>
  <si>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</si>
  <si>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</si>
  <si>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</si>
  <si>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</si>
  <si>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</si>
  <si>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</si>
  <si>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</si>
  <si>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</si>
  <si>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</si>
  <si>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</si>
  <si>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</si>
  <si>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</si>
  <si>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</si>
  <si>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</si>
  <si>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</si>
  <si>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</si>
  <si>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</si>
  <si>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</si>
  <si>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</si>
  <si>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</si>
  <si>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</si>
  <si>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</si>
  <si>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</si>
  <si>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</si>
  <si>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</si>
  <si>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</si>
  <si>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</si>
  <si>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</si>
  <si>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</si>
  <si>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</si>
  <si>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</si>
  <si>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</si>
  <si>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</si>
  <si>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</si>
  <si>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</si>
  <si>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</si>
  <si>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</si>
  <si>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</si>
  <si>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</si>
  <si>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</si>
  <si>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</si>
  <si>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</si>
  <si>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</si>
  <si>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</si>
  <si>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</si>
  <si>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</si>
  <si>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</si>
  <si>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</si>
  <si>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</si>
  <si>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</si>
  <si>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</si>
  <si>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</si>
  <si>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</si>
  <si>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</si>
  <si>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</si>
  <si>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</si>
  <si>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</si>
  <si>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</si>
  <si>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</si>
  <si>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</si>
  <si>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</si>
  <si>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</si>
  <si>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</si>
  <si>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</si>
  <si>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</si>
  <si>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</si>
  <si>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</si>
  <si>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</si>
  <si>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</si>
  <si>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</si>
  <si>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</si>
  <si>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</si>
  <si>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</si>
  <si>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</si>
  <si>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</si>
  <si>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</si>
  <si>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</si>
  <si>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</si>
  <si>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</si>
  <si>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</si>
  <si>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</si>
  <si>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</si>
  <si>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</si>
  <si>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</si>
  <si>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</si>
  <si>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</si>
  <si>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</si>
  <si>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</si>
  <si>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</si>
  <si>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</si>
  <si>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</si>
  <si>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</si>
  <si>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</si>
  <si>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</si>
  <si>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</si>
  <si>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</si>
  <si>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</si>
  <si>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</si>
  <si>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</si>
  <si>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</si>
  <si>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</si>
  <si>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</si>
  <si>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</si>
  <si>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</si>
  <si>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</si>
  <si>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</si>
  <si>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</si>
  <si>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</si>
  <si>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</si>
  <si>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</si>
  <si>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</si>
  <si>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</si>
  <si>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</si>
  <si>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</si>
  <si>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</si>
  <si>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</si>
  <si>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</si>
  <si>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</si>
  <si>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</si>
  <si>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</si>
  <si>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</si>
  <si>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</si>
  <si>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</si>
  <si>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</si>
  <si>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</si>
  <si>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</si>
  <si>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</si>
  <si>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</si>
  <si>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</si>
  <si>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</si>
  <si>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</si>
  <si>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</si>
  <si>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</si>
  <si>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</si>
  <si>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</si>
  <si>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</si>
  <si>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</si>
  <si>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</si>
  <si>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</si>
  <si>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</si>
  <si>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</si>
  <si>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</si>
  <si>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</si>
  <si>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</si>
  <si>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</si>
  <si>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</si>
  <si>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</si>
  <si>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</si>
  <si>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</si>
  <si>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</si>
  <si>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</si>
  <si>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</si>
  <si>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</si>
  <si>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</si>
  <si>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</si>
  <si>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</si>
  <si>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</si>
  <si>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</si>
  <si>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</si>
  <si>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</si>
  <si>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</si>
  <si>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</si>
  <si>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</si>
  <si>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</si>
  <si>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</si>
  <si>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</si>
  <si>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</si>
  <si>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</si>
  <si>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</si>
  <si>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</si>
  <si>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</si>
  <si>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</si>
  <si>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</si>
  <si>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</si>
  <si>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</si>
  <si>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</si>
  <si>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</si>
  <si>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</si>
  <si>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</si>
  <si>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</si>
  <si>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</si>
  <si>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</si>
  <si>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</si>
  <si>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</si>
  <si>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</si>
  <si>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</si>
  <si>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</si>
  <si>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</si>
  <si>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</si>
  <si>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</si>
  <si>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</si>
  <si>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</si>
  <si>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</si>
  <si>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</si>
  <si>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</si>
  <si>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</si>
  <si>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</si>
  <si>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</si>
  <si>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</si>
  <si>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</si>
  <si>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</si>
  <si>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</si>
  <si>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</si>
  <si>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</si>
  <si>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</si>
  <si>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</si>
  <si>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</si>
  <si>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</si>
  <si>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</si>
  <si>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</si>
  <si>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</si>
  <si>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</si>
  <si>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</si>
  <si>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</si>
  <si>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</si>
  <si>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</si>
  <si>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</si>
  <si>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</si>
  <si>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</si>
  <si>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</si>
  <si>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</si>
  <si>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</si>
  <si>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</si>
  <si>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</si>
  <si>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</si>
  <si>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</si>
  <si>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</si>
  <si>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</si>
  <si>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</si>
  <si>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</si>
  <si>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</si>
  <si>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</si>
  <si>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</si>
  <si>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</si>
  <si>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</si>
  <si>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</si>
  <si>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</si>
  <si>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</si>
  <si>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</si>
  <si>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</si>
  <si>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</si>
  <si>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</si>
  <si>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</si>
  <si>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</si>
  <si>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</si>
  <si>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</si>
  <si>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</si>
  <si>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</si>
  <si>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</si>
  <si>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</si>
  <si>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</si>
  <si>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</si>
  <si>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</si>
  <si>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</si>
  <si>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</si>
  <si>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</si>
  <si>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</si>
  <si>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</si>
  <si>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</si>
  <si>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</si>
  <si>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</si>
  <si>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</si>
  <si>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</si>
  <si>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</si>
  <si>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</si>
  <si>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</si>
  <si>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</si>
  <si>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</si>
  <si>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</si>
  <si>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</si>
  <si>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</si>
  <si>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</si>
  <si>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</si>
  <si>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</si>
  <si>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</si>
  <si>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</si>
  <si>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</si>
  <si>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</si>
  <si>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</si>
  <si>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</si>
  <si>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</si>
  <si>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</si>
  <si>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</si>
  <si>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</si>
  <si>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</si>
  <si>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</si>
  <si>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</si>
  <si>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</si>
  <si>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</si>
  <si>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</si>
  <si>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</si>
  <si>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</si>
  <si>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</si>
  <si>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</si>
  <si>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</si>
  <si>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</si>
  <si>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</si>
  <si>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</si>
  <si>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</si>
  <si>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</si>
  <si>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</si>
  <si>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</si>
  <si>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</si>
  <si>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</si>
  <si>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</si>
  <si>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</si>
  <si>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</si>
  <si>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</si>
  <si>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</si>
  <si>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</si>
  <si>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</si>
  <si>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</si>
  <si>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</si>
  <si>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</si>
  <si>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</si>
  <si>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</si>
  <si>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</si>
  <si>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</si>
  <si>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</si>
  <si>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</si>
  <si>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</si>
  <si>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</si>
  <si>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</si>
  <si>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</si>
  <si>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</si>
  <si>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</si>
  <si>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</si>
  <si>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</si>
  <si>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</si>
  <si>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</si>
  <si>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</si>
  <si>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</si>
  <si>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</si>
  <si>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</si>
  <si>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</si>
  <si>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</si>
  <si>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</si>
  <si>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</si>
  <si>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</si>
  <si>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</si>
  <si>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</si>
  <si>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</si>
  <si>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</si>
  <si>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</si>
  <si>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</si>
  <si>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</si>
  <si>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</si>
  <si>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</si>
  <si>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</si>
  <si>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</si>
  <si>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</si>
  <si>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</si>
  <si>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</si>
  <si>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</si>
  <si>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</si>
  <si>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</si>
  <si>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</si>
  <si>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</si>
  <si>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</si>
  <si>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</si>
  <si>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</si>
  <si>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</si>
  <si>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</si>
  <si>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</si>
  <si>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</si>
  <si>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</si>
  <si>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</si>
  <si>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</si>
  <si>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</si>
  <si>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</si>
  <si>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</si>
  <si>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</si>
  <si>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</si>
  <si>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</si>
  <si>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</si>
  <si>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</si>
  <si>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</si>
  <si>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</si>
  <si>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</si>
  <si>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</si>
  <si>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</si>
  <si>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</si>
  <si>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</si>
  <si>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</si>
  <si>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</si>
  <si>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</si>
  <si>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</si>
  <si>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</si>
  <si>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</si>
  <si>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</si>
  <si>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</si>
  <si>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</si>
  <si>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</si>
  <si>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</si>
  <si>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</si>
  <si>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</si>
  <si>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</si>
  <si>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</si>
  <si>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</si>
  <si>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</si>
  <si>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</si>
  <si>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</si>
  <si>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</si>
  <si>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</si>
  <si>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</si>
  <si>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</si>
  <si>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</si>
  <si>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</si>
  <si>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</si>
  <si>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</si>
  <si>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</si>
  <si>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</si>
  <si>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</si>
  <si>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</si>
  <si>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</si>
  <si>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</si>
  <si>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</si>
  <si>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</si>
  <si>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</si>
  <si>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</si>
  <si>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</si>
  <si>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</si>
  <si>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</si>
  <si>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</si>
  <si>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</si>
  <si>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</si>
  <si>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</si>
  <si>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</si>
  <si>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</si>
  <si>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</si>
  <si>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</si>
  <si>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</si>
  <si>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</si>
  <si>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</si>
  <si>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</si>
  <si>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</si>
  <si>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</si>
  <si>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</si>
  <si>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</si>
  <si>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</si>
  <si>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</si>
  <si>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</si>
  <si>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</si>
  <si>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</si>
  <si>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</si>
  <si>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</si>
  <si>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</si>
  <si>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</si>
  <si>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</si>
  <si>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</si>
  <si>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</si>
  <si>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</si>
  <si>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</si>
  <si>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</si>
  <si>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</si>
  <si>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</si>
  <si>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</si>
  <si>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</si>
  <si>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</si>
  <si>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</si>
  <si>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</si>
  <si>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</si>
  <si>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</si>
  <si>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</si>
  <si>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</si>
  <si>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</si>
  <si>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</si>
  <si>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</si>
  <si>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</si>
  <si>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</si>
  <si>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</si>
  <si>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</si>
  <si>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</si>
  <si>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</si>
  <si>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</si>
  <si>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</si>
  <si>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</si>
  <si>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</si>
  <si>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</si>
  <si>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</si>
  <si>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</si>
  <si>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</si>
  <si>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</si>
  <si>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</si>
  <si>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</si>
  <si>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</si>
  <si>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</si>
  <si>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</si>
  <si>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</si>
  <si>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</si>
  <si>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</si>
  <si>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</si>
  <si>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</si>
  <si>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</si>
  <si>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</si>
  <si>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</si>
  <si>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</si>
  <si>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</si>
  <si>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</si>
  <si>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</si>
  <si>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</si>
  <si>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</si>
  <si>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</si>
  <si>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</si>
  <si>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</si>
  <si>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</si>
  <si>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</si>
  <si>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</si>
  <si>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</si>
  <si>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</si>
  <si>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</si>
  <si>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</si>
  <si>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</si>
  <si>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</si>
  <si>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</si>
  <si>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</si>
  <si>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</si>
  <si>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</si>
  <si>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</si>
  <si>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</si>
  <si>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</si>
  <si>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</si>
  <si>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</si>
  <si>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</si>
  <si>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</si>
  <si>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</si>
  <si>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</si>
  <si>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</si>
  <si>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</si>
  <si>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</si>
  <si>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</si>
  <si>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</si>
  <si>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</si>
  <si>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</si>
  <si>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</si>
  <si>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</si>
  <si>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</si>
  <si>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</si>
  <si>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</si>
  <si>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</si>
  <si>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</si>
  <si>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</si>
  <si>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</si>
  <si>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</si>
  <si>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</si>
  <si>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</si>
  <si>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</si>
  <si>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</si>
  <si>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</si>
  <si>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</si>
  <si>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</si>
  <si>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</si>
  <si>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</si>
  <si>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</si>
  <si>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</si>
  <si>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</si>
  <si>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</si>
  <si>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</si>
  <si>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</si>
  <si>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</si>
  <si>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</si>
  <si>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</si>
  <si>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</si>
  <si>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</si>
  <si>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</si>
  <si>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</si>
  <si>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</si>
  <si>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</si>
  <si>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</si>
  <si>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</si>
  <si>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</si>
  <si>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</si>
  <si>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</si>
  <si>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</si>
  <si>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</si>
  <si>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</si>
  <si>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</si>
  <si>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</si>
  <si>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</si>
  <si>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</si>
  <si>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</si>
  <si>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</si>
  <si>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</si>
  <si>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</si>
  <si>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</si>
  <si>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</si>
  <si>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</si>
  <si>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</si>
  <si>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</si>
  <si>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</si>
  <si>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</si>
  <si>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</si>
  <si>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</si>
  <si>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</si>
  <si>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</si>
  <si>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</si>
  <si>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</si>
  <si>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</si>
  <si>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</si>
  <si>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</si>
  <si>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</si>
  <si>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</si>
  <si>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</si>
  <si>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</si>
  <si>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</si>
  <si>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</si>
  <si>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</si>
  <si>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</si>
  <si>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</si>
  <si>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</si>
  <si>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</si>
  <si>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</si>
  <si>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</si>
  <si>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</si>
  <si>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</si>
  <si>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</si>
  <si>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</si>
  <si>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</si>
  <si>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</si>
  <si>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</si>
  <si>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</si>
  <si>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</si>
  <si>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</si>
  <si>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</si>
  <si>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</si>
  <si>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</si>
  <si>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</si>
  <si>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</si>
  <si>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</si>
  <si>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</si>
  <si>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</si>
  <si>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</si>
  <si>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</si>
  <si>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</si>
  <si>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</si>
  <si>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</si>
  <si>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</si>
  <si>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</si>
  <si>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</si>
  <si>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</si>
  <si>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</si>
  <si>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</si>
  <si>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</si>
  <si>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</si>
  <si>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</si>
  <si>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</si>
  <si>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</si>
  <si>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</si>
  <si>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</si>
  <si>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</si>
  <si>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</si>
  <si>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</si>
  <si>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</si>
  <si>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</si>
  <si>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</si>
  <si>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</si>
  <si>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</si>
  <si>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</si>
  <si>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</si>
  <si>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</si>
  <si>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</si>
  <si>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</si>
  <si>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</si>
  <si>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</si>
  <si>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</si>
  <si>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</si>
  <si>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</si>
  <si>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</si>
  <si>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</si>
  <si>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</si>
  <si>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</si>
  <si>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</si>
  <si>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</si>
  <si>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</si>
  <si>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</si>
  <si>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</si>
  <si>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</si>
  <si>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</si>
  <si>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</si>
  <si>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</si>
  <si>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</si>
  <si>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</si>
  <si>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</si>
  <si>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</si>
  <si>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</si>
  <si>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</si>
  <si>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</si>
  <si>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</si>
  <si>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</si>
  <si>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</si>
  <si>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</si>
  <si>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</si>
  <si>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</si>
  <si>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</si>
  <si>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</si>
  <si>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</si>
  <si>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</si>
  <si>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</si>
  <si>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</si>
  <si>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</si>
  <si>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</si>
  <si>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</si>
  <si>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</si>
  <si>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</si>
  <si>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</si>
  <si>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</si>
  <si>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</si>
  <si>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</si>
  <si>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</si>
  <si>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</si>
  <si>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</si>
  <si>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</si>
  <si>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</si>
  <si>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</si>
  <si>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</si>
  <si>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</si>
  <si>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</si>
  <si>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</si>
  <si>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</si>
  <si>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</si>
  <si>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</si>
  <si>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</si>
  <si>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</si>
  <si>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</si>
  <si>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</si>
  <si>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</si>
  <si>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</si>
  <si>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</si>
  <si>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</si>
  <si>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</si>
  <si>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</si>
  <si>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</si>
  <si>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</si>
  <si>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</si>
  <si>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</si>
  <si>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</si>
  <si>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</si>
  <si>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</si>
  <si>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</si>
  <si>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</si>
  <si>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</si>
  <si>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</si>
  <si>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</si>
  <si>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</si>
  <si>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</si>
  <si>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</si>
  <si>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</si>
  <si>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</si>
  <si>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</si>
  <si>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</si>
  <si>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</si>
  <si>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</si>
  <si>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</si>
  <si>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</si>
  <si>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</si>
  <si>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</si>
  <si>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</si>
  <si>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</si>
  <si>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</si>
  <si>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</si>
  <si>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</si>
  <si>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</si>
  <si>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</si>
  <si>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</si>
  <si>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</si>
  <si>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</si>
  <si>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</si>
  <si>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</si>
  <si>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</si>
  <si>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</si>
  <si>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</si>
  <si>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</si>
  <si>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</si>
  <si>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</si>
  <si>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</si>
  <si>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</si>
  <si>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</si>
  <si>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</si>
  <si>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</si>
  <si>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</si>
  <si>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</si>
  <si>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</si>
  <si>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</si>
  <si>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</si>
  <si>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</si>
  <si>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</si>
  <si>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</si>
  <si>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</si>
  <si>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</si>
  <si>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</si>
  <si>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</si>
  <si>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</si>
  <si>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</si>
  <si>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</si>
  <si>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</si>
  <si>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</si>
  <si>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</si>
  <si>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</si>
  <si>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</si>
  <si>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</si>
  <si>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</si>
  <si>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</si>
  <si>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</si>
  <si>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</si>
  <si>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</si>
  <si>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</si>
  <si>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</si>
  <si>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</si>
  <si>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</si>
  <si>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</si>
  <si>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</si>
  <si>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</si>
  <si>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</si>
  <si>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</si>
  <si>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</si>
  <si>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</si>
  <si>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</si>
  <si>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</si>
  <si>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</si>
  <si>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</si>
  <si>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</si>
  <si>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</si>
  <si>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</si>
  <si>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</si>
  <si>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</si>
  <si>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</si>
  <si>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</si>
  <si>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</si>
  <si>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</si>
  <si>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</si>
  <si>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</si>
  <si>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</si>
  <si>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</si>
  <si>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</si>
  <si>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</si>
  <si>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</si>
  <si>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</si>
  <si>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</si>
  <si>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</si>
  <si>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</si>
  <si>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</si>
  <si>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</si>
  <si>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</si>
  <si>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</si>
  <si>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</si>
  <si>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</si>
  <si>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</si>
  <si>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</si>
  <si>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</si>
  <si>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</si>
  <si>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</si>
  <si>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</si>
  <si>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</si>
  <si>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</si>
  <si>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</si>
  <si>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</si>
  <si>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</si>
  <si>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</si>
  <si>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</si>
  <si>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</si>
  <si>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</si>
  <si>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</si>
  <si>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</si>
  <si>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</si>
  <si>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</si>
  <si>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</si>
  <si>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</si>
  <si>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</si>
  <si>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</si>
  <si>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</si>
  <si>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</si>
  <si>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</si>
  <si>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</si>
  <si>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</si>
  <si>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</si>
  <si>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</si>
  <si>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</si>
  <si>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</si>
  <si>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</si>
  <si>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</si>
  <si>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</si>
  <si>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</si>
  <si>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</si>
  <si>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</si>
  <si>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</si>
  <si>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</si>
  <si>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</si>
  <si>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</si>
  <si>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</si>
  <si>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</si>
  <si>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</si>
  <si>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</si>
  <si>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</si>
  <si>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</si>
  <si>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</si>
  <si>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</si>
  <si>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</si>
  <si>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</si>
  <si>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</si>
  <si>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</si>
  <si>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</si>
  <si>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</si>
  <si>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</si>
  <si>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</si>
  <si>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</si>
  <si>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</si>
  <si>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</si>
  <si>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</si>
  <si>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</si>
  <si>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</si>
  <si>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</si>
  <si>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</si>
  <si>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</si>
  <si>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</si>
  <si>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</si>
  <si>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</si>
  <si>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</si>
  <si>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</si>
  <si>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</si>
  <si>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</si>
  <si>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</si>
  <si>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</si>
  <si>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</si>
  <si>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</si>
  <si>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</si>
  <si>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</si>
  <si>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</si>
  <si>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</si>
  <si>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</si>
  <si>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</si>
  <si>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</si>
  <si>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</si>
  <si>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</si>
  <si>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</si>
  <si>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</si>
  <si>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</si>
  <si>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</si>
  <si>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</si>
  <si>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</si>
  <si>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</si>
  <si>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</si>
  <si>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</si>
  <si>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</si>
  <si>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</si>
  <si>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</si>
  <si>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</si>
  <si>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</si>
  <si>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</si>
  <si>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</si>
  <si>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</si>
  <si>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</si>
  <si>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</si>
  <si>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</si>
  <si>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</si>
  <si>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</si>
  <si>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</si>
  <si>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</si>
  <si>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</si>
  <si>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</si>
  <si>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</si>
  <si>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</si>
  <si>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</si>
  <si>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</si>
  <si>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</si>
  <si>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</si>
  <si>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</si>
  <si>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</si>
  <si>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</si>
  <si>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</si>
  <si>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</si>
  <si>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</si>
  <si>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</si>
  <si>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</si>
  <si>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</si>
  <si>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</si>
  <si>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</si>
  <si>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</si>
  <si>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</si>
  <si>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</si>
  <si>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</si>
  <si>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</si>
  <si>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</si>
  <si>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</si>
  <si>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</si>
  <si>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</si>
  <si>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</si>
  <si>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</si>
  <si>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</si>
  <si>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</si>
  <si>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</si>
  <si>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</si>
  <si>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</si>
  <si>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</si>
  <si>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</si>
  <si>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</si>
  <si>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</si>
  <si>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</si>
  <si>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</si>
  <si>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</si>
  <si>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</si>
  <si>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</si>
  <si>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</si>
  <si>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</si>
  <si>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</si>
  <si>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</si>
  <si>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</si>
  <si>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</si>
  <si>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</si>
  <si>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</si>
  <si>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</si>
  <si>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</si>
  <si>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</si>
  <si>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</si>
  <si>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</si>
  <si>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</si>
  <si>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</si>
  <si>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</si>
  <si>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</si>
  <si>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</si>
  <si>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</si>
  <si>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</si>
  <si>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</si>
  <si>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</si>
  <si>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</si>
  <si>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</si>
  <si>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</si>
  <si>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</si>
  <si>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</si>
  <si>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</si>
  <si>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</si>
  <si>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</si>
  <si>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</si>
  <si>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</si>
  <si>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</si>
  <si>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</si>
  <si>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</si>
  <si>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</si>
  <si>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</si>
  <si>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</si>
  <si>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</si>
  <si>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</si>
  <si>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</si>
  <si>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</si>
  <si>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</si>
  <si>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</si>
  <si>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</si>
  <si>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</si>
  <si>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</si>
  <si>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</si>
  <si>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</si>
  <si>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</si>
  <si>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</si>
  <si>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</si>
  <si>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</si>
  <si>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</si>
  <si>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</si>
  <si>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</si>
  <si>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</si>
  <si>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</si>
  <si>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</si>
  <si>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</si>
  <si>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</si>
  <si>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</si>
  <si>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</si>
  <si>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</si>
  <si>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</si>
  <si>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</si>
  <si>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</si>
  <si>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</si>
  <si>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</si>
  <si>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</si>
  <si>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</si>
  <si>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</si>
  <si>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</si>
  <si>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</si>
  <si>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</si>
  <si>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</si>
  <si>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</si>
  <si>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</si>
  <si>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</si>
  <si>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</si>
  <si>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</si>
  <si>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</si>
  <si>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</si>
  <si>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</si>
  <si>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</si>
  <si>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</si>
  <si>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</si>
  <si>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</si>
  <si>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</si>
  <si>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</si>
  <si>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</si>
  <si>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</si>
  <si>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</si>
  <si>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</si>
  <si>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</si>
  <si>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</si>
  <si>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</si>
  <si>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</si>
  <si>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</si>
  <si>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</si>
  <si>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</si>
  <si>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</si>
  <si>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</si>
  <si>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</si>
  <si>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</si>
  <si>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</si>
  <si>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</si>
  <si>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</si>
  <si>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</si>
  <si>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</si>
  <si>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</si>
  <si>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</si>
  <si>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</si>
  <si>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</si>
  <si>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</si>
  <si>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</si>
  <si>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</si>
  <si>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</si>
  <si>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</si>
  <si>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</si>
  <si>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</si>
  <si>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</si>
  <si>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</si>
  <si>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</si>
  <si>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</si>
  <si>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</si>
  <si>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</si>
  <si>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</si>
  <si>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</si>
  <si>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</si>
  <si>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</si>
  <si>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</si>
  <si>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</si>
  <si>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</si>
  <si>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</si>
  <si>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</si>
  <si>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</si>
  <si>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</si>
  <si>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</si>
  <si>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</si>
  <si>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</si>
  <si>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</si>
  <si>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</si>
  <si>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</si>
  <si>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</si>
  <si>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</si>
  <si>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</si>
  <si>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</si>
  <si>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</si>
  <si>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</si>
  <si>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</si>
  <si>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</si>
  <si>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</si>
  <si>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</si>
  <si>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</si>
  <si>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</si>
  <si>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</si>
  <si>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</si>
  <si>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</si>
  <si>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</si>
  <si>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</si>
  <si>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</si>
  <si>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</si>
  <si>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</si>
  <si>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</si>
  <si>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</si>
  <si>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</si>
  <si>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</si>
  <si>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</si>
  <si>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</si>
  <si>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</si>
  <si>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</si>
  <si>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</si>
  <si>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</si>
  <si>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</si>
  <si>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</si>
  <si>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</si>
  <si>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</si>
  <si>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</si>
  <si>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</si>
  <si>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</si>
  <si>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</si>
  <si>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</si>
  <si>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</si>
  <si>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</si>
  <si>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</si>
  <si>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</si>
  <si>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</si>
  <si>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</si>
  <si>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</si>
  <si>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</si>
  <si>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</si>
  <si>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</si>
  <si>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</si>
  <si>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</si>
  <si>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</si>
  <si>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</si>
  <si>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</si>
  <si>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</si>
  <si>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</si>
  <si>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</si>
  <si>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</si>
  <si>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</si>
  <si>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</si>
  <si>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</si>
  <si>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</si>
  <si>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</si>
  <si>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</si>
  <si>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</si>
  <si>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</si>
  <si>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</si>
  <si>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</si>
  <si>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</si>
  <si>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</si>
  <si>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</si>
  <si>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</si>
  <si>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</si>
  <si>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</si>
  <si>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</si>
  <si>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</si>
  <si>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</si>
  <si>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</si>
  <si>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</si>
  <si>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</si>
  <si>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</si>
  <si>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</si>
  <si>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</si>
  <si>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</si>
  <si>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</si>
  <si>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</si>
  <si>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</si>
  <si>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</si>
  <si>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</si>
  <si>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</si>
  <si>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</si>
  <si>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</si>
  <si>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</si>
  <si>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</si>
  <si>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</si>
  <si>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</si>
  <si>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</si>
  <si>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</si>
  <si>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</si>
  <si>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</si>
  <si>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</si>
  <si>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</si>
  <si>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</si>
  <si>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</si>
  <si>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</si>
  <si>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</si>
  <si>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</si>
  <si>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</si>
  <si>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</si>
  <si>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</si>
  <si>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</si>
  <si>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</si>
  <si>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</si>
  <si>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</si>
  <si>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</si>
  <si>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</si>
  <si>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</si>
  <si>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</si>
  <si>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</si>
  <si>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</si>
  <si>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</si>
  <si>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</si>
  <si>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</si>
  <si>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</si>
  <si>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</si>
  <si>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</si>
  <si>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</si>
  <si>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</si>
  <si>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</si>
  <si>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</si>
  <si>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</si>
  <si>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</si>
  <si>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</si>
  <si>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</si>
  <si>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</si>
  <si>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</si>
  <si>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</si>
  <si>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</si>
  <si>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</si>
  <si>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</si>
  <si>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</si>
  <si>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</si>
  <si>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</si>
  <si>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</si>
  <si>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</si>
  <si>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</si>
  <si>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</si>
  <si>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</si>
  <si>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</si>
  <si>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</si>
  <si>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</si>
  <si>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</si>
  <si>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</si>
  <si>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</si>
  <si>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</si>
  <si>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</si>
  <si>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</si>
  <si>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</si>
  <si>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</si>
  <si>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</si>
  <si>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</si>
  <si>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</si>
  <si>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</si>
  <si>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</si>
  <si>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</si>
  <si>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</si>
  <si>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</si>
  <si>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</si>
  <si>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</si>
  <si>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</si>
  <si>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</si>
  <si>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</si>
  <si>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</si>
  <si>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</si>
  <si>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</si>
  <si>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</si>
  <si>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</si>
  <si>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</si>
  <si>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</si>
  <si>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</si>
  <si>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</si>
  <si>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</si>
  <si>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</si>
  <si>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</si>
  <si>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</si>
  <si>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</si>
  <si>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</si>
  <si>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</si>
  <si>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</si>
  <si>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</si>
  <si>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</si>
  <si>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</si>
  <si>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</si>
  <si>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</si>
  <si>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</si>
  <si>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</si>
  <si>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</si>
  <si>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</si>
  <si>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</si>
  <si>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</si>
  <si>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</si>
  <si>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</si>
  <si>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</si>
  <si>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</si>
  <si>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</si>
  <si>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</si>
  <si>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</si>
  <si>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</si>
  <si>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</si>
  <si>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</si>
  <si>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</si>
  <si>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</si>
  <si>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</si>
  <si>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</si>
  <si>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</si>
  <si>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</si>
  <si>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</si>
  <si>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</si>
  <si>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</si>
  <si>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</si>
  <si>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</si>
  <si>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</si>
  <si>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</si>
  <si>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</si>
  <si>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</si>
  <si>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</si>
  <si>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</si>
  <si>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</si>
  <si>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</si>
  <si>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</si>
  <si>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</si>
  <si>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</si>
  <si>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</si>
  <si>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</si>
  <si>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</si>
  <si>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</si>
  <si>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</si>
  <si>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</si>
  <si>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</si>
  <si>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</si>
  <si>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</si>
  <si>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</si>
  <si>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</si>
  <si>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</si>
  <si>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</si>
  <si>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</si>
  <si>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</si>
  <si>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</si>
  <si>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</si>
  <si>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</si>
  <si>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</si>
  <si>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</si>
  <si>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</si>
  <si>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</si>
  <si>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</si>
  <si>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</si>
  <si>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</si>
  <si>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</si>
  <si>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</si>
  <si>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</si>
  <si>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</si>
  <si>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</si>
  <si>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</si>
  <si>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</si>
  <si>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</si>
  <si>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</si>
  <si>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</si>
  <si>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</si>
  <si>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</si>
  <si>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</si>
  <si>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</si>
  <si>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</si>
  <si>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</si>
  <si>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</si>
  <si>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</si>
  <si>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</si>
  <si>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</si>
  <si>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</si>
  <si>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</si>
  <si>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</si>
  <si>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</si>
  <si>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</si>
  <si>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</si>
  <si>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</si>
  <si>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</si>
  <si>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</si>
  <si>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</si>
  <si>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</si>
  <si>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</si>
  <si>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</si>
  <si>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</si>
  <si>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</si>
  <si>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</si>
  <si>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</si>
  <si>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</si>
  <si>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</si>
  <si>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</si>
  <si>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</si>
  <si>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</si>
  <si>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</si>
  <si>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</si>
  <si>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</si>
  <si>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</si>
  <si>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</si>
  <si>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</si>
  <si>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</si>
  <si>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</si>
  <si>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</si>
  <si>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</si>
  <si>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</si>
  <si>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</si>
  <si>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</si>
  <si>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</si>
  <si>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</si>
  <si>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</si>
  <si>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</si>
  <si>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</si>
  <si>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</si>
  <si>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</si>
  <si>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</si>
  <si>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</si>
  <si>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</si>
  <si>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</si>
  <si>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</si>
  <si>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</si>
  <si>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</si>
  <si>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</si>
  <si>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</si>
  <si>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</si>
  <si>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</si>
  <si>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</si>
  <si>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</si>
  <si>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</si>
  <si>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</si>
  <si>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</si>
  <si>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</si>
  <si>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</si>
  <si>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</si>
  <si>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</si>
  <si>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</si>
  <si>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</si>
  <si>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</si>
  <si>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</si>
  <si>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</si>
  <si>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</si>
  <si>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</si>
  <si>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</si>
  <si>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</si>
  <si>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</si>
  <si>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</si>
  <si>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</si>
  <si>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</si>
  <si>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</si>
  <si>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</si>
  <si>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</si>
  <si>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</si>
  <si>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</si>
  <si>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</si>
  <si>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</si>
  <si>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</si>
  <si>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</si>
  <si>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</si>
  <si>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</si>
  <si>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</si>
  <si>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</si>
  <si>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</si>
  <si>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</si>
  <si>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</si>
  <si>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</si>
  <si>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</si>
  <si>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</si>
  <si>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</si>
  <si>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</si>
  <si>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</si>
  <si>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</si>
  <si>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</si>
  <si>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</si>
  <si>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</si>
  <si>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</si>
  <si>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</si>
  <si>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</si>
  <si>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</si>
  <si>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</si>
  <si>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</si>
  <si>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</si>
  <si>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</si>
  <si>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</si>
  <si>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</si>
  <si>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</si>
  <si>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</si>
  <si>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</si>
  <si>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</si>
  <si>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</si>
  <si>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</si>
  <si>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</si>
  <si>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</si>
  <si>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</si>
  <si>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</si>
  <si>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</si>
  <si>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</si>
  <si>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</si>
  <si>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</si>
  <si>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</si>
  <si>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</si>
  <si>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</si>
  <si>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</si>
  <si>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</si>
  <si>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</si>
  <si>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</si>
  <si>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</si>
  <si>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</si>
  <si>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</si>
  <si>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</si>
  <si>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</si>
  <si>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</si>
  <si>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</si>
  <si>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</si>
  <si>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</si>
  <si>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</si>
  <si>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</si>
  <si>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</si>
  <si>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</si>
  <si>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</si>
  <si>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</si>
  <si>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</si>
  <si>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</si>
  <si>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</si>
  <si>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</si>
  <si>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</si>
  <si>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</si>
  <si>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</si>
  <si>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</si>
  <si>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</si>
  <si>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</si>
  <si>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</si>
  <si>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</si>
  <si>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</si>
  <si>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</si>
  <si>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</si>
  <si>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</si>
  <si>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</si>
  <si>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</si>
  <si>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</si>
  <si>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</si>
  <si>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</si>
  <si>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</si>
  <si>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</si>
  <si>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</si>
  <si>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</si>
  <si>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</si>
  <si>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</si>
  <si>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</si>
  <si>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</si>
  <si>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</si>
  <si>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</si>
  <si>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</si>
  <si>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</si>
  <si>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</si>
  <si>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</si>
  <si>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</si>
  <si>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</si>
  <si>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</si>
  <si>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</si>
  <si>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</si>
  <si>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</si>
  <si>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</si>
  <si>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</si>
  <si>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</si>
  <si>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</si>
  <si>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</si>
  <si>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</si>
  <si>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</si>
  <si>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</si>
  <si>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</si>
  <si>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</si>
  <si>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</si>
  <si>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</si>
  <si>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</si>
  <si>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</si>
  <si>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</si>
  <si>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</si>
  <si>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</si>
  <si>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</si>
  <si>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</si>
  <si>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</si>
  <si>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</si>
  <si>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</si>
  <si>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</si>
  <si>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</si>
  <si>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</si>
  <si>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</si>
  <si>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</si>
  <si>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</si>
  <si>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</si>
  <si>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</si>
  <si>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</si>
  <si>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</si>
  <si>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</si>
  <si>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</si>
  <si>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</si>
  <si>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</si>
  <si>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</si>
  <si>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</si>
  <si>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</si>
  <si>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</si>
  <si>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</si>
  <si>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</si>
  <si>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</si>
  <si>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</si>
  <si>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</si>
  <si>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</si>
  <si>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</si>
  <si>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</si>
  <si>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</si>
  <si>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</si>
  <si>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</si>
  <si>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</si>
  <si>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</si>
  <si>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</si>
  <si>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</si>
  <si>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</si>
  <si>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</si>
  <si>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</si>
  <si>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</si>
  <si>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</si>
  <si>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</si>
  <si>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</si>
  <si>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</si>
  <si>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</si>
  <si>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</si>
  <si>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</si>
  <si>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</si>
  <si>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</si>
  <si>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</si>
  <si>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</si>
  <si>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</si>
  <si>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</si>
  <si>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</si>
  <si>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</si>
  <si>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</si>
  <si>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</si>
  <si>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</si>
  <si>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</si>
  <si>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</si>
  <si>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</si>
  <si>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</si>
  <si>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</si>
  <si>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</si>
  <si>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</si>
  <si>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</si>
  <si>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</si>
  <si>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</si>
  <si>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</si>
  <si>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</si>
  <si>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</si>
  <si>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</si>
  <si>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</si>
  <si>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</si>
  <si>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</si>
  <si>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</si>
  <si>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</si>
  <si>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</si>
  <si>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</si>
  <si>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</si>
  <si>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</si>
  <si>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</si>
  <si>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</si>
  <si>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</si>
  <si>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</si>
  <si>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</si>
  <si>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</si>
  <si>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</si>
  <si>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</si>
  <si>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</si>
  <si>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</si>
  <si>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</si>
  <si>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</si>
  <si>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</si>
  <si>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</si>
  <si>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</si>
  <si>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</si>
  <si>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</si>
  <si>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</si>
  <si>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</si>
  <si>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</si>
  <si>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</si>
  <si>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</si>
  <si>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</si>
  <si>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</si>
  <si>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</si>
  <si>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</si>
  <si>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</si>
  <si>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</si>
  <si>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</si>
  <si>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</si>
  <si>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</si>
  <si>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</si>
  <si>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</si>
  <si>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</si>
  <si>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</si>
  <si>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</si>
  <si>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</si>
  <si>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</si>
  <si>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</si>
  <si>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</si>
  <si>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</si>
  <si>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</si>
  <si>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</si>
  <si>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</si>
  <si>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</si>
  <si>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</si>
  <si>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</si>
  <si>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</si>
  <si>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</si>
  <si>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</si>
  <si>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</si>
  <si>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</si>
  <si>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</si>
  <si>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</si>
  <si>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</si>
  <si>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</si>
  <si>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</si>
  <si>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</si>
  <si>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</si>
  <si>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</si>
  <si>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</si>
  <si>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</si>
  <si>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</si>
  <si>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</si>
  <si>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</si>
  <si>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</si>
  <si>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</si>
  <si>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</si>
  <si>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</si>
  <si>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</si>
  <si>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</si>
  <si>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</si>
  <si>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</si>
  <si>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</si>
  <si>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</si>
  <si>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</si>
  <si>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</si>
  <si>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</si>
  <si>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</si>
  <si>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</si>
  <si>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</si>
  <si>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</si>
  <si>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</si>
  <si>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</si>
  <si>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</si>
  <si>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</si>
  <si>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</si>
  <si>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</si>
  <si>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</si>
  <si>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</si>
  <si>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</si>
  <si>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</si>
  <si>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</si>
  <si>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</si>
  <si>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</si>
  <si>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</si>
  <si>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</si>
  <si>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</si>
  <si>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</si>
  <si>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</si>
  <si>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</si>
  <si>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</si>
  <si>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</si>
  <si>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</si>
  <si>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</si>
  <si>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</si>
  <si>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</si>
  <si>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</si>
  <si>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</si>
  <si>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</si>
  <si>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</si>
  <si>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</si>
  <si>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</si>
  <si>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</si>
  <si>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</si>
  <si>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</si>
  <si>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</si>
  <si>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</si>
  <si>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</si>
  <si>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</si>
  <si>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</si>
  <si>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</si>
  <si>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</si>
  <si>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</si>
  <si>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</si>
  <si>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</si>
  <si>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</si>
  <si>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</si>
  <si>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</si>
  <si>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</si>
  <si>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</si>
  <si>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</si>
  <si>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</si>
  <si>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</si>
  <si>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</si>
  <si>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</si>
  <si>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</si>
  <si>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</si>
  <si>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</si>
  <si>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</si>
  <si>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</si>
  <si>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</si>
  <si>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</si>
  <si>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</si>
  <si>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</si>
  <si>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</si>
  <si>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</si>
  <si>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</si>
  <si>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</si>
  <si>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</si>
  <si>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</si>
  <si>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</si>
  <si>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</si>
  <si>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</si>
  <si>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</si>
  <si>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</si>
  <si>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</si>
  <si>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</si>
  <si>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</si>
  <si>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</si>
  <si>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</si>
  <si>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</si>
  <si>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</si>
  <si>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</si>
  <si>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</si>
  <si>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</si>
  <si>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</si>
  <si>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</si>
  <si>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</si>
  <si>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</si>
  <si>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</si>
  <si>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</si>
  <si>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</si>
  <si>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</si>
  <si>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</si>
  <si>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</si>
  <si>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</si>
  <si>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</si>
  <si>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</si>
  <si>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</si>
  <si>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</si>
  <si>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</si>
  <si>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</si>
  <si>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</si>
  <si>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</si>
  <si>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</si>
  <si>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</si>
  <si>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</si>
  <si>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</si>
  <si>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</si>
  <si>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</si>
  <si>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</si>
  <si>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</si>
  <si>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</si>
  <si>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</si>
  <si>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</si>
  <si>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</si>
  <si>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</si>
  <si>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</si>
  <si>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</si>
  <si>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</si>
  <si>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</si>
  <si>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</si>
  <si>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</si>
  <si>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</si>
  <si>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</si>
  <si>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</si>
  <si>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</si>
  <si>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</si>
  <si>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</si>
  <si>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</si>
  <si>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</si>
  <si>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</si>
  <si>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</si>
  <si>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</si>
  <si>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</si>
  <si>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</si>
  <si>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</si>
  <si>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</si>
  <si>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</si>
  <si>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</si>
  <si>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</si>
  <si>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</si>
  <si>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</si>
  <si>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</si>
  <si>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</si>
  <si>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</si>
  <si>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</si>
  <si>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</si>
  <si>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</si>
  <si>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</si>
  <si>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</si>
  <si>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</si>
  <si>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</si>
  <si>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</si>
  <si>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</si>
  <si>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</si>
  <si>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</si>
  <si>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</si>
  <si>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</si>
  <si>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</si>
  <si>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</si>
  <si>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</si>
  <si>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</si>
  <si>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</si>
  <si>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</si>
  <si>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</si>
  <si>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</si>
  <si>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</si>
  <si>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</si>
  <si>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</si>
  <si>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</si>
  <si>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</si>
  <si>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</si>
  <si>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</si>
  <si>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</si>
  <si>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</si>
  <si>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</si>
  <si>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</si>
  <si>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</si>
  <si>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</si>
  <si>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</si>
  <si>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</si>
  <si>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</si>
  <si>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</si>
  <si>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</si>
  <si>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</si>
  <si>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</si>
  <si>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</si>
  <si>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</si>
  <si>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</si>
  <si>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</si>
  <si>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</si>
  <si>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</si>
  <si>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</si>
  <si>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</si>
  <si>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</si>
  <si>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</si>
  <si>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</si>
  <si>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</si>
  <si>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</si>
  <si>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</si>
  <si>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</si>
  <si>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</si>
  <si>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</si>
  <si>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</si>
  <si>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</si>
  <si>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</si>
  <si>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</si>
  <si>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</si>
  <si>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</si>
  <si>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</si>
  <si>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</si>
  <si>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</si>
  <si>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</si>
  <si>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</si>
  <si>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</si>
  <si>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</si>
  <si>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</si>
  <si>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</si>
  <si>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</si>
  <si>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</si>
  <si>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</si>
  <si>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</si>
  <si>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</si>
  <si>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</si>
  <si>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</si>
  <si>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</si>
  <si>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</si>
  <si>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</si>
  <si>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</si>
  <si>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</si>
  <si>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</si>
  <si>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</si>
  <si>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</si>
  <si>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</si>
  <si>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</si>
  <si>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</si>
  <si>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</si>
  <si>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</si>
  <si>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</si>
  <si>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</si>
  <si>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</si>
  <si>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</si>
  <si>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</si>
  <si>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</si>
  <si>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</si>
  <si>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</si>
  <si>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</si>
  <si>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</si>
  <si>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</si>
  <si>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</si>
  <si>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</si>
  <si>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</si>
  <si>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</si>
  <si>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</si>
  <si>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</si>
  <si>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</si>
  <si>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</si>
  <si>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</si>
  <si>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</si>
  <si>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</si>
  <si>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</si>
  <si>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</si>
  <si>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</si>
  <si>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</si>
  <si>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</si>
  <si>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</si>
  <si>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</si>
  <si>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</si>
  <si>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</si>
  <si>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</si>
  <si>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</si>
  <si>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</si>
  <si>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</si>
  <si>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</si>
  <si>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</si>
  <si>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</si>
  <si>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</si>
  <si>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</si>
  <si>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</si>
  <si>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</si>
  <si>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</si>
  <si>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</si>
  <si>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</si>
  <si>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</si>
  <si>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</si>
  <si>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</si>
  <si>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</si>
  <si>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</si>
  <si>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</si>
  <si>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</si>
  <si>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</si>
  <si>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</si>
  <si>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</si>
  <si>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</si>
  <si>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</si>
  <si>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</si>
  <si>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</si>
  <si>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</si>
  <si>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</si>
  <si>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</si>
  <si>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</si>
  <si>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</si>
  <si>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</si>
  <si>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</si>
  <si>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</si>
  <si>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</si>
  <si>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</si>
  <si>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</si>
  <si>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</si>
  <si>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</si>
  <si>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</si>
  <si>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</si>
  <si>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</si>
  <si>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</si>
  <si>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</si>
  <si>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</si>
  <si>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</si>
  <si>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</si>
  <si>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</si>
  <si>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</si>
  <si>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</si>
  <si>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</si>
  <si>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</si>
  <si>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</si>
  <si>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</si>
  <si>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</si>
  <si>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</si>
  <si>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</si>
  <si>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</si>
  <si>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</si>
  <si>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</si>
  <si>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</si>
  <si>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</si>
  <si>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</si>
  <si>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</si>
  <si>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</si>
  <si>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</si>
  <si>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</si>
  <si>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</si>
  <si>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</si>
  <si>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</si>
  <si>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</si>
  <si>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</si>
  <si>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</si>
  <si>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</si>
  <si>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</si>
  <si>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</si>
  <si>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</si>
  <si>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</si>
  <si>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</si>
  <si>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</si>
  <si>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</si>
  <si>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</si>
  <si>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</si>
  <si>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</si>
  <si>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</si>
  <si>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</si>
  <si>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</si>
  <si>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</si>
  <si>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</si>
  <si>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</si>
  <si>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</si>
  <si>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</si>
  <si>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</si>
  <si>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</si>
  <si>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</si>
  <si>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</si>
  <si>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</si>
  <si>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</si>
  <si>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</si>
  <si>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</si>
  <si>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</si>
  <si>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</si>
  <si>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</si>
  <si>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</si>
  <si>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</si>
  <si>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</si>
  <si>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</si>
  <si>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</si>
  <si>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</si>
  <si>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</si>
  <si>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</si>
  <si>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</si>
  <si>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</si>
  <si>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</si>
  <si>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</si>
  <si>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</si>
  <si>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</si>
  <si>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</si>
  <si>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</si>
  <si>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</si>
  <si>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</si>
  <si>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</si>
  <si>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</si>
  <si>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</si>
  <si>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</si>
  <si>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</si>
  <si>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</si>
  <si>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</si>
  <si>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</si>
  <si>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</si>
  <si>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</si>
  <si>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</si>
  <si>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</si>
  <si>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</si>
  <si>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</si>
  <si>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</si>
  <si>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</si>
  <si>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</si>
  <si>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</si>
  <si>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</si>
  <si>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</si>
  <si>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</si>
  <si>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</si>
  <si>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</si>
  <si>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</si>
  <si>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</si>
  <si>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</si>
  <si>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</si>
  <si>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</si>
  <si>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</si>
  <si>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</si>
  <si>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</si>
  <si>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</si>
  <si>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</si>
  <si>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</si>
  <si>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</si>
  <si>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</si>
  <si>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</si>
  <si>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</si>
  <si>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</si>
  <si>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</si>
  <si>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</si>
  <si>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</si>
  <si>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</si>
  <si>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</si>
  <si>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</si>
  <si>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</si>
  <si>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</si>
  <si>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</si>
  <si>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</si>
  <si>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</si>
  <si>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</si>
  <si>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</si>
  <si>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</si>
  <si>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</si>
  <si>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</si>
  <si>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</si>
  <si>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</si>
  <si>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</si>
  <si>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</si>
  <si>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</si>
  <si>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</si>
  <si>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</si>
  <si>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</si>
  <si>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</si>
  <si>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</si>
  <si>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</si>
  <si>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</si>
  <si>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</si>
  <si>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</si>
  <si>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</si>
  <si>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</si>
  <si>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</si>
  <si>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</si>
  <si>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</si>
  <si>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</si>
  <si>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</si>
  <si>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</si>
  <si>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</si>
  <si>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</si>
  <si>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</si>
  <si>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</si>
  <si>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</si>
  <si>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</si>
  <si>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</si>
  <si>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</si>
  <si>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</si>
  <si>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</si>
  <si>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</si>
  <si>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</si>
  <si>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</si>
  <si>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</si>
  <si>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</si>
  <si>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</si>
  <si>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</si>
  <si>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</si>
  <si>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</si>
  <si>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</si>
  <si>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</si>
  <si>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</si>
  <si>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</si>
  <si>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</si>
  <si>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</si>
  <si>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</si>
  <si>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</si>
  <si>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</si>
  <si>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</si>
  <si>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</si>
  <si>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</si>
  <si>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</si>
  <si>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</si>
  <si>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</si>
  <si>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</si>
  <si>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</si>
  <si>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</si>
  <si>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</si>
  <si>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</si>
  <si>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</si>
  <si>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</si>
  <si>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</si>
  <si>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</si>
  <si>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</si>
  <si>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</si>
  <si>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</si>
  <si>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</si>
  <si>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</si>
  <si>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</si>
  <si>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</si>
  <si>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</si>
  <si>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</si>
  <si>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</si>
  <si>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</si>
  <si>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</si>
  <si>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</si>
  <si>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</si>
  <si>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</si>
  <si>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</si>
  <si>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</si>
  <si>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</si>
  <si>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</si>
  <si>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</si>
  <si>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</si>
  <si>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</si>
  <si>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</si>
  <si>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</si>
  <si>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</si>
  <si>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</si>
  <si>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</si>
  <si>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</si>
  <si>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</si>
  <si>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</si>
  <si>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</si>
  <si>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</si>
  <si>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</si>
  <si>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</si>
  <si>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</si>
  <si>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</si>
  <si>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</si>
  <si>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</si>
  <si>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</si>
  <si>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</si>
  <si>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</si>
  <si>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</si>
  <si>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</si>
  <si>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</si>
  <si>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</si>
  <si>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</si>
  <si>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</si>
  <si>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</si>
  <si>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</si>
  <si>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</si>
  <si>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</si>
  <si>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</si>
  <si>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</si>
  <si>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</si>
  <si>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</si>
  <si>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</si>
  <si>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</si>
  <si>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</si>
  <si>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</si>
  <si>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</si>
  <si>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</si>
  <si>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</si>
  <si>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</si>
  <si>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</si>
  <si>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</si>
  <si>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</si>
  <si>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</si>
  <si>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</si>
  <si>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</si>
  <si>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</si>
  <si>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</si>
  <si>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</si>
  <si>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</si>
  <si>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</si>
  <si>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</si>
  <si>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</si>
  <si>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</si>
  <si>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</si>
  <si>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</si>
  <si>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</si>
  <si>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</si>
  <si>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</si>
  <si>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</si>
  <si>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</si>
  <si>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</si>
  <si>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</si>
  <si>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</si>
  <si>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</si>
  <si>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</si>
  <si>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</si>
  <si>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</si>
  <si>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</si>
  <si>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</si>
  <si>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</si>
  <si>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</si>
  <si>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</si>
  <si>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</si>
  <si>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</si>
  <si>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</si>
  <si>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</si>
  <si>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</si>
  <si>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</si>
  <si>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</si>
  <si>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</si>
  <si>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</si>
  <si>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</si>
  <si>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</si>
  <si>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</si>
  <si>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</si>
  <si>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</si>
  <si>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</si>
  <si>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</si>
  <si>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</si>
  <si>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</si>
  <si>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</si>
  <si>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</si>
  <si>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</si>
  <si>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</si>
  <si>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</si>
  <si>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</si>
  <si>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</si>
  <si>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</si>
  <si>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</si>
  <si>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</si>
  <si>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</si>
  <si>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</si>
  <si>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</si>
  <si>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</si>
  <si>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</si>
  <si>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</si>
  <si>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</si>
  <si>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</si>
  <si>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</si>
  <si>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</si>
  <si>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</si>
  <si>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</si>
  <si>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</si>
  <si>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</si>
  <si>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</si>
  <si>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</si>
  <si>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</si>
  <si>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</si>
  <si>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</si>
  <si>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</si>
  <si>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</si>
  <si>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</si>
  <si>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</si>
  <si>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</si>
  <si>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</si>
  <si>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</si>
  <si>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</si>
  <si>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</si>
  <si>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</si>
  <si>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</si>
  <si>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</si>
  <si>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</si>
  <si>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</si>
  <si>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</si>
  <si>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</si>
  <si>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</si>
  <si>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</si>
  <si>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</si>
  <si>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</si>
  <si>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</si>
  <si>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</si>
  <si>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</si>
  <si>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</si>
  <si>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</si>
  <si>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</si>
  <si>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</si>
  <si>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</si>
  <si>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</si>
  <si>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</si>
  <si>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</si>
  <si>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</si>
  <si>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</si>
  <si>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</si>
  <si>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</si>
  <si>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</si>
  <si>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</si>
  <si>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</si>
  <si>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</si>
  <si>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</si>
  <si>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</si>
  <si>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</si>
  <si>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</si>
  <si>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</si>
  <si>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</si>
  <si>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</si>
  <si>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</si>
  <si>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</si>
  <si>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</si>
  <si>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</si>
  <si>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</si>
  <si>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</si>
  <si>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</si>
  <si>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</si>
  <si>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</si>
  <si>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</si>
  <si>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</si>
  <si>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</si>
  <si>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</si>
  <si>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</si>
  <si>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</si>
  <si>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</si>
  <si>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</si>
  <si>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</si>
  <si>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</si>
  <si>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</si>
  <si>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</si>
  <si>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</si>
  <si>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</si>
  <si>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</si>
  <si>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</si>
  <si>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</si>
  <si>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</si>
  <si>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</si>
  <si>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</si>
  <si>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</si>
  <si>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</si>
  <si>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</si>
  <si>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</si>
  <si>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</si>
  <si>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</si>
  <si>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</si>
  <si>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</si>
  <si>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</si>
  <si>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</si>
  <si>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</si>
  <si>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</si>
  <si>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</si>
  <si>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</si>
  <si>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</si>
  <si>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</si>
  <si>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</si>
  <si>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</si>
  <si>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</si>
  <si>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</si>
  <si>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</si>
  <si>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</si>
  <si>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</si>
  <si>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</si>
  <si>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</si>
  <si>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</si>
  <si>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</si>
  <si>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</si>
  <si>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</si>
  <si>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</si>
  <si>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</si>
  <si>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</si>
  <si>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</si>
  <si>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</si>
  <si>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</si>
  <si>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</si>
  <si>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</si>
  <si>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</si>
  <si>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</si>
  <si>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</si>
  <si>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</si>
  <si>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</si>
  <si>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</si>
  <si>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</si>
  <si>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</si>
  <si>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</si>
  <si>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</si>
  <si>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</si>
  <si>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</si>
  <si>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</si>
  <si>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</si>
  <si>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</si>
  <si>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</si>
  <si>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</si>
  <si>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</si>
  <si>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</si>
  <si>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</si>
  <si>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</si>
  <si>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</si>
  <si>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</si>
  <si>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</si>
  <si>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</si>
  <si>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</si>
  <si>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</si>
  <si>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</si>
  <si>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</si>
  <si>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</si>
  <si>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</si>
  <si>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</si>
  <si>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</si>
  <si>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</si>
  <si>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</si>
  <si>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</si>
  <si>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</si>
  <si>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</si>
  <si>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</si>
  <si>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</si>
  <si>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</si>
  <si>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</si>
  <si>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</si>
  <si>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</si>
  <si>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</si>
  <si>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</si>
  <si>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</si>
  <si>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</si>
  <si>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</si>
  <si>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</si>
  <si>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</si>
  <si>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</si>
  <si>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</si>
  <si>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</si>
  <si>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</si>
  <si>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</si>
  <si>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</si>
  <si>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</si>
  <si>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</si>
  <si>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</si>
  <si>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</si>
  <si>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</si>
  <si>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</si>
  <si>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</si>
  <si>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</si>
  <si>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</si>
  <si>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</si>
  <si>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</si>
  <si>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</si>
  <si>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</si>
  <si>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</si>
  <si>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</si>
  <si>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</si>
  <si>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</si>
  <si>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</si>
  <si>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</si>
  <si>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</si>
  <si>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</si>
  <si>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</si>
  <si>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</si>
  <si>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</si>
  <si>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</si>
  <si>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</si>
  <si>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</si>
  <si>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</si>
  <si>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</si>
  <si>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</si>
  <si>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</si>
  <si>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</si>
  <si>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</si>
  <si>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</si>
  <si>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</si>
  <si>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</si>
  <si>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</si>
  <si>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</si>
  <si>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</si>
  <si>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</si>
  <si>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</si>
  <si>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</si>
  <si>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</si>
  <si>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</si>
  <si>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</si>
  <si>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</si>
  <si>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</si>
  <si>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</si>
  <si>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</si>
  <si>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</si>
  <si>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</si>
  <si>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</si>
  <si>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</si>
  <si>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</si>
  <si>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</si>
  <si>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</si>
  <si>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</si>
  <si>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</si>
  <si>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</si>
  <si>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</si>
  <si>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</si>
  <si>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</si>
  <si>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</si>
  <si>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</si>
  <si>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</si>
  <si>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</si>
  <si>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</si>
  <si>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</si>
  <si>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</si>
  <si>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</si>
  <si>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</si>
  <si>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</si>
  <si>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</si>
  <si>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</si>
  <si>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</si>
  <si>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</si>
  <si>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</si>
  <si>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</si>
  <si>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</si>
  <si>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</si>
  <si>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</si>
  <si>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</si>
  <si>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</si>
  <si>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</si>
  <si>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</si>
  <si>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</si>
  <si>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</si>
  <si>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</si>
  <si>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</si>
  <si>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</si>
  <si>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</si>
  <si>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</si>
  <si>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</si>
  <si>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</si>
  <si>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</si>
  <si>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</si>
  <si>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</si>
  <si>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</si>
  <si>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</si>
  <si>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</si>
  <si>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</si>
  <si>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</si>
  <si>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</si>
  <si>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</si>
  <si>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</si>
  <si>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</si>
  <si>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</si>
  <si>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</si>
  <si>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</si>
  <si>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</si>
  <si>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</si>
  <si>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</si>
  <si>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</si>
  <si>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</si>
  <si>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</si>
  <si>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</si>
  <si>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</si>
  <si>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</si>
  <si>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</si>
  <si>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</si>
  <si>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</si>
  <si>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</si>
  <si>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</si>
  <si>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</si>
  <si>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</si>
  <si>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</si>
  <si>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</si>
  <si>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</si>
  <si>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</si>
  <si>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</si>
  <si>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</si>
  <si>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</si>
  <si>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</si>
  <si>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</si>
  <si>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</si>
  <si>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</si>
  <si>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</si>
  <si>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</si>
  <si>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</si>
  <si>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</si>
  <si>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</si>
  <si>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</si>
  <si>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</si>
  <si>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</si>
  <si>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</si>
  <si>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</si>
  <si>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</si>
  <si>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</si>
  <si>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</si>
  <si>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</si>
  <si>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</si>
  <si>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</si>
  <si>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</si>
  <si>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</si>
  <si>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</si>
  <si>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</si>
  <si>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</si>
  <si>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</si>
  <si>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</si>
  <si>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</si>
  <si>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</si>
  <si>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</si>
  <si>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</si>
  <si>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</si>
  <si>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</si>
  <si>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</si>
  <si>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</si>
  <si>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</si>
  <si>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</si>
  <si>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</si>
  <si>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</si>
  <si>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</si>
  <si>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</si>
  <si>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</si>
  <si>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</si>
  <si>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</si>
  <si>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</si>
  <si>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</si>
  <si>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</si>
  <si>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</si>
  <si>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</si>
  <si>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</si>
  <si>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</si>
  <si>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</si>
  <si>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</si>
  <si>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</si>
  <si>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</si>
  <si>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</si>
  <si>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</si>
  <si>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</si>
  <si>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</si>
  <si>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</si>
  <si>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</si>
  <si>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</si>
  <si>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</si>
  <si>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</si>
  <si>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</si>
  <si>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</si>
  <si>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</si>
  <si>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</si>
  <si>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</si>
  <si>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</si>
  <si>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</si>
  <si>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</si>
  <si>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</si>
  <si>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</si>
  <si>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</si>
  <si>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</si>
  <si>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</si>
  <si>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</si>
  <si>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</si>
  <si>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</si>
  <si>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</si>
  <si>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</si>
  <si>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</si>
  <si>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</si>
  <si>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</si>
  <si>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</si>
  <si>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</si>
  <si>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</si>
  <si>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</si>
  <si>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</si>
  <si>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</si>
  <si>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</si>
  <si>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</si>
  <si>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</si>
  <si>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</si>
  <si>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</si>
  <si>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</si>
  <si>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</si>
  <si>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</si>
  <si>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</si>
  <si>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</si>
  <si>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</si>
  <si>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</si>
  <si>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</si>
  <si>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</si>
  <si>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</si>
  <si>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</si>
  <si>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</si>
  <si>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</si>
  <si>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</si>
  <si>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</si>
  <si>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</si>
  <si>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</si>
  <si>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</si>
  <si>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</si>
  <si>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</si>
  <si>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</si>
  <si>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</si>
  <si>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</si>
  <si>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</si>
  <si>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</si>
  <si>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</si>
  <si>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</si>
  <si>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</si>
  <si>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</si>
  <si>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</si>
  <si>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</si>
  <si>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</si>
  <si>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</si>
  <si>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</si>
  <si>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</si>
  <si>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</si>
  <si>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</si>
  <si>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</si>
  <si>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</si>
  <si>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</si>
  <si>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</si>
  <si>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</si>
  <si>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</si>
  <si>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</si>
  <si>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</si>
  <si>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</si>
  <si>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</si>
  <si>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</si>
  <si>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</si>
  <si>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</si>
  <si>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</si>
  <si>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</si>
  <si>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</si>
  <si>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</si>
  <si>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</si>
  <si>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</si>
  <si>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</si>
  <si>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</si>
  <si>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</si>
  <si>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</si>
  <si>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</si>
  <si>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</si>
  <si>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</si>
  <si>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</si>
  <si>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</si>
  <si>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</si>
  <si>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</si>
  <si>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</si>
  <si>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</si>
  <si>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</si>
  <si>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</si>
  <si>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</si>
  <si>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</si>
  <si>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</si>
  <si>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</si>
  <si>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</si>
  <si>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</si>
  <si>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</si>
  <si>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</si>
  <si>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</si>
  <si>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</si>
  <si>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</si>
  <si>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</si>
  <si>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</si>
  <si>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</si>
  <si>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</si>
  <si>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</si>
  <si>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</si>
  <si>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</si>
  <si>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</si>
  <si>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</si>
  <si>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</si>
  <si>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</si>
  <si>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</si>
  <si>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</si>
  <si>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</si>
  <si>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</si>
  <si>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</si>
  <si>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</si>
  <si>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</si>
  <si>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</si>
  <si>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</si>
  <si>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</si>
  <si>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</si>
  <si>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</si>
  <si>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</si>
  <si>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</si>
  <si>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</si>
  <si>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</si>
  <si>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</si>
  <si>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</si>
  <si>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</si>
  <si>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</si>
  <si>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</si>
  <si>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</si>
  <si>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</si>
  <si>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</si>
  <si>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</si>
  <si>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</si>
  <si>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</si>
  <si>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</si>
  <si>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</si>
  <si>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</si>
  <si>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</si>
  <si>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</si>
  <si>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</si>
  <si>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</si>
  <si>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</si>
  <si>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</si>
  <si>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</si>
  <si>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</si>
  <si>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</si>
  <si>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</si>
  <si>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</si>
  <si>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</si>
  <si>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</si>
  <si>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</si>
  <si>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</si>
  <si>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</si>
  <si>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</si>
  <si>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</si>
  <si>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</si>
  <si>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</si>
  <si>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</si>
  <si>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</si>
  <si>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</si>
  <si>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</si>
  <si>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</si>
  <si>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</si>
  <si>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</si>
  <si>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</si>
  <si>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</si>
  <si>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</si>
  <si>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</si>
  <si>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</si>
  <si>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</si>
  <si>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</si>
  <si>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</si>
  <si>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</si>
  <si>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</si>
  <si>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</si>
  <si>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</si>
  <si>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</si>
  <si>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</si>
  <si>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</si>
  <si>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</si>
  <si>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</si>
  <si>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</si>
  <si>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</si>
  <si>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</si>
  <si>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</si>
  <si>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</si>
  <si>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</si>
  <si>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</si>
  <si>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</si>
  <si>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</si>
  <si>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</si>
  <si>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</si>
  <si>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</si>
  <si>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</si>
  <si>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</si>
  <si>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</si>
  <si>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</si>
  <si>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</si>
  <si>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</si>
  <si>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</si>
  <si>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</si>
  <si>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</si>
  <si>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</si>
  <si>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</si>
  <si>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</si>
  <si>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</si>
  <si>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</si>
  <si>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</si>
  <si>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</si>
  <si>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</si>
  <si>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</si>
  <si>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</si>
  <si>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</si>
  <si>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</si>
  <si>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</si>
  <si>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</si>
  <si>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</si>
  <si>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</si>
  <si>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</si>
  <si>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</si>
  <si>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</si>
  <si>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</si>
  <si>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</si>
  <si>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</si>
  <si>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</si>
  <si>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</si>
  <si>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</si>
  <si>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</si>
  <si>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</si>
  <si>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</si>
  <si>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</si>
  <si>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</si>
  <si>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</si>
  <si>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</si>
  <si>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</si>
  <si>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</si>
  <si>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</si>
  <si>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</si>
  <si>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</si>
  <si>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</si>
  <si>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</si>
  <si>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</si>
  <si>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</si>
  <si>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</si>
  <si>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</si>
  <si>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</si>
  <si>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</si>
  <si>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</si>
  <si>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</si>
  <si>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</si>
  <si>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</si>
  <si>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</si>
  <si>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</si>
  <si>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</si>
  <si>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</si>
  <si>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</si>
  <si>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</si>
  <si>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</si>
  <si>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</si>
  <si>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</si>
  <si>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</si>
  <si>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</si>
  <si>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</si>
  <si>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</si>
  <si>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</si>
  <si>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</si>
  <si>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</si>
  <si>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</si>
  <si>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</si>
  <si>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</si>
  <si>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</si>
  <si>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</si>
  <si>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</si>
  <si>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</si>
  <si>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</si>
  <si>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</si>
  <si>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</si>
  <si>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</si>
  <si>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</si>
  <si>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</si>
  <si>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</si>
  <si>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</si>
  <si>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</si>
  <si>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</si>
  <si>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</si>
  <si>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</si>
  <si>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</si>
  <si>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</si>
  <si>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</si>
  <si>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</si>
  <si>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</si>
  <si>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</si>
  <si>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</si>
  <si>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</si>
  <si>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</si>
  <si>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</si>
  <si>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</si>
  <si>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</si>
  <si>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</si>
  <si>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</si>
  <si>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</si>
  <si>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</si>
  <si>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</si>
  <si>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</si>
  <si>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</si>
  <si>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</si>
  <si>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</si>
  <si>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</si>
  <si>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</si>
  <si>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</si>
  <si>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</si>
  <si>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</si>
  <si>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</si>
  <si>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</si>
  <si>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</si>
  <si>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</si>
  <si>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</si>
  <si>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</si>
  <si>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</si>
  <si>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</si>
  <si>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</si>
  <si>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</si>
  <si>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</si>
  <si>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</si>
  <si>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</si>
  <si>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</si>
  <si>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</si>
  <si>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</si>
  <si>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</si>
  <si>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</si>
  <si>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</si>
  <si>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</si>
  <si>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</si>
  <si>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</si>
  <si>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</si>
  <si>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</si>
  <si>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</si>
  <si>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</si>
  <si>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</si>
  <si>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</si>
  <si>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</si>
  <si>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</si>
  <si>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</si>
  <si>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</si>
  <si>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</si>
  <si>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</si>
  <si>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</si>
  <si>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</si>
  <si>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</si>
  <si>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</si>
  <si>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</si>
  <si>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</si>
  <si>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</si>
  <si>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</si>
  <si>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</si>
  <si>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</si>
  <si>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</si>
  <si>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</si>
  <si>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</si>
  <si>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</si>
  <si>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</si>
  <si>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</si>
  <si>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</si>
  <si>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</si>
  <si>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</si>
  <si>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</si>
  <si>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</si>
  <si>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</si>
  <si>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</si>
  <si>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</si>
  <si>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</si>
  <si>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</si>
  <si>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</si>
  <si>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</si>
  <si>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</si>
  <si>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</si>
  <si>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</si>
  <si>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</si>
  <si>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</si>
  <si>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</si>
  <si>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</si>
  <si>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</si>
  <si>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</si>
  <si>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</si>
  <si>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</si>
  <si>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</si>
  <si>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</si>
  <si>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</si>
  <si>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</si>
  <si>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</si>
  <si>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</si>
  <si>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</si>
  <si>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</si>
  <si>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</si>
  <si>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</si>
  <si>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</si>
  <si>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</si>
  <si>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</si>
  <si>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</si>
  <si>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</si>
  <si>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</si>
  <si>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</si>
  <si>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</si>
  <si>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</si>
  <si>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</si>
  <si>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</si>
  <si>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</si>
  <si>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</si>
  <si>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</si>
  <si>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</si>
  <si>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</si>
  <si>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</si>
  <si>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</si>
  <si>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</si>
  <si>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</si>
  <si>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</si>
  <si>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</si>
  <si>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</si>
  <si>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</si>
  <si>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</si>
  <si>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</si>
  <si>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</si>
  <si>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</si>
  <si>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</si>
  <si>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</si>
  <si>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</si>
  <si>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</si>
  <si>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</si>
  <si>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</si>
  <si>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</si>
  <si>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</si>
  <si>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</si>
  <si>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</si>
  <si>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</si>
  <si>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</si>
  <si>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</si>
  <si>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</si>
  <si>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</si>
  <si>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</si>
  <si>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</si>
  <si>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</si>
  <si>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</si>
  <si>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</si>
  <si>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</si>
  <si>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</si>
  <si>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</si>
  <si>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</si>
  <si>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</si>
  <si>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</si>
  <si>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</si>
  <si>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</si>
  <si>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</si>
  <si>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</si>
  <si>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</si>
  <si>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</si>
  <si>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</si>
  <si>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</si>
  <si>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</si>
  <si>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</si>
  <si>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</si>
  <si>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</si>
  <si>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</si>
  <si>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</si>
  <si>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</si>
  <si>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</si>
  <si>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</si>
  <si>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</si>
  <si>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</si>
  <si>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</si>
  <si>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</si>
  <si>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</si>
  <si>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</si>
  <si>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</si>
  <si>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</si>
  <si>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</si>
  <si>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</si>
  <si>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</si>
  <si>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</si>
  <si>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</si>
  <si>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</si>
  <si>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</si>
  <si>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</si>
  <si>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</si>
  <si>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</si>
  <si>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</si>
  <si>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</si>
  <si>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</si>
  <si>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</si>
  <si>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</si>
  <si>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</si>
  <si>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</si>
  <si>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</si>
  <si>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</si>
  <si>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</si>
  <si>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</si>
  <si>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</si>
  <si>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</si>
  <si>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</si>
  <si>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</si>
  <si>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</si>
  <si>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</si>
  <si>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</si>
  <si>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</si>
  <si>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</si>
  <si>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</si>
  <si>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</si>
  <si>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</si>
  <si>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</si>
  <si>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</si>
  <si>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</si>
  <si>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</si>
  <si>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</si>
  <si>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</si>
  <si>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</si>
  <si>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</si>
  <si>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</si>
  <si>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</si>
  <si>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</si>
  <si>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</si>
  <si>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</si>
  <si>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</si>
  <si>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</si>
  <si>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</si>
  <si>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</si>
  <si>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</si>
  <si>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</si>
  <si>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</si>
  <si>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</si>
  <si>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</si>
  <si>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</si>
  <si>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</si>
  <si>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</si>
  <si>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</si>
  <si>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</si>
  <si>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</si>
  <si>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</si>
  <si>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</si>
  <si>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</si>
  <si>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</si>
  <si>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</si>
  <si>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</si>
  <si>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</si>
  <si>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</si>
  <si>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</si>
  <si>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</si>
  <si>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</si>
  <si>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</si>
  <si>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</si>
  <si>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</si>
  <si>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</si>
  <si>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</si>
  <si>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</si>
  <si>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</si>
  <si>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</si>
  <si>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</si>
  <si>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</si>
  <si>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</si>
  <si>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</si>
  <si>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</si>
  <si>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</si>
  <si>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</si>
  <si>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</si>
  <si>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</si>
  <si>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</si>
  <si>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</si>
  <si>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</si>
  <si>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</si>
  <si>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</si>
  <si>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</si>
  <si>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</si>
  <si>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</si>
  <si>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</si>
  <si>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</si>
  <si>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</si>
  <si>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</si>
  <si>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</si>
  <si>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</si>
  <si>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</si>
  <si>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</si>
  <si>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</si>
  <si>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</si>
  <si>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</si>
  <si>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</si>
  <si>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</si>
  <si>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</si>
  <si>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</si>
  <si>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</si>
  <si>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</si>
  <si>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</si>
  <si>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</si>
  <si>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</si>
  <si>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</si>
  <si>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</si>
  <si>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</si>
  <si>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</si>
  <si>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</si>
  <si>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</si>
  <si>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</si>
  <si>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</si>
  <si>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</si>
  <si>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</si>
  <si>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</si>
  <si>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</si>
  <si>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</si>
  <si>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</si>
  <si>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</si>
  <si>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</si>
  <si>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</si>
  <si>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</si>
  <si>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</si>
  <si>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</si>
  <si>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</si>
  <si>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</si>
  <si>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</si>
  <si>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</si>
  <si>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</si>
  <si>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</si>
  <si>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</si>
  <si>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</si>
  <si>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</si>
  <si>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</si>
  <si>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</si>
  <si>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</si>
  <si>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</si>
  <si>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</si>
  <si>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</si>
  <si>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</si>
  <si>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</si>
  <si>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</si>
  <si>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</si>
  <si>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</si>
  <si>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</si>
  <si>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</si>
  <si>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</si>
  <si>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</si>
  <si>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</si>
  <si>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</si>
  <si>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</si>
  <si>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</si>
  <si>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</si>
  <si>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</si>
  <si>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</si>
  <si>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</si>
  <si>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</si>
  <si>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</si>
  <si>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</si>
  <si>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</si>
  <si>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</si>
  <si>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</si>
  <si>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</si>
  <si>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</si>
  <si>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</si>
  <si>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</si>
  <si>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</si>
  <si>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</si>
  <si>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</si>
  <si>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</si>
  <si>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</si>
  <si>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</si>
  <si>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</si>
  <si>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</si>
  <si>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</si>
  <si>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</si>
  <si>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</si>
  <si>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</si>
  <si>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</si>
  <si>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</si>
  <si>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</si>
  <si>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</si>
  <si>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</si>
  <si>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</si>
  <si>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</si>
  <si>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</si>
  <si>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</si>
  <si>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</si>
  <si>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</si>
  <si>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</si>
  <si>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</si>
  <si>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</si>
  <si>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</si>
  <si>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</si>
  <si>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</si>
  <si>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</si>
  <si>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</si>
  <si>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</si>
  <si>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</si>
  <si>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</si>
  <si>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</si>
  <si>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</si>
  <si>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</si>
  <si>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</si>
  <si>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</si>
  <si>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</si>
  <si>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</si>
  <si>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</si>
  <si>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</si>
  <si>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</si>
  <si>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</si>
  <si>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</si>
  <si>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</si>
  <si>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</si>
  <si>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</si>
  <si>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</si>
  <si>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</si>
  <si>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</si>
  <si>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</si>
  <si>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</si>
  <si>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</si>
  <si>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</si>
  <si>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</si>
  <si>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</si>
  <si>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</si>
  <si>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</si>
  <si>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</si>
  <si>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</si>
  <si>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</si>
  <si>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</si>
  <si>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</si>
  <si>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</si>
  <si>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</si>
  <si>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</si>
  <si>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</si>
  <si>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</si>
  <si>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</si>
  <si>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</si>
  <si>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</si>
  <si>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</si>
  <si>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</si>
  <si>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</si>
  <si>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</si>
  <si>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</si>
  <si>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</si>
  <si>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</si>
  <si>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</si>
  <si>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</si>
  <si>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</si>
  <si>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</si>
  <si>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</si>
  <si>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</si>
  <si>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</si>
  <si>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</si>
  <si>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</si>
  <si>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</si>
  <si>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</si>
  <si>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</si>
  <si>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</si>
  <si>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</si>
  <si>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</si>
  <si>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</si>
  <si>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</si>
  <si>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</si>
  <si>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</si>
  <si>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</si>
  <si>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</si>
  <si>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</si>
  <si>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</si>
  <si>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</si>
  <si>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</si>
  <si>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</si>
  <si>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</si>
  <si>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</si>
  <si>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</si>
  <si>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</si>
  <si>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</si>
  <si>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</si>
  <si>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</si>
  <si>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</si>
  <si>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</si>
  <si>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</si>
  <si>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</si>
  <si>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</si>
  <si>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</si>
  <si>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</si>
  <si>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</si>
  <si>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</si>
  <si>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</si>
  <si>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</si>
  <si>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</si>
  <si>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</si>
  <si>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</si>
  <si>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</si>
  <si>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</si>
  <si>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</si>
  <si>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</si>
  <si>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</si>
  <si>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</si>
  <si>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</si>
  <si>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</si>
  <si>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</si>
  <si>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</si>
  <si>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</si>
  <si>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</si>
  <si>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</si>
  <si>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</si>
  <si>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</si>
  <si>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</si>
  <si>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</si>
  <si>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</si>
  <si>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</si>
  <si>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</si>
  <si>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</si>
  <si>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</si>
  <si>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</si>
  <si>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</si>
  <si>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</si>
  <si>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</si>
  <si>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</si>
  <si>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</si>
  <si>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</si>
  <si>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</si>
  <si>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</si>
  <si>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</si>
  <si>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</si>
  <si>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</si>
  <si>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</si>
  <si>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</si>
  <si>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</si>
  <si>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</si>
  <si>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</si>
  <si>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</si>
  <si>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</si>
  <si>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</si>
  <si>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</si>
  <si>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</si>
  <si>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</si>
  <si>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</si>
  <si>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</si>
  <si>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</si>
  <si>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</si>
  <si>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</si>
  <si>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</si>
  <si>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</si>
  <si>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</si>
  <si>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</si>
  <si>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</si>
  <si>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</si>
  <si>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</si>
  <si>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</si>
  <si>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</si>
  <si>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</si>
  <si>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</si>
  <si>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</si>
  <si>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</si>
  <si>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</si>
  <si>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</si>
  <si>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</si>
  <si>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</si>
  <si>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</si>
  <si>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</si>
  <si>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</si>
  <si>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</si>
  <si>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</si>
  <si>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</si>
  <si>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</si>
  <si>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</si>
  <si>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</si>
  <si>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</si>
  <si>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</si>
  <si>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</si>
  <si>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</si>
  <si>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</si>
  <si>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</si>
  <si>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</si>
  <si>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</si>
  <si>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</si>
  <si>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</si>
  <si>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</si>
  <si>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</si>
  <si>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</si>
  <si>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</si>
  <si>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</si>
  <si>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</si>
  <si>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</si>
  <si>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</si>
  <si>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</si>
  <si>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</si>
  <si>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</si>
  <si>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</si>
  <si>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</si>
  <si>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</si>
  <si>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</si>
  <si>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</si>
  <si>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</si>
  <si>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</si>
  <si>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</si>
  <si>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</si>
  <si>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</si>
  <si>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</si>
  <si>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</si>
  <si>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</si>
  <si>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</si>
  <si>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</si>
  <si>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</si>
  <si>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</si>
  <si>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</si>
  <si>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</si>
  <si>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</si>
  <si>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</si>
  <si>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</si>
  <si>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</si>
  <si>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</si>
  <si>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</si>
  <si>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</si>
  <si>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</si>
  <si>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</si>
  <si>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</si>
  <si>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</si>
  <si>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</si>
  <si>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</si>
  <si>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</si>
  <si>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</si>
  <si>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</si>
  <si>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</si>
  <si>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</si>
  <si>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</si>
  <si>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</si>
  <si>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</si>
  <si>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</si>
  <si>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</si>
  <si>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</si>
  <si>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</si>
  <si>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</si>
  <si>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</si>
  <si>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</si>
  <si>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</si>
  <si>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</si>
  <si>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</si>
  <si>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</si>
  <si>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</si>
  <si>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</si>
  <si>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</si>
  <si>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</si>
  <si>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</si>
  <si>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</si>
  <si>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</si>
  <si>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</si>
  <si>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</si>
  <si>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</si>
  <si>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</si>
  <si>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</si>
  <si>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</si>
  <si>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</si>
  <si>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</si>
  <si>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</si>
  <si>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</si>
  <si>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</si>
  <si>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</si>
  <si>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</si>
  <si>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</si>
  <si>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</si>
  <si>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</si>
  <si>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</si>
  <si>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</si>
  <si>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</si>
  <si>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</si>
  <si>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</si>
  <si>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</si>
  <si>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</si>
  <si>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</si>
  <si>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</si>
  <si>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</si>
  <si>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</si>
  <si>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</si>
  <si>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</si>
  <si>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</si>
  <si>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</si>
  <si>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</si>
  <si>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</si>
  <si>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</si>
  <si>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</si>
  <si>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</si>
  <si>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</si>
  <si>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</si>
  <si>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</si>
  <si>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</si>
  <si>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</si>
  <si>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</si>
  <si>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</si>
  <si>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</si>
  <si>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</si>
  <si>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</si>
  <si>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</si>
  <si>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</si>
  <si>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</si>
  <si>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</si>
  <si>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</si>
  <si>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</si>
  <si>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</si>
  <si>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</si>
  <si>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</si>
  <si>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</si>
  <si>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</si>
  <si>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</si>
  <si>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</si>
  <si>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</si>
  <si>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</si>
  <si>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</si>
  <si>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</si>
  <si>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</si>
  <si>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</si>
  <si>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</si>
  <si>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</si>
  <si>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</si>
  <si>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</si>
  <si>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</si>
  <si>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</si>
  <si>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</si>
  <si>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</si>
  <si>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</si>
  <si>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</si>
  <si>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</si>
  <si>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</si>
  <si>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</si>
  <si>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</si>
  <si>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</si>
  <si>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</si>
  <si>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</si>
  <si>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</si>
  <si>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</si>
  <si>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</si>
  <si>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</si>
  <si>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</si>
  <si>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</si>
  <si>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</si>
  <si>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</si>
  <si>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</si>
  <si>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</si>
  <si>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</si>
  <si>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</si>
  <si>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</si>
  <si>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</si>
  <si>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</si>
  <si>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</si>
  <si>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</si>
  <si>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</si>
  <si>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</si>
  <si>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</si>
  <si>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</si>
  <si>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</si>
  <si>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</si>
  <si>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</si>
  <si>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</si>
  <si>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</si>
  <si>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</si>
  <si>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</si>
  <si>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</si>
  <si>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</si>
  <si>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</si>
  <si>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</si>
  <si>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</si>
  <si>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</si>
  <si>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</si>
  <si>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</si>
  <si>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</si>
  <si>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</si>
  <si>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</si>
  <si>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</si>
  <si>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</si>
  <si>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</si>
  <si>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</si>
  <si>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</si>
  <si>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</si>
  <si>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</si>
  <si>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</si>
  <si>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</si>
  <si>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</si>
  <si>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</si>
  <si>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</si>
  <si>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</si>
  <si>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</si>
  <si>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</si>
  <si>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</si>
  <si>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</si>
  <si>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</si>
  <si>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</si>
  <si>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</si>
  <si>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</si>
  <si>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</si>
  <si>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</si>
  <si>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</si>
  <si>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</si>
  <si>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</si>
  <si>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</si>
  <si>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</si>
  <si>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</si>
  <si>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</si>
  <si>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</si>
  <si>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</si>
  <si>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</si>
  <si>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</si>
  <si>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</si>
  <si>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</si>
  <si>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</si>
  <si>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</si>
  <si>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</si>
  <si>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</si>
  <si>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</si>
  <si>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</si>
  <si>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</si>
  <si>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</si>
  <si>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</si>
  <si>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</si>
  <si>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</si>
  <si>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</si>
  <si>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</si>
  <si>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</si>
  <si>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</si>
  <si>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</si>
  <si>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</si>
  <si>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</si>
  <si>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</si>
  <si>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</si>
  <si>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</si>
  <si>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</si>
  <si>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</si>
  <si>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</si>
  <si>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</si>
  <si>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</si>
  <si>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</si>
  <si>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</si>
  <si>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</si>
  <si>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</si>
  <si>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</si>
  <si>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</si>
  <si>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</si>
  <si>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</si>
  <si>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</si>
  <si>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</si>
  <si>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</si>
  <si>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</si>
  <si>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</si>
  <si>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</si>
  <si>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</si>
  <si>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</si>
  <si>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</si>
  <si>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</si>
  <si>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</si>
  <si>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</si>
  <si>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</si>
  <si>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</si>
  <si>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</si>
  <si>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</si>
  <si>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</si>
  <si>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</si>
  <si>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</si>
  <si>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</si>
  <si>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</si>
  <si>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</si>
  <si>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</si>
  <si>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</si>
  <si>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</si>
  <si>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</si>
  <si>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</si>
  <si>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</si>
  <si>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</si>
  <si>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</si>
  <si>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</si>
  <si>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</si>
  <si>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</si>
  <si>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</si>
  <si>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</si>
  <si>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</si>
  <si>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</si>
  <si>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</si>
  <si>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</si>
  <si>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</si>
  <si>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</si>
  <si>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</si>
  <si>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</si>
  <si>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</si>
  <si>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</si>
  <si>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</si>
  <si>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</si>
  <si>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</si>
  <si>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</si>
  <si>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</si>
  <si>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</si>
  <si>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</si>
  <si>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</si>
  <si>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</si>
  <si>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</si>
  <si>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</si>
  <si>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</si>
  <si>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</si>
  <si>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</si>
  <si>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</si>
  <si>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</si>
  <si>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</si>
  <si>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</si>
  <si>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</si>
  <si>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</si>
  <si>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</si>
  <si>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</si>
  <si>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</si>
  <si>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</si>
  <si>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</si>
  <si>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</si>
  <si>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</si>
  <si>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</si>
  <si>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</si>
  <si>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</si>
  <si>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</si>
  <si>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</si>
  <si>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</si>
  <si>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</si>
  <si>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</si>
  <si>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</si>
  <si>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</si>
  <si>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</si>
  <si>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</si>
  <si>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</si>
  <si>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</si>
  <si>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</si>
  <si>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</si>
  <si>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</si>
  <si>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</si>
  <si>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</si>
  <si>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</si>
  <si>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</si>
  <si>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</si>
  <si>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</si>
  <si>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</si>
  <si>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</si>
  <si>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</si>
  <si>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</si>
  <si>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</si>
  <si>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</si>
  <si>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</si>
  <si>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</si>
  <si>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</si>
  <si>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</si>
  <si>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</si>
  <si>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</si>
  <si>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</si>
  <si>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</si>
  <si>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</si>
  <si>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</si>
  <si>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</si>
  <si>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</si>
  <si>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</si>
  <si>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</si>
  <si>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</si>
  <si>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</si>
  <si>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</si>
  <si>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</si>
  <si>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</si>
  <si>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</si>
  <si>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</si>
  <si>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</si>
  <si>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</si>
  <si>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</si>
  <si>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</si>
  <si>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</si>
  <si>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</si>
  <si>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</si>
  <si>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</si>
  <si>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</si>
  <si>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</si>
  <si>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</si>
  <si>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</si>
  <si>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</si>
  <si>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</si>
  <si>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</si>
  <si>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</si>
  <si>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</si>
  <si>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</si>
  <si>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</si>
  <si>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</si>
  <si>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</si>
  <si>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</si>
  <si>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</si>
  <si>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</si>
  <si>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</si>
  <si>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</si>
  <si>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</si>
  <si>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</si>
  <si>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</si>
  <si>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</si>
  <si>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</si>
  <si>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</si>
  <si>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</si>
  <si>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</si>
  <si>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</si>
  <si>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</si>
  <si>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</si>
  <si>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</si>
  <si>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</si>
  <si>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</si>
  <si>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</si>
  <si>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</si>
  <si>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</si>
  <si>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</si>
  <si>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</si>
  <si>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</si>
  <si>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</si>
  <si>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</si>
  <si>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</si>
  <si>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</si>
  <si>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</si>
  <si>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</si>
  <si>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</si>
  <si>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</si>
  <si>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</si>
  <si>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</si>
  <si>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</si>
  <si>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</si>
  <si>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</si>
  <si>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</si>
  <si>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</si>
  <si>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</si>
  <si>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</si>
  <si>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</si>
  <si>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</si>
  <si>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</si>
  <si>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</si>
  <si>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</si>
  <si>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</si>
  <si>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</si>
  <si>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</si>
  <si>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</si>
  <si>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</si>
  <si>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</si>
  <si>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</si>
  <si>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</si>
  <si>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</si>
  <si>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</si>
  <si>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</si>
  <si>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</si>
  <si>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</si>
  <si>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</si>
  <si>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</si>
  <si>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</si>
  <si>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</si>
  <si>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</si>
  <si>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</si>
  <si>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</si>
  <si>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</si>
  <si>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</si>
  <si>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</si>
  <si>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</si>
  <si>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</si>
  <si>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</si>
  <si>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</si>
  <si>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</si>
  <si>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</si>
  <si>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</si>
  <si>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</si>
  <si>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</si>
  <si>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</si>
  <si>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</si>
  <si>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</si>
  <si>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</si>
  <si>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</si>
  <si>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</si>
  <si>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</si>
  <si>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</si>
  <si>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</si>
  <si>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</si>
  <si>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</si>
  <si>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</si>
  <si>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</si>
  <si>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</si>
  <si>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</si>
  <si>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</si>
  <si>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</si>
  <si>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</si>
  <si>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</si>
  <si>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</si>
  <si>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</si>
  <si>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</si>
  <si>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</si>
  <si>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</si>
  <si>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</si>
  <si>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</si>
  <si>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</si>
  <si>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</si>
  <si>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</si>
  <si>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</si>
  <si>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</si>
  <si>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</si>
  <si>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</si>
  <si>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</si>
  <si>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</si>
  <si>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</si>
  <si>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</si>
  <si>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</si>
  <si>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</si>
  <si>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</si>
  <si>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</si>
  <si>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</si>
  <si>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</si>
  <si>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</si>
  <si>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</si>
  <si>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</si>
  <si>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</si>
  <si>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</si>
  <si>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</si>
  <si>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</si>
  <si>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</si>
  <si>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</si>
  <si>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</si>
  <si>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</si>
  <si>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</si>
  <si>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</si>
  <si>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</si>
  <si>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</si>
  <si>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</si>
  <si>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</si>
  <si>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</si>
  <si>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</si>
  <si>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</si>
  <si>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</si>
  <si>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</si>
  <si>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</si>
  <si>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</si>
  <si>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</si>
  <si>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</si>
  <si>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</si>
  <si>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</si>
  <si>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</si>
  <si>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</si>
  <si>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</si>
  <si>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</si>
  <si>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</si>
  <si>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</si>
  <si>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</si>
  <si>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</si>
  <si>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</si>
  <si>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</si>
  <si>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</si>
  <si>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</si>
  <si>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</si>
  <si>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</si>
  <si>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</si>
  <si>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</si>
  <si>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</si>
  <si>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</si>
  <si>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</si>
  <si>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</si>
  <si>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</si>
  <si>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</si>
  <si>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</si>
  <si>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</si>
  <si>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</si>
  <si>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</si>
  <si>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</si>
  <si>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</si>
  <si>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</si>
  <si>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</si>
  <si>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</si>
  <si>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</si>
  <si>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</si>
  <si>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</si>
  <si>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</si>
  <si>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</si>
  <si>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</si>
  <si>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</si>
  <si>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</si>
  <si>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</si>
  <si>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</si>
  <si>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</si>
  <si>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</si>
  <si>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</si>
  <si>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</si>
  <si>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</si>
  <si>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</si>
  <si>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</si>
  <si>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</si>
  <si>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</si>
  <si>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</si>
  <si>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</si>
  <si>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</si>
  <si>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</si>
  <si>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</si>
  <si>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</si>
  <si>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</si>
  <si>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</si>
  <si>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</si>
  <si>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</si>
  <si>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</si>
  <si>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</si>
  <si>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</si>
  <si>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</si>
  <si>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</si>
  <si>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</si>
  <si>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</si>
  <si>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</si>
  <si>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</si>
  <si>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</si>
  <si>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</si>
  <si>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</si>
  <si>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</si>
  <si>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</si>
  <si>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</si>
  <si>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</si>
  <si>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</si>
  <si>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</si>
  <si>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</si>
  <si>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</si>
  <si>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</si>
  <si>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</si>
  <si>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</si>
  <si>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</si>
  <si>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</si>
  <si>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</si>
  <si>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</si>
  <si>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</si>
  <si>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</si>
  <si>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</si>
  <si>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</si>
  <si>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</si>
  <si>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</si>
  <si>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</si>
  <si>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</si>
  <si>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</si>
  <si>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</si>
  <si>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</si>
  <si>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</si>
  <si>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</si>
  <si>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</si>
  <si>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</si>
  <si>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</si>
  <si>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</si>
  <si>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</si>
  <si>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</si>
  <si>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</si>
  <si>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</si>
  <si>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</si>
  <si>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</si>
  <si>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</si>
  <si>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</si>
  <si>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</si>
  <si>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</si>
  <si>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</si>
  <si>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</si>
  <si>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</si>
  <si>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</si>
  <si>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</si>
  <si>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</si>
  <si>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</si>
  <si>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</si>
  <si>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</si>
  <si>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</si>
  <si>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</si>
  <si>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</si>
  <si>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</si>
  <si>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</si>
  <si>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</si>
  <si>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</si>
  <si>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</si>
  <si>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</si>
  <si>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</si>
  <si>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</si>
  <si>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</si>
  <si>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</si>
  <si>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</si>
  <si>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</si>
  <si>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</si>
  <si>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</si>
  <si>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</si>
  <si>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</si>
  <si>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</si>
  <si>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</si>
  <si>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</si>
  <si>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</si>
  <si>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</si>
  <si>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</si>
  <si>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</si>
  <si>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</si>
  <si>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</si>
  <si>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</si>
  <si>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</si>
  <si>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</si>
  <si>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</si>
  <si>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</si>
  <si>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</si>
  <si>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</si>
  <si>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</si>
  <si>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</si>
  <si>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</si>
  <si>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</si>
  <si>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</si>
  <si>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</si>
  <si>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</si>
  <si>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</si>
  <si>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</si>
  <si>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</si>
  <si>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</si>
  <si>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</si>
  <si>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</si>
  <si>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</si>
  <si>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</si>
  <si>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</si>
  <si>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</si>
  <si>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</si>
  <si>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</si>
  <si>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</si>
  <si>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</si>
  <si>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</si>
  <si>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</si>
  <si>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</si>
  <si>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</si>
  <si>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</si>
  <si>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</si>
  <si>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</si>
  <si>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</si>
  <si>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</si>
  <si>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</si>
  <si>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</si>
  <si>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</si>
  <si>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</si>
  <si>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</si>
  <si>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</si>
  <si>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</si>
  <si>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</si>
  <si>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</si>
  <si>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</si>
  <si>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</si>
  <si>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</si>
  <si>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</si>
  <si>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</si>
  <si>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</si>
  <si>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</si>
  <si>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</si>
  <si>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</si>
  <si>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</si>
  <si>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</si>
  <si>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</si>
  <si>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</si>
  <si>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</si>
  <si>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</si>
  <si>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</si>
  <si>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</si>
  <si>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</si>
  <si>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</si>
  <si>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</si>
  <si>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</si>
  <si>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</si>
  <si>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</si>
  <si>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</si>
  <si>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</si>
  <si>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</si>
  <si>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</si>
  <si>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</si>
  <si>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</si>
  <si>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</si>
  <si>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</si>
  <si>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</si>
  <si>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</si>
  <si>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</si>
  <si>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</si>
  <si>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</si>
  <si>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</si>
  <si>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</si>
  <si>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</si>
  <si>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</si>
  <si>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</si>
  <si>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</si>
  <si>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</si>
  <si>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</si>
  <si>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</si>
  <si>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</si>
  <si>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</si>
  <si>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</si>
  <si>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</si>
  <si>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</si>
  <si>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</si>
  <si>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</si>
  <si>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</si>
  <si>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</si>
  <si>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</si>
  <si>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</si>
  <si>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</si>
  <si>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</si>
  <si>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</si>
  <si>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</si>
  <si>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</si>
  <si>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</si>
  <si>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</si>
  <si>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</si>
  <si>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</si>
  <si>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</si>
  <si>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</si>
  <si>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</si>
  <si>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</si>
  <si>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</si>
  <si>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</si>
  <si>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</si>
  <si>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</si>
  <si>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</si>
  <si>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</si>
  <si>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</si>
  <si>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</si>
  <si>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</si>
  <si>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</si>
  <si>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</si>
  <si>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</si>
  <si>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</si>
  <si>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</si>
  <si>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</si>
  <si>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</si>
  <si>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</si>
  <si>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</si>
  <si>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</si>
  <si>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</si>
  <si>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</si>
  <si>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</si>
  <si>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</si>
  <si>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</si>
  <si>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</si>
  <si>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</si>
  <si>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</si>
  <si>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</si>
  <si>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</si>
  <si>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</si>
  <si>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</si>
  <si>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</si>
  <si>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</si>
  <si>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</si>
  <si>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</si>
  <si>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</si>
  <si>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</si>
  <si>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</si>
  <si>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</si>
  <si>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</si>
  <si>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</si>
  <si>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</si>
  <si>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</si>
  <si>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</si>
  <si>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</si>
  <si>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</si>
  <si>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</si>
  <si>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</si>
  <si>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</si>
  <si>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</si>
  <si>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</si>
  <si>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</si>
  <si>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</si>
  <si>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</si>
  <si>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</si>
  <si>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</si>
  <si>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</si>
  <si>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</si>
  <si>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</si>
  <si>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</si>
  <si>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</si>
  <si>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</si>
  <si>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</si>
  <si>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</si>
  <si>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</si>
  <si>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</si>
  <si>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</si>
  <si>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</si>
  <si>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</si>
  <si>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</si>
  <si>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</si>
  <si>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</si>
  <si>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</si>
  <si>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</si>
  <si>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</si>
  <si>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</si>
  <si>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</si>
  <si>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</si>
  <si>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</si>
  <si>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</si>
  <si>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</si>
  <si>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</si>
  <si>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</si>
  <si>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</si>
  <si>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</si>
  <si>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</si>
  <si>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</si>
  <si>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</si>
  <si>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</si>
  <si>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</si>
  <si>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</si>
  <si>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</si>
  <si>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</si>
  <si>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</si>
  <si>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</si>
  <si>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</si>
  <si>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</si>
  <si>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</si>
  <si>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</si>
  <si>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</si>
  <si>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</si>
  <si>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</si>
  <si>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</si>
  <si>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</si>
  <si>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</si>
  <si>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</si>
  <si>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</si>
  <si>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</si>
  <si>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</si>
  <si>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</si>
  <si>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</si>
  <si>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</si>
  <si>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</si>
  <si>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</si>
  <si>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</si>
  <si>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</si>
  <si>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</si>
  <si>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</si>
  <si>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</si>
  <si>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</si>
  <si>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</si>
  <si>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</si>
  <si>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</si>
  <si>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</si>
  <si>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</si>
  <si>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</si>
  <si>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</si>
  <si>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</si>
  <si>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</si>
  <si>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</si>
  <si>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</si>
  <si>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</si>
  <si>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</si>
  <si>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</si>
  <si>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</si>
  <si>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</si>
  <si>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</si>
  <si>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</si>
  <si>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</si>
  <si>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</si>
  <si>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</si>
  <si>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</si>
  <si>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</si>
  <si>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</si>
  <si>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</si>
  <si>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</si>
  <si>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</si>
  <si>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</si>
  <si>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</si>
  <si>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</si>
  <si>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</si>
  <si>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</si>
  <si>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</si>
  <si>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</si>
  <si>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</si>
  <si>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</si>
  <si>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</si>
  <si>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</si>
  <si>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</si>
  <si>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</si>
  <si>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</si>
  <si>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</si>
  <si>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</si>
  <si>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</si>
  <si>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</si>
  <si>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</si>
  <si>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</si>
  <si>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</si>
  <si>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</si>
  <si>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</si>
  <si>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</si>
  <si>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</si>
  <si>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</si>
  <si>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</si>
  <si>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</si>
  <si>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</si>
  <si>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</si>
  <si>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</si>
  <si>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</si>
  <si>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</si>
  <si>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</si>
  <si>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</si>
  <si>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</si>
  <si>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</si>
  <si>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</si>
  <si>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</si>
  <si>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</si>
  <si>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</si>
  <si>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</si>
  <si>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</si>
  <si>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</si>
  <si>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</si>
  <si>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</si>
  <si>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</si>
  <si>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</si>
  <si>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</si>
  <si>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</si>
  <si>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</si>
  <si>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</si>
  <si>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</si>
  <si>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</si>
  <si>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</si>
  <si>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</si>
  <si>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</si>
  <si>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</si>
  <si>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</si>
  <si>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</si>
  <si>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</si>
  <si>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</si>
  <si>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</si>
  <si>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</si>
  <si>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</si>
  <si>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</si>
  <si>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</si>
  <si>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</si>
  <si>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</si>
  <si>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</si>
  <si>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</si>
  <si>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</si>
  <si>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</si>
  <si>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</si>
  <si>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</si>
  <si>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</si>
  <si>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</si>
  <si>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</si>
  <si>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</si>
  <si>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</si>
  <si>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</si>
  <si>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</si>
  <si>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</si>
  <si>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</si>
  <si>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</si>
  <si>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</si>
  <si>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</si>
  <si>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</si>
  <si>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</si>
  <si>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</si>
  <si>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</si>
  <si>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</si>
  <si>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</si>
  <si>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</si>
  <si>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</si>
  <si>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</si>
  <si>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</si>
  <si>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</si>
  <si>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</si>
  <si>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</si>
  <si>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</si>
  <si>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</si>
  <si>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</si>
  <si>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</si>
  <si>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</si>
  <si>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</si>
  <si>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</si>
  <si>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</si>
  <si>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</si>
  <si>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</si>
  <si>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</si>
  <si>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</si>
  <si>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</si>
  <si>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</si>
  <si>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</si>
  <si>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</si>
  <si>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</si>
  <si>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</si>
  <si>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</si>
  <si>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</si>
  <si>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</si>
  <si>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</si>
  <si>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</si>
  <si>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</si>
  <si>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</si>
  <si>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</si>
  <si>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</si>
  <si>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</si>
  <si>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</si>
  <si>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</si>
  <si>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</si>
  <si>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</si>
  <si>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</si>
  <si>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</si>
  <si>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</si>
  <si>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</si>
  <si>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</si>
  <si>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</si>
  <si>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</si>
  <si>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</si>
  <si>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</si>
  <si>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</si>
  <si>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</si>
  <si>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</si>
  <si>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</si>
  <si>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</si>
  <si>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</si>
  <si>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</si>
  <si>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</si>
  <si>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</si>
  <si>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</si>
  <si>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</si>
  <si>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</si>
  <si>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</si>
  <si>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</si>
  <si>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</si>
  <si>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</si>
  <si>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</si>
  <si>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</si>
  <si>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</si>
  <si>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</si>
  <si>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</si>
  <si>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</si>
  <si>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</si>
  <si>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</si>
  <si>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</si>
  <si>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</si>
  <si>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</si>
  <si>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</si>
  <si>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</si>
  <si>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</si>
  <si>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</si>
  <si>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</si>
  <si>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</si>
  <si>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</si>
  <si>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</si>
  <si>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</si>
  <si>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</si>
  <si>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</si>
  <si>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</si>
  <si>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</si>
  <si>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</si>
  <si>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</si>
  <si>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</si>
  <si>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</si>
  <si>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</si>
  <si>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</si>
  <si>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</si>
  <si>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</si>
  <si>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</si>
  <si>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</si>
  <si>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</si>
  <si>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</si>
  <si>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</si>
  <si>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</si>
  <si>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</si>
  <si>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</si>
  <si>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</si>
  <si>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</si>
  <si>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</si>
  <si>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</si>
  <si>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</si>
  <si>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</si>
  <si>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</si>
  <si>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</si>
  <si>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</si>
  <si>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</si>
  <si>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</si>
  <si>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</si>
  <si>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</si>
  <si>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</si>
  <si>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</si>
  <si>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</si>
  <si>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</si>
  <si>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</si>
  <si>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</si>
  <si>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</si>
  <si>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</si>
  <si>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</si>
  <si>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</si>
  <si>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</si>
  <si>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</si>
  <si>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</si>
  <si>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</si>
  <si>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</si>
  <si>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</si>
  <si>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</si>
  <si>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</si>
  <si>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</si>
  <si>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</si>
  <si>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</si>
  <si>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</si>
  <si>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</si>
  <si>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</si>
  <si>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</si>
  <si>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</si>
  <si>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</si>
  <si>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</si>
  <si>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</si>
  <si>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</si>
  <si>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</si>
  <si>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</si>
  <si>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</si>
  <si>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</si>
  <si>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</si>
  <si>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</si>
  <si>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</si>
  <si>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</si>
  <si>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</si>
  <si>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</si>
  <si>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</si>
  <si>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</si>
  <si>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</si>
  <si>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</si>
  <si>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</si>
  <si>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</si>
  <si>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</si>
  <si>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</si>
  <si>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</si>
  <si>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</si>
  <si>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</si>
  <si>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</si>
  <si>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</si>
  <si>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</si>
  <si>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</si>
  <si>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</si>
  <si>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</si>
  <si>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</si>
  <si>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</si>
  <si>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</si>
  <si>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</si>
  <si>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</si>
  <si>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</si>
  <si>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</si>
  <si>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</si>
  <si>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</si>
  <si>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</si>
  <si>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</si>
  <si>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</si>
  <si>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</si>
  <si>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</si>
  <si>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</si>
  <si>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</si>
  <si>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</si>
  <si>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</si>
  <si>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</si>
  <si>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</si>
  <si>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</si>
  <si>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</si>
  <si>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</si>
  <si>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</si>
  <si>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</si>
  <si>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</si>
  <si>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</si>
  <si>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</si>
  <si>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</si>
  <si>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</si>
  <si>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</si>
  <si>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</si>
  <si>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</si>
  <si>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</si>
  <si>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</si>
  <si>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</si>
  <si>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</si>
  <si>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</si>
  <si>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</si>
  <si>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</si>
  <si>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</si>
  <si>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</si>
  <si>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</si>
  <si>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</si>
  <si>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</si>
  <si>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</si>
  <si>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</si>
  <si>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</si>
  <si>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</si>
  <si>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</si>
  <si>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</si>
  <si>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</si>
  <si>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</si>
  <si>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</si>
  <si>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</si>
  <si>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</si>
  <si>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</si>
  <si>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</si>
  <si>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</si>
  <si>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</si>
  <si>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</si>
  <si>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</si>
  <si>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</si>
  <si>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</si>
  <si>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</si>
  <si>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</si>
  <si>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</si>
  <si>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</si>
  <si>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</si>
  <si>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</si>
  <si>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</si>
  <si>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</si>
  <si>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</si>
  <si>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</si>
  <si>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</si>
  <si>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</si>
  <si>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</si>
  <si>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</si>
  <si>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</si>
  <si>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</si>
  <si>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</si>
  <si>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</si>
  <si>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</si>
  <si>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</si>
  <si>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</si>
  <si>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</si>
  <si>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</si>
  <si>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</si>
  <si>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</si>
  <si>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</si>
  <si>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</si>
  <si>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</si>
  <si>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</si>
  <si>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</si>
  <si>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</si>
  <si>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</si>
  <si>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</si>
  <si>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</si>
  <si>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</si>
  <si>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</si>
  <si>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</si>
  <si>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</si>
  <si>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</si>
  <si>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</si>
  <si>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</si>
  <si>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</si>
  <si>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</si>
  <si>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</si>
  <si>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</si>
  <si>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</si>
  <si>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</si>
  <si>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</si>
  <si>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</si>
  <si>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</si>
  <si>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</si>
  <si>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</si>
  <si>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</si>
  <si>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</si>
  <si>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</si>
  <si>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</si>
  <si>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</si>
  <si>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</si>
  <si>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</si>
  <si>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</si>
  <si>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</si>
  <si>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</si>
  <si>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</si>
  <si>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</si>
  <si>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</si>
  <si>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</si>
  <si>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</si>
  <si>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</si>
  <si>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</si>
  <si>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</si>
  <si>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</si>
  <si>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</si>
  <si>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</si>
  <si>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</si>
  <si>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</si>
  <si>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</si>
  <si>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</si>
  <si>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</si>
  <si>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</si>
  <si>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</si>
  <si>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</si>
  <si>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</si>
  <si>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</si>
  <si>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</si>
  <si>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</si>
  <si>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</si>
  <si>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</si>
  <si>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</si>
  <si>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</si>
  <si>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</si>
  <si>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</si>
  <si>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</si>
  <si>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</si>
  <si>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</si>
  <si>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</si>
  <si>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</si>
  <si>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</si>
  <si>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</si>
  <si>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</si>
  <si>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</si>
  <si>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</si>
  <si>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</si>
  <si>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</si>
  <si>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</si>
  <si>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</si>
  <si>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</si>
  <si>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</si>
  <si>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</si>
  <si>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</si>
  <si>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</si>
  <si>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</si>
  <si>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</si>
  <si>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</si>
  <si>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</si>
  <si>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</si>
  <si>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</si>
  <si>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</si>
  <si>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</si>
  <si>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</si>
  <si>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</si>
  <si>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</si>
  <si>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</si>
  <si>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</si>
  <si>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</si>
  <si>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</si>
  <si>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</si>
  <si>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</si>
  <si>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</si>
  <si>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</si>
  <si>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</si>
  <si>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</si>
  <si>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</si>
  <si>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</si>
  <si>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</si>
  <si>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</si>
  <si>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</si>
  <si>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</si>
  <si>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</si>
  <si>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</si>
  <si>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</si>
  <si>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</si>
  <si>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</si>
  <si>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</si>
  <si>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</si>
  <si>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</si>
  <si>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</si>
  <si>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</si>
  <si>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</si>
  <si>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</si>
  <si>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</si>
  <si>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</si>
  <si>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</si>
  <si>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</si>
  <si>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</si>
  <si>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</si>
  <si>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</si>
  <si>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</si>
  <si>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</si>
  <si>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</si>
  <si>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</si>
  <si>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</si>
  <si>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</si>
  <si>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</si>
  <si>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</si>
  <si>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</si>
  <si>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</si>
  <si>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</si>
  <si>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</si>
  <si>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</si>
  <si>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</si>
  <si>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</si>
  <si>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</si>
  <si>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</si>
  <si>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</si>
  <si>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</si>
  <si>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</si>
  <si>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</si>
  <si>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</si>
  <si>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</si>
  <si>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</si>
  <si>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</si>
  <si>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</si>
  <si>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</si>
  <si>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</si>
  <si>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</si>
  <si>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</si>
  <si>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</si>
  <si>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</si>
  <si>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</si>
  <si>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</si>
  <si>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</si>
  <si>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</si>
  <si>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</si>
  <si>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</si>
  <si>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</si>
  <si>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</si>
  <si>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</si>
  <si>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</si>
  <si>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</si>
  <si>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</si>
  <si>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</si>
  <si>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</si>
  <si>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</si>
  <si>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</si>
  <si>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</si>
  <si>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</si>
  <si>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</si>
  <si>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</si>
  <si>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</si>
  <si>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</si>
  <si>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</si>
  <si>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</si>
  <si>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</si>
  <si>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</si>
  <si>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</si>
  <si>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</si>
  <si>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</si>
  <si>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</si>
  <si>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</si>
  <si>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</si>
  <si>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</si>
  <si>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</si>
  <si>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</si>
  <si>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</si>
  <si>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</si>
  <si>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</si>
  <si>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</si>
  <si>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</si>
  <si>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</si>
  <si>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</si>
  <si>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</si>
  <si>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</si>
  <si>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</si>
  <si>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</si>
  <si>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</si>
  <si>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</si>
  <si>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</si>
  <si>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</si>
  <si>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</si>
  <si>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</si>
  <si>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</si>
  <si>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</si>
  <si>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</si>
  <si>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</si>
  <si>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</si>
  <si>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</si>
  <si>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</si>
  <si>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</si>
  <si>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</si>
  <si>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</si>
  <si>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</si>
  <si>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</si>
  <si>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</si>
  <si>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</si>
  <si>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</si>
  <si>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</si>
  <si>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</si>
  <si>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</si>
  <si>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</si>
  <si>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</si>
  <si>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</si>
  <si>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</si>
  <si>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</si>
  <si>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</si>
  <si>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</si>
  <si>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</si>
  <si>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</si>
  <si>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</si>
  <si>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</si>
  <si>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</si>
  <si>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</si>
  <si>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</si>
  <si>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</si>
  <si>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</si>
  <si>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</si>
  <si>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</si>
  <si>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</si>
  <si>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</si>
  <si>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</si>
  <si>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</si>
  <si>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</si>
  <si>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</si>
  <si>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</si>
  <si>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</si>
  <si>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</si>
  <si>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</si>
  <si>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</si>
  <si>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</si>
  <si>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</si>
  <si>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</si>
  <si>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</si>
  <si>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</si>
  <si>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</si>
  <si>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</si>
  <si>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</si>
  <si>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</si>
  <si>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</si>
  <si>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</si>
  <si>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</si>
  <si>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</si>
  <si>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</si>
  <si>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</si>
  <si>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</si>
  <si>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</si>
  <si>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</si>
  <si>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</si>
  <si>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</si>
  <si>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</si>
  <si>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</si>
  <si>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</si>
  <si>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</si>
  <si>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</si>
  <si>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</si>
  <si>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</si>
  <si>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</si>
  <si>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</si>
  <si>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</si>
  <si>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</si>
  <si>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</si>
  <si>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</si>
  <si>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</si>
  <si>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</si>
  <si>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</si>
  <si>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</si>
  <si>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</si>
  <si>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</si>
  <si>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</si>
  <si>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</si>
  <si>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</si>
  <si>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</si>
  <si>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</si>
  <si>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</si>
  <si>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</si>
  <si>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</si>
  <si>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</si>
  <si>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</si>
  <si>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</si>
  <si>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</si>
  <si>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</si>
  <si>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</si>
  <si>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</si>
  <si>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</si>
  <si>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</si>
  <si>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</si>
  <si>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</si>
  <si>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</si>
  <si>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</si>
  <si>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</si>
  <si>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</si>
  <si>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</si>
  <si>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</si>
  <si>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</si>
  <si>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</si>
  <si>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</si>
  <si>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</si>
  <si>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</si>
  <si>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</si>
  <si>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</si>
  <si>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</si>
  <si>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</si>
  <si>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</si>
  <si>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</si>
  <si>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</si>
  <si>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</si>
  <si>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</si>
  <si>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</si>
  <si>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</si>
  <si>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</si>
  <si>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</si>
  <si>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</si>
  <si>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</si>
  <si>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</si>
  <si>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</si>
  <si>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</si>
  <si>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</si>
  <si>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</si>
  <si>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</si>
  <si>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</si>
  <si>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</si>
  <si>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</si>
  <si>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</si>
  <si>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</si>
  <si>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</si>
  <si>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</si>
  <si>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</si>
  <si>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</si>
  <si>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</si>
  <si>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</si>
  <si>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</si>
  <si>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</si>
  <si>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</si>
  <si>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</si>
  <si>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</si>
  <si>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</si>
  <si>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</si>
  <si>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</si>
  <si>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</si>
  <si>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</si>
  <si>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</si>
  <si>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</si>
  <si>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</si>
  <si>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</si>
  <si>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</si>
  <si>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</si>
  <si>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</si>
  <si>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</si>
  <si>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</si>
  <si>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</si>
  <si>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</si>
  <si>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</si>
  <si>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</si>
  <si>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</si>
  <si>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</si>
  <si>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</si>
  <si>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</si>
  <si>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</si>
  <si>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</si>
  <si>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</si>
  <si>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</si>
  <si>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</si>
  <si>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</si>
  <si>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</si>
  <si>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</si>
  <si>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</si>
  <si>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</si>
  <si>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</si>
  <si>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</si>
  <si>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</si>
  <si>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</si>
  <si>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</si>
  <si>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</si>
  <si>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</si>
  <si>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</si>
  <si>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</si>
  <si>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</si>
  <si>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</si>
  <si>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</si>
  <si>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</si>
  <si>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</si>
  <si>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</si>
  <si>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</si>
  <si>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</si>
  <si>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</si>
  <si>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</si>
  <si>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</si>
  <si>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</si>
  <si>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</si>
  <si>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</si>
  <si>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</si>
  <si>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</si>
  <si>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</si>
  <si>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</si>
  <si>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</si>
  <si>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</si>
  <si>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</si>
  <si>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</si>
  <si>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</si>
  <si>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</si>
  <si>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</si>
  <si>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</si>
  <si>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</si>
  <si>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</si>
  <si>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</si>
  <si>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</si>
  <si>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</si>
  <si>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</si>
  <si>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</si>
  <si>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</si>
  <si>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</si>
  <si>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</si>
  <si>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</si>
  <si>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</si>
  <si>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</si>
  <si>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</si>
  <si>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</si>
  <si>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</si>
  <si>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</si>
  <si>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</si>
  <si>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</si>
  <si>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</si>
  <si>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</si>
  <si>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</si>
  <si>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</si>
  <si>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</si>
  <si>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</si>
  <si>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</si>
  <si>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</si>
  <si>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</si>
  <si>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</si>
  <si>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</si>
  <si>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</si>
  <si>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</si>
  <si>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</si>
  <si>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</si>
  <si>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</si>
  <si>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</si>
  <si>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</si>
  <si>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</si>
  <si>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</si>
  <si>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</si>
  <si>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</si>
  <si>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</si>
  <si>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</si>
  <si>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</si>
  <si>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</si>
  <si>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</si>
  <si>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</si>
  <si>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</si>
  <si>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</si>
  <si>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</si>
  <si>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</si>
  <si>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</si>
  <si>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</si>
  <si>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</si>
  <si>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</si>
  <si>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</si>
  <si>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</si>
  <si>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</si>
  <si>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</si>
  <si>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</si>
  <si>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</si>
  <si>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</si>
  <si>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</si>
  <si>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</si>
  <si>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</si>
  <si>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</si>
  <si>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</si>
  <si>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</si>
  <si>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</si>
  <si>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</si>
  <si>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</si>
  <si>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</si>
  <si>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</si>
  <si>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</si>
  <si>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</si>
  <si>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</si>
  <si>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</si>
  <si>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</si>
  <si>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</si>
  <si>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</si>
  <si>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</si>
  <si>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</si>
  <si>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</si>
  <si>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</si>
  <si>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</si>
  <si>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</si>
  <si>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</si>
  <si>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</si>
  <si>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</si>
  <si>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</si>
  <si>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</si>
  <si>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</si>
  <si>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</si>
  <si>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</si>
  <si>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</si>
  <si>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</si>
  <si>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</si>
  <si>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</si>
  <si>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</si>
  <si>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</si>
  <si>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</si>
  <si>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</si>
  <si>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</si>
  <si>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</si>
  <si>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</si>
  <si>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</si>
  <si>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</si>
  <si>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</si>
  <si>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</si>
  <si>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</si>
  <si>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</si>
  <si>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</si>
  <si>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</si>
  <si>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</si>
  <si>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</si>
  <si>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</si>
  <si>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</si>
  <si>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</si>
  <si>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</si>
  <si>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</si>
  <si>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</si>
  <si>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</si>
  <si>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</si>
  <si>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</si>
  <si>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</si>
  <si>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</si>
  <si>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</si>
  <si>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</si>
  <si>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</si>
  <si>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</si>
  <si>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</si>
  <si>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</si>
  <si>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</si>
  <si>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</si>
  <si>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</si>
  <si>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</si>
  <si>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</si>
  <si>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</si>
  <si>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</si>
  <si>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</si>
  <si>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</si>
  <si>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</si>
  <si>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</si>
  <si>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</si>
  <si>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</si>
  <si>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</si>
  <si>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</si>
  <si>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</si>
  <si>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</si>
  <si>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</si>
  <si>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</si>
  <si>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</si>
  <si>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</si>
  <si>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</si>
  <si>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</si>
  <si>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</si>
  <si>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</si>
  <si>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</si>
  <si>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</si>
  <si>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</si>
  <si>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</si>
  <si>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</si>
  <si>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</si>
  <si>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</si>
  <si>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</si>
  <si>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</si>
  <si>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</si>
  <si>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</si>
  <si>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</si>
  <si>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</si>
  <si>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</si>
  <si>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</si>
  <si>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</si>
  <si>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</si>
  <si>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</si>
  <si>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</si>
  <si>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</si>
  <si>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</si>
  <si>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</si>
  <si>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</si>
  <si>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</si>
  <si>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</si>
  <si>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</si>
  <si>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</si>
  <si>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</si>
  <si>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</si>
  <si>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</si>
  <si>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</si>
  <si>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</si>
  <si>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</si>
  <si>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</si>
  <si>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</si>
  <si>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</si>
  <si>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</si>
  <si>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</si>
  <si>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</si>
  <si>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</si>
  <si>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</si>
  <si>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</si>
  <si>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</si>
  <si>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</si>
  <si>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</si>
  <si>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</si>
  <si>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</si>
  <si>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</si>
  <si>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</si>
  <si>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</si>
  <si>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</si>
  <si>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</si>
  <si>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</si>
  <si>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</si>
  <si>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</si>
  <si>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</si>
  <si>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</si>
  <si>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</si>
  <si>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</si>
  <si>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</si>
  <si>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</si>
  <si>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</si>
  <si>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</si>
  <si>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</si>
  <si>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</si>
  <si>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</si>
  <si>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</si>
  <si>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</si>
  <si>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</si>
  <si>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</si>
  <si>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</si>
  <si>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</si>
  <si>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</si>
  <si>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</si>
  <si>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</si>
  <si>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</si>
  <si>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</si>
  <si>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</si>
  <si>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</si>
  <si>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</si>
  <si>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</si>
  <si>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</si>
  <si>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</si>
  <si>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</si>
  <si>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</si>
  <si>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</si>
  <si>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</si>
  <si>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</si>
  <si>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</si>
  <si>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</si>
  <si>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</si>
  <si>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</si>
  <si>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</si>
  <si>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</si>
  <si>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</si>
  <si>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</si>
  <si>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</si>
  <si>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</si>
  <si>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</si>
  <si>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</si>
  <si>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</si>
  <si>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</si>
  <si>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</si>
  <si>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</si>
  <si>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</si>
  <si>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</si>
  <si>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</si>
  <si>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</si>
  <si>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</si>
  <si>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</si>
  <si>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</si>
  <si>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</si>
  <si>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</si>
  <si>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</si>
  <si>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</si>
  <si>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</si>
  <si>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</si>
  <si>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</si>
  <si>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</si>
  <si>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</si>
  <si>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</si>
  <si>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</si>
  <si>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</si>
  <si>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</si>
  <si>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</si>
  <si>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</si>
  <si>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</si>
  <si>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</si>
  <si>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</si>
  <si>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</si>
  <si>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</si>
  <si>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</si>
  <si>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</si>
  <si>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</si>
  <si>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</si>
  <si>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</si>
  <si>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</si>
  <si>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</si>
  <si>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</si>
  <si>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</si>
  <si>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</si>
  <si>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</si>
  <si>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</si>
  <si>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</si>
  <si>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</si>
  <si>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</si>
  <si>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</si>
  <si>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</si>
  <si>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</si>
  <si>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</si>
  <si>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</si>
  <si>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</si>
  <si>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</si>
  <si>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</si>
  <si>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</si>
  <si>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</si>
  <si>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</si>
  <si>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</si>
  <si>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</si>
  <si>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</si>
  <si>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</si>
  <si>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</si>
  <si>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</si>
  <si>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</si>
  <si>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</si>
  <si>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</si>
  <si>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</si>
  <si>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</si>
  <si>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</si>
  <si>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</si>
  <si>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</si>
  <si>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</si>
  <si>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</si>
  <si>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</si>
  <si>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</si>
  <si>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</si>
  <si>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</si>
  <si>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</si>
  <si>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</si>
  <si>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</si>
  <si>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</si>
  <si>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</si>
  <si>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</si>
  <si>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</si>
  <si>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</si>
  <si>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</si>
  <si>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</si>
  <si>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</si>
  <si>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</si>
  <si>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</si>
  <si>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</si>
  <si>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</si>
  <si>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</si>
  <si>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</si>
  <si>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</si>
  <si>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</si>
  <si>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</si>
  <si>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</si>
  <si>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</si>
  <si>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</si>
  <si>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</si>
  <si>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</si>
  <si>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</si>
  <si>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</si>
  <si>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</si>
  <si>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</si>
  <si>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</si>
  <si>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</si>
  <si>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</si>
  <si>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</si>
  <si>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</si>
  <si>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</si>
  <si>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</si>
  <si>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</si>
  <si>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</si>
  <si>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</si>
  <si>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</si>
  <si>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</si>
  <si>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</si>
  <si>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</si>
  <si>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</si>
  <si>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</si>
  <si>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</si>
  <si>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</si>
  <si>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</si>
  <si>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</si>
  <si>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</si>
  <si>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</si>
  <si>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</si>
  <si>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</si>
  <si>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</si>
  <si>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</si>
  <si>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</si>
  <si>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</si>
  <si>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</si>
  <si>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</si>
  <si>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</si>
  <si>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</si>
  <si>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</si>
  <si>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</si>
  <si>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</si>
  <si>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</si>
  <si>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</si>
  <si>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</si>
  <si>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</si>
  <si>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</si>
  <si>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</si>
  <si>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</si>
  <si>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</si>
  <si>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</si>
  <si>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</si>
  <si>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</si>
  <si>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</si>
  <si>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</si>
  <si>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</si>
  <si>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</si>
  <si>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</si>
  <si>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</si>
  <si>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</si>
  <si>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</si>
  <si>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</si>
  <si>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</si>
  <si>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</si>
  <si>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</si>
  <si>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</si>
  <si>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</si>
  <si>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</si>
  <si>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</si>
  <si>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</si>
  <si>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</si>
  <si>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</si>
  <si>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</si>
  <si>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</si>
  <si>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</si>
  <si>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</si>
  <si>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</si>
  <si>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</si>
  <si>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</si>
  <si>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</si>
  <si>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</si>
  <si>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</si>
  <si>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</si>
  <si>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</si>
  <si>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</si>
  <si>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</si>
  <si>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</si>
  <si>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</si>
  <si>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</si>
  <si>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</si>
  <si>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</si>
  <si>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</si>
  <si>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</si>
  <si>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</si>
  <si>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</si>
  <si>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</si>
  <si>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</si>
  <si>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</si>
  <si>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</si>
  <si>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</si>
  <si>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</si>
  <si>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</si>
  <si>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</si>
  <si>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</si>
  <si>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</si>
  <si>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</si>
  <si>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</si>
  <si>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</si>
  <si>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</si>
  <si>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</si>
  <si>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</si>
  <si>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</si>
  <si>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</si>
  <si>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</si>
  <si>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</si>
  <si>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</si>
  <si>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</si>
  <si>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</si>
  <si>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</si>
  <si>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</si>
  <si>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</si>
  <si>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</si>
  <si>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</si>
  <si>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</si>
  <si>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</si>
  <si>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</si>
  <si>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</si>
  <si>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</si>
  <si>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</si>
  <si>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</si>
  <si>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</si>
  <si>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</si>
  <si>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</si>
  <si>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</si>
  <si>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</si>
  <si>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</si>
  <si>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</si>
  <si>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</si>
  <si>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</si>
  <si>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</si>
  <si>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</si>
  <si>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</si>
  <si>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</si>
  <si>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</si>
  <si>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</si>
  <si>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</si>
  <si>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</si>
  <si>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</si>
  <si>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</si>
  <si>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</si>
  <si>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</si>
  <si>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</si>
  <si>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</si>
  <si>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</si>
  <si>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</si>
  <si>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</si>
  <si>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</si>
  <si>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</si>
  <si>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</si>
  <si>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</si>
  <si>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</si>
  <si>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</si>
  <si>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</si>
  <si>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</si>
  <si>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</si>
  <si>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</si>
  <si>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</si>
  <si>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</si>
  <si>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</si>
  <si>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</si>
  <si>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</si>
  <si>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</si>
  <si>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</si>
  <si>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</si>
  <si>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4 AGUSTUS 2022</t>
  </si>
  <si>
    <t>Kelebihan Sisa Setor TUP</t>
  </si>
  <si>
    <t>Kekurangan Sisa Setor TUP</t>
  </si>
  <si>
    <t>LS Banyak Penerima</t>
  </si>
  <si>
    <t>LS Bendahara</t>
  </si>
  <si>
    <t>SAMPAI DENGAN 8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</si>
</sst>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5">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0" fillId="0" borderId="1" xfId="0" applyFill="1" applyBorder="1" applyAlignment="1">
      <alignment horizontal="center" vertical="center"/>
    </xf>
    <xf numFmtId="0" fontId="0" fillId="2" borderId="1" xfId="0" applyFill="1" applyBorder="1" applyAlignment="1">
      <alignment horizontal="left" vertical="center"/>
    </xf>
    <xf numFmtId="41" fontId="0" fillId="2" borderId="1" xfId="0" applyNumberFormat="1" applyFill="1" applyBorder="1" applyAlignment="1">
      <alignment vertical="center"/>
    </xf>
    <xf numFmtId="43" fontId="0" fillId="2" borderId="1" xfId="0" applyNumberFormat="1" applyFill="1" applyBorder="1" applyAlignment="1">
      <alignment horizontal="center" vertical="center"/>
    </xf>
    <xf numFmtId="166" fontId="0" fillId="2" borderId="1" xfId="0" applyNumberFormat="1" applyFill="1" applyBorder="1" applyAlignment="1">
      <alignment vertical="center"/>
    </xf>
    <xf numFmtId="41" fontId="0" fillId="0" borderId="1" xfId="0" applyNumberFormat="1" applyFill="1" applyBorder="1" applyAlignment="1">
      <alignment vertical="center"/>
    </xf>
    <xf numFmtId="43" fontId="0" fillId="0" borderId="1" xfId="0" applyNumberFormat="1" applyFill="1" applyBorder="1" applyAlignment="1">
      <alignment horizontal="center" vertical="center"/>
    </xf>
    <xf numFmtId="166" fontId="0" fillId="0" borderId="1" xfId="0" applyNumberFormat="1" applyFill="1" applyBorder="1" applyAlignment="1">
      <alignment vertical="center"/>
    </xf>
    <xf numFmtId="0" fontId="0" fillId="18" borderId="1" xfId="0" applyFill="1" applyBorder="1" applyAlignment="1">
      <alignment horizontal="left" vertical="center"/>
    </xf>
    <xf numFmtId="41" fontId="0" fillId="18" borderId="1" xfId="0" applyNumberFormat="1" applyFill="1" applyBorder="1" applyAlignment="1">
      <alignment vertical="center"/>
    </xf>
    <xf numFmtId="43" fontId="0" fillId="18" borderId="1" xfId="0" applyNumberFormat="1" applyFill="1" applyBorder="1" applyAlignment="1">
      <alignment horizontal="center" vertical="center"/>
    </xf>
    <xf numFmtId="166" fontId="0" fillId="18" borderId="1" xfId="0" applyNumberFormat="1" applyFill="1" applyBorder="1" applyAlignment="1">
      <alignment vertical="center"/>
    </xf>
    <xf numFmtId="0" fontId="27" fillId="7" borderId="1" xfId="0" applyFont="1" applyFill="1" applyBorder="1" applyAlignment="1">
      <alignment horizontal="left" vertical="center"/>
    </xf>
    <xf numFmtId="41" fontId="0" fillId="7" borderId="1" xfId="0" applyNumberFormat="1" applyFill="1" applyBorder="1" applyAlignment="1">
      <alignment vertical="center"/>
    </xf>
    <xf numFmtId="43" fontId="0" fillId="7" borderId="1" xfId="0" applyNumberFormat="1" applyFill="1" applyBorder="1" applyAlignment="1">
      <alignment horizontal="center" vertical="center"/>
    </xf>
    <xf numFmtId="166" fontId="0" fillId="7" borderId="1" xfId="0" applyNumberFormat="1" applyFill="1" applyBorder="1" applyAlignment="1">
      <alignment vertical="center"/>
    </xf>
    <xf numFmtId="41" fontId="27" fillId="19" borderId="1" xfId="0" applyNumberFormat="1" applyFont="1" applyFill="1" applyBorder="1" applyAlignment="1">
      <alignment vertical="center"/>
    </xf>
    <xf numFmtId="43" fontId="27" fillId="19" borderId="1" xfId="0" applyNumberFormat="1" applyFont="1" applyFill="1" applyBorder="1" applyAlignment="1">
      <alignment horizontal="center" vertical="center"/>
    </xf>
    <xf numFmtId="166" fontId="27" fillId="19" borderId="1" xfId="0" applyNumberFormat="1" applyFont="1" applyFill="1" applyBorder="1" applyAlignment="1">
      <alignment vertical="center"/>
    </xf>
    <xf numFmtId="41" fontId="0" fillId="26" borderId="1" xfId="0" applyNumberFormat="1" applyFill="1" applyBorder="1" applyAlignment="1">
      <alignment vertical="center"/>
    </xf>
    <xf numFmtId="43" fontId="0" fillId="26" borderId="1" xfId="0" applyNumberFormat="1" applyFill="1" applyBorder="1" applyAlignment="1">
      <alignment horizontal="center" vertical="center"/>
    </xf>
    <xf numFmtId="166" fontId="0" fillId="26" borderId="1" xfId="0" applyNumberFormat="1" applyFill="1" applyBorder="1" applyAlignment="1">
      <alignment vertical="center"/>
    </xf>
    <xf numFmtId="0" fontId="0" fillId="0" borderId="1" xfId="0" applyFill="1" applyBorder="1" applyAlignment="1">
      <alignment horizontal="left" vertical="center"/>
    </xf>
    <xf numFmtId="41" fontId="0" fillId="19" borderId="1" xfId="0" applyNumberFormat="1" applyFill="1" applyBorder="1" applyAlignment="1">
      <alignment vertical="center"/>
    </xf>
    <xf numFmtId="43" fontId="0" fillId="19" borderId="1" xfId="0" applyNumberFormat="1" applyFill="1" applyBorder="1" applyAlignment="1">
      <alignment horizontal="center" vertical="center"/>
    </xf>
    <xf numFmtId="166" fontId="0" fillId="19" borderId="1" xfId="0" applyNumberFormat="1" applyFill="1" applyBorder="1" applyAlignment="1">
      <alignment vertical="center"/>
    </xf>
    <xf numFmtId="0" fontId="0" fillId="0" borderId="1" xfId="0" applyFill="1" applyBorder="1" applyAlignment="1">
      <alignment horizontal="left" vertical="center" indent="5"/>
    </xf>
    <xf numFmtId="0" fontId="27" fillId="19" borderId="1" xfId="0" applyFont="1" applyFill="1" applyBorder="1" applyAlignment="1">
      <alignment horizontal="left" vertical="center" indent="2"/>
    </xf>
    <xf numFmtId="0" fontId="0" fillId="26" borderId="1" xfId="0" applyFill="1" applyBorder="1" applyAlignment="1">
      <alignment horizontal="left" vertical="center" indent="3"/>
    </xf>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460">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123898</xdr:colOff>
      <xdr:row>8</xdr:row>
      <xdr:rowOff>53710</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14</xdr:row>
      <xdr:rowOff>80921</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28</xdr:row>
      <xdr:rowOff>63953</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4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0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8.712673726855"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3"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084">
    <format dxfId="2420">
      <pivotArea outline="0" collapsedLevelsAreSubtotals="1" fieldPosition="0">
        <references count="1">
          <reference field="4294967294" count="1" selected="0">
            <x v="1"/>
          </reference>
        </references>
      </pivotArea>
    </format>
    <format dxfId="2419">
      <pivotArea dataOnly="0" labelOnly="1" fieldPosition="0">
        <references count="1">
          <reference field="3" count="0"/>
        </references>
      </pivotArea>
    </format>
    <format dxfId="2418">
      <pivotArea dataOnly="0" labelOnly="1" fieldPosition="0">
        <references count="1">
          <reference field="5" count="0"/>
        </references>
      </pivotArea>
    </format>
    <format dxfId="2417">
      <pivotArea dataOnly="0" labelOnly="1" fieldPosition="0">
        <references count="1">
          <reference field="9" count="0"/>
        </references>
      </pivotArea>
    </format>
    <format dxfId="2416">
      <pivotArea dataOnly="0" labelOnly="1" fieldPosition="0">
        <references count="1">
          <reference field="11" count="0"/>
        </references>
      </pivotArea>
    </format>
    <format dxfId="2415">
      <pivotArea dataOnly="0" labelOnly="1" fieldPosition="0">
        <references count="1">
          <reference field="13" count="0"/>
        </references>
      </pivotArea>
    </format>
    <format dxfId="2414">
      <pivotArea dataOnly="0" labelOnly="1" outline="0" fieldPosition="0">
        <references count="1">
          <reference field="4294967294" count="1">
            <x v="1"/>
          </reference>
        </references>
      </pivotArea>
    </format>
    <format dxfId="2413">
      <pivotArea type="all" dataOnly="0" outline="0" fieldPosition="0"/>
    </format>
    <format dxfId="2412">
      <pivotArea outline="0" collapsedLevelsAreSubtotals="1" fieldPosition="0"/>
    </format>
    <format dxfId="2411">
      <pivotArea field="3" type="button" dataOnly="0" labelOnly="1" outline="0" axis="axisRow" fieldPosition="1"/>
    </format>
    <format dxfId="2410">
      <pivotArea dataOnly="0" labelOnly="1" fieldPosition="0">
        <references count="1">
          <reference field="3" count="0"/>
        </references>
      </pivotArea>
    </format>
    <format dxfId="2409">
      <pivotArea dataOnly="0" labelOnly="1" grandRow="1" outline="0" fieldPosition="0"/>
    </format>
    <format dxfId="2408">
      <pivotArea dataOnly="0" labelOnly="1" fieldPosition="0">
        <references count="2">
          <reference field="3" count="1" selected="0">
            <x v="0"/>
          </reference>
          <reference field="5" count="1">
            <x v="0"/>
          </reference>
        </references>
      </pivotArea>
    </format>
    <format dxfId="2407">
      <pivotArea dataOnly="0" labelOnly="1" fieldPosition="0">
        <references count="2">
          <reference field="3" count="1" selected="0">
            <x v="1"/>
          </reference>
          <reference field="5" count="2">
            <x v="1"/>
            <x v="2"/>
          </reference>
        </references>
      </pivotArea>
    </format>
    <format dxfId="2406">
      <pivotArea dataOnly="0" labelOnly="1" fieldPosition="0">
        <references count="3">
          <reference field="3" count="1" selected="0">
            <x v="0"/>
          </reference>
          <reference field="5" count="1" selected="0">
            <x v="0"/>
          </reference>
          <reference field="9" count="1">
            <x v="0"/>
          </reference>
        </references>
      </pivotArea>
    </format>
    <format dxfId="2405">
      <pivotArea dataOnly="0" labelOnly="1" fieldPosition="0">
        <references count="3">
          <reference field="3" count="1" selected="0">
            <x v="1"/>
          </reference>
          <reference field="5" count="1" selected="0">
            <x v="1"/>
          </reference>
          <reference field="9" count="8">
            <x v="1"/>
            <x v="2"/>
            <x v="3"/>
            <x v="4"/>
            <x v="5"/>
            <x v="6"/>
            <x v="7"/>
            <x v="8"/>
          </reference>
        </references>
      </pivotArea>
    </format>
    <format dxfId="2404">
      <pivotArea dataOnly="0" labelOnly="1" fieldPosition="0">
        <references count="3">
          <reference field="3" count="1" selected="0">
            <x v="1"/>
          </reference>
          <reference field="5" count="1" selected="0">
            <x v="2"/>
          </reference>
          <reference field="9" count="1">
            <x v="9"/>
          </reference>
        </references>
      </pivotArea>
    </format>
    <format dxfId="240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40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40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40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39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39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39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39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39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39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39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39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39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39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38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38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38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38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38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38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38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38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38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38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37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378">
      <pivotArea dataOnly="0" labelOnly="1" outline="0" fieldPosition="0">
        <references count="1">
          <reference field="4294967294" count="1">
            <x v="1"/>
          </reference>
        </references>
      </pivotArea>
    </format>
    <format dxfId="2377">
      <pivotArea type="all" dataOnly="0" outline="0" fieldPosition="0"/>
    </format>
    <format dxfId="2376">
      <pivotArea outline="0" collapsedLevelsAreSubtotals="1" fieldPosition="0"/>
    </format>
    <format dxfId="2375">
      <pivotArea field="3" type="button" dataOnly="0" labelOnly="1" outline="0" axis="axisRow" fieldPosition="1"/>
    </format>
    <format dxfId="2374">
      <pivotArea dataOnly="0" labelOnly="1" fieldPosition="0">
        <references count="1">
          <reference field="3" count="0"/>
        </references>
      </pivotArea>
    </format>
    <format dxfId="2373">
      <pivotArea dataOnly="0" labelOnly="1" grandRow="1" outline="0" fieldPosition="0"/>
    </format>
    <format dxfId="2372">
      <pivotArea dataOnly="0" labelOnly="1" fieldPosition="0">
        <references count="2">
          <reference field="3" count="1" selected="0">
            <x v="0"/>
          </reference>
          <reference field="5" count="1">
            <x v="0"/>
          </reference>
        </references>
      </pivotArea>
    </format>
    <format dxfId="2371">
      <pivotArea dataOnly="0" labelOnly="1" fieldPosition="0">
        <references count="2">
          <reference field="3" count="1" selected="0">
            <x v="1"/>
          </reference>
          <reference field="5" count="2">
            <x v="1"/>
            <x v="2"/>
          </reference>
        </references>
      </pivotArea>
    </format>
    <format dxfId="2370">
      <pivotArea dataOnly="0" labelOnly="1" fieldPosition="0">
        <references count="3">
          <reference field="3" count="1" selected="0">
            <x v="0"/>
          </reference>
          <reference field="5" count="1" selected="0">
            <x v="0"/>
          </reference>
          <reference field="9" count="1">
            <x v="0"/>
          </reference>
        </references>
      </pivotArea>
    </format>
    <format dxfId="2369">
      <pivotArea dataOnly="0" labelOnly="1" fieldPosition="0">
        <references count="3">
          <reference field="3" count="1" selected="0">
            <x v="1"/>
          </reference>
          <reference field="5" count="1" selected="0">
            <x v="1"/>
          </reference>
          <reference field="9" count="8">
            <x v="1"/>
            <x v="2"/>
            <x v="3"/>
            <x v="4"/>
            <x v="5"/>
            <x v="6"/>
            <x v="7"/>
            <x v="8"/>
          </reference>
        </references>
      </pivotArea>
    </format>
    <format dxfId="2368">
      <pivotArea dataOnly="0" labelOnly="1" fieldPosition="0">
        <references count="3">
          <reference field="3" count="1" selected="0">
            <x v="1"/>
          </reference>
          <reference field="5" count="1" selected="0">
            <x v="2"/>
          </reference>
          <reference field="9" count="1">
            <x v="9"/>
          </reference>
        </references>
      </pivotArea>
    </format>
    <format dxfId="236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36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36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36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36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36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36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36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35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35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35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35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35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35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35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35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35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35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34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34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34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34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34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34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34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342">
      <pivotArea dataOnly="0" labelOnly="1" outline="0" fieldPosition="0">
        <references count="1">
          <reference field="4294967294" count="1">
            <x v="1"/>
          </reference>
        </references>
      </pivotArea>
    </format>
    <format dxfId="2341">
      <pivotArea collapsedLevelsAreSubtotals="1" fieldPosition="0">
        <references count="1">
          <reference field="3" count="1">
            <x v="0"/>
          </reference>
        </references>
      </pivotArea>
    </format>
    <format dxfId="2340">
      <pivotArea collapsedLevelsAreSubtotals="1" fieldPosition="0">
        <references count="1">
          <reference field="3" count="1">
            <x v="1"/>
          </reference>
        </references>
      </pivotArea>
    </format>
    <format dxfId="2339">
      <pivotArea collapsedLevelsAreSubtotals="1" fieldPosition="0">
        <references count="3">
          <reference field="3" count="1" selected="0">
            <x v="0"/>
          </reference>
          <reference field="5" count="1" selected="0">
            <x v="0"/>
          </reference>
          <reference field="9" count="1">
            <x v="0"/>
          </reference>
        </references>
      </pivotArea>
    </format>
    <format dxfId="2338">
      <pivotArea collapsedLevelsAreSubtotals="1" fieldPosition="0">
        <references count="3">
          <reference field="3" count="1" selected="0">
            <x v="1"/>
          </reference>
          <reference field="5" count="1" selected="0">
            <x v="1"/>
          </reference>
          <reference field="9" count="1">
            <x v="1"/>
          </reference>
        </references>
      </pivotArea>
    </format>
    <format dxfId="2337">
      <pivotArea collapsedLevelsAreSubtotals="1" fieldPosition="0">
        <references count="3">
          <reference field="3" count="1" selected="0">
            <x v="1"/>
          </reference>
          <reference field="5" count="1" selected="0">
            <x v="1"/>
          </reference>
          <reference field="9" count="1">
            <x v="2"/>
          </reference>
        </references>
      </pivotArea>
    </format>
    <format dxfId="2336">
      <pivotArea collapsedLevelsAreSubtotals="1" fieldPosition="0">
        <references count="3">
          <reference field="3" count="1" selected="0">
            <x v="1"/>
          </reference>
          <reference field="5" count="1" selected="0">
            <x v="1"/>
          </reference>
          <reference field="9" count="1">
            <x v="3"/>
          </reference>
        </references>
      </pivotArea>
    </format>
    <format dxfId="2335">
      <pivotArea collapsedLevelsAreSubtotals="1" fieldPosition="0">
        <references count="3">
          <reference field="3" count="1" selected="0">
            <x v="1"/>
          </reference>
          <reference field="5" count="1" selected="0">
            <x v="1"/>
          </reference>
          <reference field="9" count="1">
            <x v="4"/>
          </reference>
        </references>
      </pivotArea>
    </format>
    <format dxfId="2334">
      <pivotArea collapsedLevelsAreSubtotals="1" fieldPosition="0">
        <references count="3">
          <reference field="3" count="1" selected="0">
            <x v="1"/>
          </reference>
          <reference field="5" count="1" selected="0">
            <x v="1"/>
          </reference>
          <reference field="9" count="1">
            <x v="5"/>
          </reference>
        </references>
      </pivotArea>
    </format>
    <format dxfId="2333">
      <pivotArea collapsedLevelsAreSubtotals="1" fieldPosition="0">
        <references count="3">
          <reference field="3" count="1" selected="0">
            <x v="1"/>
          </reference>
          <reference field="5" count="1" selected="0">
            <x v="1"/>
          </reference>
          <reference field="9" count="1">
            <x v="6"/>
          </reference>
        </references>
      </pivotArea>
    </format>
    <format dxfId="2332">
      <pivotArea collapsedLevelsAreSubtotals="1" fieldPosition="0">
        <references count="3">
          <reference field="3" count="1" selected="0">
            <x v="1"/>
          </reference>
          <reference field="5" count="1" selected="0">
            <x v="1"/>
          </reference>
          <reference field="9" count="1">
            <x v="7"/>
          </reference>
        </references>
      </pivotArea>
    </format>
    <format dxfId="2331">
      <pivotArea collapsedLevelsAreSubtotals="1" fieldPosition="0">
        <references count="3">
          <reference field="3" count="1" selected="0">
            <x v="1"/>
          </reference>
          <reference field="5" count="1" selected="0">
            <x v="1"/>
          </reference>
          <reference field="9" count="1">
            <x v="8"/>
          </reference>
        </references>
      </pivotArea>
    </format>
    <format dxfId="2330">
      <pivotArea collapsedLevelsAreSubtotals="1" fieldPosition="0">
        <references count="3">
          <reference field="3" count="1" selected="0">
            <x v="1"/>
          </reference>
          <reference field="5" count="1" selected="0">
            <x v="2"/>
          </reference>
          <reference field="9" count="1">
            <x v="9"/>
          </reference>
        </references>
      </pivotArea>
    </format>
    <format dxfId="232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328">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32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32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32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32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323">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32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32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32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31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318">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31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31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31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31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31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31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31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31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30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308">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30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30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30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3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30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30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30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3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29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29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29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29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29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29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29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29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29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29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28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28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28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28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28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28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28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28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28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28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27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27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27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27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27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27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273">
      <pivotArea collapsedLevelsAreSubtotals="1" fieldPosition="0">
        <references count="2">
          <reference field="3" count="1" selected="0">
            <x v="1"/>
          </reference>
          <reference field="5" count="1">
            <x v="1"/>
          </reference>
        </references>
      </pivotArea>
    </format>
    <format dxfId="2272">
      <pivotArea field="3" type="button" dataOnly="0" labelOnly="1" outline="0" axis="axisRow" fieldPosition="1"/>
    </format>
    <format dxfId="2271">
      <pivotArea collapsedLevelsAreSubtotals="1" fieldPosition="0">
        <references count="2">
          <reference field="3" count="1" selected="0">
            <x v="1"/>
          </reference>
          <reference field="5" count="1">
            <x v="2"/>
          </reference>
        </references>
      </pivotArea>
    </format>
    <format dxfId="2270">
      <pivotArea collapsedLevelsAreSubtotals="1" fieldPosition="0">
        <references count="2">
          <reference field="3" count="1" selected="0">
            <x v="0"/>
          </reference>
          <reference field="5" count="1">
            <x v="0"/>
          </reference>
        </references>
      </pivotArea>
    </format>
    <format dxfId="2269">
      <pivotArea field="3" type="button" dataOnly="0" labelOnly="1" outline="0" axis="axisRow" fieldPosition="1"/>
    </format>
    <format dxfId="2268">
      <pivotArea dataOnly="0" labelOnly="1" outline="0" fieldPosition="0">
        <references count="1">
          <reference field="4294967294" count="1">
            <x v="1"/>
          </reference>
        </references>
      </pivotArea>
    </format>
    <format dxfId="2267">
      <pivotArea field="3" type="button" dataOnly="0" labelOnly="1" outline="0" axis="axisRow" fieldPosition="1"/>
    </format>
    <format dxfId="2266">
      <pivotArea dataOnly="0" labelOnly="1" outline="0" fieldPosition="0">
        <references count="1">
          <reference field="4294967294" count="1">
            <x v="1"/>
          </reference>
        </references>
      </pivotArea>
    </format>
    <format dxfId="2265">
      <pivotArea field="3" type="button" dataOnly="0" labelOnly="1" outline="0" axis="axisRow" fieldPosition="1"/>
    </format>
    <format dxfId="2264">
      <pivotArea dataOnly="0" labelOnly="1" fieldPosition="0">
        <references count="1">
          <reference field="3" count="0"/>
        </references>
      </pivotArea>
    </format>
    <format dxfId="2263">
      <pivotArea dataOnly="0" labelOnly="1" grandRow="1" outline="0" fieldPosition="0"/>
    </format>
    <format dxfId="2262">
      <pivotArea dataOnly="0" labelOnly="1" fieldPosition="0">
        <references count="2">
          <reference field="3" count="1" selected="0">
            <x v="0"/>
          </reference>
          <reference field="5" count="1">
            <x v="0"/>
          </reference>
        </references>
      </pivotArea>
    </format>
    <format dxfId="2261">
      <pivotArea dataOnly="0" labelOnly="1" fieldPosition="0">
        <references count="2">
          <reference field="3" count="1" selected="0">
            <x v="1"/>
          </reference>
          <reference field="5" count="2">
            <x v="1"/>
            <x v="2"/>
          </reference>
        </references>
      </pivotArea>
    </format>
    <format dxfId="2260">
      <pivotArea dataOnly="0" labelOnly="1" fieldPosition="0">
        <references count="3">
          <reference field="3" count="1" selected="0">
            <x v="0"/>
          </reference>
          <reference field="5" count="1" selected="0">
            <x v="0"/>
          </reference>
          <reference field="9" count="1">
            <x v="0"/>
          </reference>
        </references>
      </pivotArea>
    </format>
    <format dxfId="2259">
      <pivotArea dataOnly="0" labelOnly="1" fieldPosition="0">
        <references count="3">
          <reference field="3" count="1" selected="0">
            <x v="1"/>
          </reference>
          <reference field="5" count="1" selected="0">
            <x v="1"/>
          </reference>
          <reference field="9" count="8">
            <x v="1"/>
            <x v="2"/>
            <x v="3"/>
            <x v="4"/>
            <x v="5"/>
            <x v="6"/>
            <x v="7"/>
            <x v="8"/>
          </reference>
        </references>
      </pivotArea>
    </format>
    <format dxfId="2258">
      <pivotArea dataOnly="0" labelOnly="1" fieldPosition="0">
        <references count="3">
          <reference field="3" count="1" selected="0">
            <x v="1"/>
          </reference>
          <reference field="5" count="1" selected="0">
            <x v="2"/>
          </reference>
          <reference field="9" count="1">
            <x v="9"/>
          </reference>
        </references>
      </pivotArea>
    </format>
    <format dxfId="225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25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25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25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25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25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25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25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24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24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24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24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24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24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24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24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24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24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23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23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23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23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23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23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23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232">
      <pivotArea dataOnly="0" labelOnly="1" fieldPosition="0">
        <references count="1">
          <reference field="13" count="0"/>
        </references>
      </pivotArea>
    </format>
    <format dxfId="2231">
      <pivotArea dataOnly="0" labelOnly="1" fieldPosition="0">
        <references count="1">
          <reference field="13" count="0"/>
        </references>
      </pivotArea>
    </format>
    <format dxfId="2230">
      <pivotArea type="all" dataOnly="0" outline="0" fieldPosition="0"/>
    </format>
    <format dxfId="2229">
      <pivotArea outline="0" collapsedLevelsAreSubtotals="1" fieldPosition="0"/>
    </format>
    <format dxfId="2228">
      <pivotArea field="33" type="button" dataOnly="0" labelOnly="1" outline="0" axis="axisRow" fieldPosition="0"/>
    </format>
    <format dxfId="2227">
      <pivotArea dataOnly="0" labelOnly="1" grandRow="1" outline="0" fieldPosition="0"/>
    </format>
    <format dxfId="2226">
      <pivotArea dataOnly="0" labelOnly="1" fieldPosition="0">
        <references count="2">
          <reference field="3" count="0"/>
          <reference field="33" count="0" selected="0"/>
        </references>
      </pivotArea>
    </format>
    <format dxfId="2225">
      <pivotArea dataOnly="0" labelOnly="1" fieldPosition="0">
        <references count="3">
          <reference field="3" count="1" selected="0">
            <x v="0"/>
          </reference>
          <reference field="5" count="1">
            <x v="0"/>
          </reference>
          <reference field="33" count="0" selected="0"/>
        </references>
      </pivotArea>
    </format>
    <format dxfId="2224">
      <pivotArea dataOnly="0" labelOnly="1" fieldPosition="0">
        <references count="3">
          <reference field="3" count="1" selected="0">
            <x v="1"/>
          </reference>
          <reference field="5" count="2">
            <x v="1"/>
            <x v="2"/>
          </reference>
          <reference field="33" count="0" selected="0"/>
        </references>
      </pivotArea>
    </format>
    <format dxfId="222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22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22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22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21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21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21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21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21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21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213">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221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21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21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20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20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20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2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2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20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20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20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20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20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1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198">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219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19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195">
      <pivotArea dataOnly="0" labelOnly="1" outline="0" fieldPosition="0">
        <references count="1">
          <reference field="4294967294" count="1">
            <x v="1"/>
          </reference>
        </references>
      </pivotArea>
    </format>
    <format dxfId="2194">
      <pivotArea dataOnly="0" labelOnly="1" fieldPosition="0">
        <references count="1">
          <reference field="34" count="0"/>
        </references>
      </pivotArea>
    </format>
    <format dxfId="2193">
      <pivotArea dataOnly="0" labelOnly="1" fieldPosition="0">
        <references count="1">
          <reference field="35" count="0"/>
        </references>
      </pivotArea>
    </format>
    <format dxfId="2192">
      <pivotArea dataOnly="0" labelOnly="1" fieldPosition="0">
        <references count="1">
          <reference field="35" count="0"/>
        </references>
      </pivotArea>
    </format>
    <format dxfId="2191">
      <pivotArea dataOnly="0" labelOnly="1" fieldPosition="0">
        <references count="1">
          <reference field="35" count="0"/>
        </references>
      </pivotArea>
    </format>
    <format dxfId="2190">
      <pivotArea dataOnly="0" labelOnly="1" fieldPosition="0">
        <references count="1">
          <reference field="35" count="0"/>
        </references>
      </pivotArea>
    </format>
    <format dxfId="2189">
      <pivotArea dataOnly="0" labelOnly="1" fieldPosition="0">
        <references count="1">
          <reference field="34" count="0"/>
        </references>
      </pivotArea>
    </format>
    <format dxfId="2188">
      <pivotArea dataOnly="0" labelOnly="1" fieldPosition="0">
        <references count="1">
          <reference field="34" count="0"/>
        </references>
      </pivotArea>
    </format>
    <format dxfId="2187">
      <pivotArea dataOnly="0" labelOnly="1" fieldPosition="0">
        <references count="1">
          <reference field="34" count="0"/>
        </references>
      </pivotArea>
    </format>
    <format dxfId="2186">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2185">
      <pivotArea dataOnly="0" labelOnly="1" fieldPosition="0">
        <references count="4">
          <reference field="3" count="1" selected="0">
            <x v="0"/>
          </reference>
          <reference field="5" count="1" selected="0">
            <x v="0"/>
          </reference>
          <reference field="33" count="0" selected="0"/>
          <reference field="34" count="1">
            <x v="0"/>
          </reference>
        </references>
      </pivotArea>
    </format>
    <format dxfId="2184">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2183">
      <pivotArea dataOnly="0" labelOnly="1" fieldPosition="0">
        <references count="4">
          <reference field="3" count="1" selected="0">
            <x v="0"/>
          </reference>
          <reference field="5" count="1" selected="0">
            <x v="0"/>
          </reference>
          <reference field="33" count="0" selected="0"/>
          <reference field="34" count="1">
            <x v="1"/>
          </reference>
        </references>
      </pivotArea>
    </format>
    <format dxfId="218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2181">
      <pivotArea dataOnly="0" labelOnly="1" fieldPosition="0">
        <references count="4">
          <reference field="3" count="1" selected="0">
            <x v="1"/>
          </reference>
          <reference field="5" count="1" selected="0">
            <x v="1"/>
          </reference>
          <reference field="33" count="0" selected="0"/>
          <reference field="34" count="1">
            <x v="0"/>
          </reference>
        </references>
      </pivotArea>
    </format>
    <format dxfId="2180">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2179">
      <pivotArea dataOnly="0" labelOnly="1" fieldPosition="0">
        <references count="4">
          <reference field="3" count="1" selected="0">
            <x v="1"/>
          </reference>
          <reference field="5" count="1" selected="0">
            <x v="1"/>
          </reference>
          <reference field="33" count="0" selected="0"/>
          <reference field="34" count="1">
            <x v="1"/>
          </reference>
        </references>
      </pivotArea>
    </format>
    <format dxfId="2178">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2177">
      <pivotArea dataOnly="0" labelOnly="1" fieldPosition="0">
        <references count="4">
          <reference field="3" count="1" selected="0">
            <x v="1"/>
          </reference>
          <reference field="5" count="1" selected="0">
            <x v="1"/>
          </reference>
          <reference field="33" count="0" selected="0"/>
          <reference field="34" count="1">
            <x v="2"/>
          </reference>
        </references>
      </pivotArea>
    </format>
    <format dxfId="2176">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2175">
      <pivotArea dataOnly="0" labelOnly="1" fieldPosition="0">
        <references count="4">
          <reference field="3" count="1" selected="0">
            <x v="1"/>
          </reference>
          <reference field="5" count="1" selected="0">
            <x v="1"/>
          </reference>
          <reference field="33" count="0" selected="0"/>
          <reference field="34" count="1">
            <x v="3"/>
          </reference>
        </references>
      </pivotArea>
    </format>
    <format dxfId="2174">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2173">
      <pivotArea dataOnly="0" labelOnly="1" fieldPosition="0">
        <references count="4">
          <reference field="3" count="1" selected="0">
            <x v="1"/>
          </reference>
          <reference field="5" count="1" selected="0">
            <x v="2"/>
          </reference>
          <reference field="33" count="0" selected="0"/>
          <reference field="34" count="1">
            <x v="2"/>
          </reference>
        </references>
      </pivotArea>
    </format>
    <format dxfId="217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171">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17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169">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16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16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16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165">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164">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16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16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161">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16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159">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15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15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15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155">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154">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153">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15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151">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150">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14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148">
      <pivotArea dataOnly="0" labelOnly="1" fieldPosition="0">
        <references count="1">
          <reference field="33" count="0"/>
        </references>
      </pivotArea>
    </format>
    <format dxfId="2147">
      <pivotArea collapsedLevelsAreSubtotals="1" fieldPosition="0">
        <references count="1">
          <reference field="33" count="0"/>
        </references>
      </pivotArea>
    </format>
    <format dxfId="2146">
      <pivotArea dataOnly="0" labelOnly="1" fieldPosition="0">
        <references count="1">
          <reference field="33" count="0"/>
        </references>
      </pivotArea>
    </format>
    <format dxfId="2145">
      <pivotArea dataOnly="0" labelOnly="1" fieldPosition="0">
        <references count="1">
          <reference field="13" count="0"/>
        </references>
      </pivotArea>
    </format>
    <format dxfId="214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14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14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14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14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13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138">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13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13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13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13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13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13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13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13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1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12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1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12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21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212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1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12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212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212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211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2118">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11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11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11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11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211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211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211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211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210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210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10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10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10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10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10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10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10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10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0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09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09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09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09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09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09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09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09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09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0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08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08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08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08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08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208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208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208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208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207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207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207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207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207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207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07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07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07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07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06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06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06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06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206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206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06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062">
      <pivotArea dataOnly="0" labelOnly="1" fieldPosition="0">
        <references count="1">
          <reference field="11" count="0"/>
        </references>
      </pivotArea>
    </format>
    <format dxfId="2061">
      <pivotArea dataOnly="0" labelOnly="1" fieldPosition="0">
        <references count="1">
          <reference field="11" count="0"/>
        </references>
      </pivotArea>
    </format>
    <format dxfId="2060">
      <pivotArea dataOnly="0" labelOnly="1" fieldPosition="0">
        <references count="1">
          <reference field="13" count="0"/>
        </references>
      </pivotArea>
    </format>
    <format dxfId="2059">
      <pivotArea dataOnly="0" labelOnly="1" fieldPosition="0">
        <references count="1">
          <reference field="13" count="0"/>
        </references>
      </pivotArea>
    </format>
    <format dxfId="2058">
      <pivotArea dataOnly="0" labelOnly="1" fieldPosition="0">
        <references count="1">
          <reference field="35" count="0"/>
        </references>
      </pivotArea>
    </format>
    <format dxfId="2057">
      <pivotArea dataOnly="0" labelOnly="1" fieldPosition="0">
        <references count="1">
          <reference field="35" count="0"/>
        </references>
      </pivotArea>
    </format>
    <format dxfId="20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2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2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201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201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201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201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2010">
      <pivotArea dataOnly="0" labelOnly="1" fieldPosition="0">
        <references count="1">
          <reference field="11" count="0"/>
        </references>
      </pivotArea>
    </format>
    <format dxfId="200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00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00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00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00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00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00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00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00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00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9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9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9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9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99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99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99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99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9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8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8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8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8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8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8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8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8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8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98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97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7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7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7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7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7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73">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7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71">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97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969">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96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967">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96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96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6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6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6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6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6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59">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958">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957">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956">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955">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5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53">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5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51">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5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49">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4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4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4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45">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94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943">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4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41">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40">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39">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38">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3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93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93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93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933">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932">
      <pivotArea dataOnly="0" labelOnly="1" grandRow="1" outline="0" fieldPosition="0"/>
    </format>
    <format dxfId="1931">
      <pivotArea outline="0" fieldPosition="0">
        <references count="1">
          <reference field="4294967294" count="1">
            <x v="2"/>
          </reference>
        </references>
      </pivotArea>
    </format>
    <format dxfId="1930">
      <pivotArea dataOnly="0" labelOnly="1" outline="0" fieldPosition="0">
        <references count="1">
          <reference field="4294967294" count="1">
            <x v="3"/>
          </reference>
        </references>
      </pivotArea>
    </format>
    <format dxfId="1929">
      <pivotArea dataOnly="0" labelOnly="1" outline="0" fieldPosition="0">
        <references count="1">
          <reference field="4294967294" count="1">
            <x v="3"/>
          </reference>
        </references>
      </pivotArea>
    </format>
    <format dxfId="1928">
      <pivotArea field="33" type="button" dataOnly="0" labelOnly="1" outline="0" axis="axisRow" fieldPosition="0"/>
    </format>
    <format dxfId="1927">
      <pivotArea dataOnly="0" labelOnly="1" outline="0" fieldPosition="0">
        <references count="1">
          <reference field="4294967294" count="3">
            <x v="1"/>
            <x v="2"/>
            <x v="3"/>
          </reference>
        </references>
      </pivotArea>
    </format>
    <format dxfId="1926">
      <pivotArea field="33" type="button" dataOnly="0" labelOnly="1" outline="0" axis="axisRow" fieldPosition="0"/>
    </format>
    <format dxfId="1925">
      <pivotArea dataOnly="0" labelOnly="1" outline="0" fieldPosition="0">
        <references count="1">
          <reference field="4294967294" count="3">
            <x v="1"/>
            <x v="2"/>
            <x v="3"/>
          </reference>
        </references>
      </pivotArea>
    </format>
    <format dxfId="192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192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192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192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192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191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91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191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191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1915">
      <pivotArea collapsedLevelsAreSubtotals="1" fieldPosition="0">
        <references count="2">
          <reference field="4294967294" count="1" selected="0">
            <x v="2"/>
          </reference>
          <reference field="33" count="0"/>
        </references>
      </pivotArea>
    </format>
    <format dxfId="1914">
      <pivotArea collapsedLevelsAreSubtotals="1" fieldPosition="0">
        <references count="3">
          <reference field="4294967294" count="1" selected="0">
            <x v="2"/>
          </reference>
          <reference field="3" count="1">
            <x v="0"/>
          </reference>
          <reference field="33" count="0" selected="0"/>
        </references>
      </pivotArea>
    </format>
    <format dxfId="1913">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191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191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191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90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0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90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90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90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90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90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90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190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90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9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9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1897">
      <pivotArea dataOnly="0" labelOnly="1" outline="0" fieldPosition="0">
        <references count="1">
          <reference field="4294967294" count="1">
            <x v="2"/>
          </reference>
        </references>
      </pivotArea>
    </format>
    <format dxfId="189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189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189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189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89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9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89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88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88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88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188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88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8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8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882">
      <pivotArea collapsedLevelsAreSubtotals="1" fieldPosition="0">
        <references count="3">
          <reference field="4294967294" count="1" selected="0">
            <x v="2"/>
          </reference>
          <reference field="3" count="1">
            <x v="1"/>
          </reference>
          <reference field="33" count="0" selected="0"/>
        </references>
      </pivotArea>
    </format>
    <format dxfId="1881">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188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187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187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87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7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7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187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187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187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187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87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86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6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186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186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186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86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86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6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86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186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1859">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85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85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85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85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85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185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185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85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85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84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1848">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184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846">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84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184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184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184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1841">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84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83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83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83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183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183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83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183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183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183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1830">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829">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82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82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82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82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82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82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82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82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182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181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81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81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81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81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1814">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1813">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81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11">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81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180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80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80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80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0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80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80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80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80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80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79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798">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179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96">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795">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794">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1793">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9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79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79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78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78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78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78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78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784">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1783">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178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1781">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780">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7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77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77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77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77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77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77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7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77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770">
      <pivotArea field="33" grandRow="1" outline="0" collapsedLevelsAreSubtotals="1" axis="axisRow" fieldPosition="0">
        <references count="1">
          <reference field="4294967294" count="1" selected="0">
            <x v="2"/>
          </reference>
        </references>
      </pivotArea>
    </format>
    <format dxfId="1769">
      <pivotArea outline="0" fieldPosition="0">
        <references count="1">
          <reference field="4294967294" count="1">
            <x v="0"/>
          </reference>
        </references>
      </pivotArea>
    </format>
    <format dxfId="1768">
      <pivotArea field="33" type="button" dataOnly="0" labelOnly="1" outline="0" axis="axisRow" fieldPosition="0"/>
    </format>
    <format dxfId="1767">
      <pivotArea dataOnly="0" labelOnly="1" outline="0" fieldPosition="0">
        <references count="1">
          <reference field="4294967294" count="4">
            <x v="0"/>
            <x v="1"/>
            <x v="2"/>
            <x v="3"/>
          </reference>
        </references>
      </pivotArea>
    </format>
    <format dxfId="1766">
      <pivotArea field="33" type="button" dataOnly="0" labelOnly="1" outline="0" axis="axisRow" fieldPosition="0"/>
    </format>
    <format dxfId="1765">
      <pivotArea dataOnly="0" labelOnly="1" outline="0" fieldPosition="0">
        <references count="1">
          <reference field="4294967294" count="4">
            <x v="0"/>
            <x v="1"/>
            <x v="2"/>
            <x v="3"/>
          </reference>
        </references>
      </pivotArea>
    </format>
    <format dxfId="1764">
      <pivotArea outline="0" collapsedLevelsAreSubtotals="1" fieldPosition="0">
        <references count="1">
          <reference field="4294967294" count="1" selected="0">
            <x v="4"/>
          </reference>
        </references>
      </pivotArea>
    </format>
    <format dxfId="1763">
      <pivotArea dataOnly="0" labelOnly="1" outline="0" fieldPosition="0">
        <references count="1">
          <reference field="4294967294" count="1">
            <x v="4"/>
          </reference>
        </references>
      </pivotArea>
    </format>
    <format dxfId="1762">
      <pivotArea type="all" dataOnly="0" outline="0" fieldPosition="0"/>
    </format>
    <format dxfId="1761">
      <pivotArea outline="0" collapsedLevelsAreSubtotals="1" fieldPosition="0"/>
    </format>
    <format dxfId="1760">
      <pivotArea field="33" type="button" dataOnly="0" labelOnly="1" outline="0" axis="axisRow" fieldPosition="0"/>
    </format>
    <format dxfId="1759">
      <pivotArea dataOnly="0" labelOnly="1" fieldPosition="0">
        <references count="1">
          <reference field="33" count="0"/>
        </references>
      </pivotArea>
    </format>
    <format dxfId="1758">
      <pivotArea dataOnly="0" labelOnly="1" grandRow="1" outline="0" fieldPosition="0"/>
    </format>
    <format dxfId="1757">
      <pivotArea dataOnly="0" labelOnly="1" fieldPosition="0">
        <references count="2">
          <reference field="3" count="0"/>
          <reference field="33" count="0" selected="0"/>
        </references>
      </pivotArea>
    </format>
    <format dxfId="1756">
      <pivotArea dataOnly="0" labelOnly="1" fieldPosition="0">
        <references count="3">
          <reference field="3" count="1" selected="0">
            <x v="0"/>
          </reference>
          <reference field="5" count="1">
            <x v="0"/>
          </reference>
          <reference field="33" count="0" selected="0"/>
        </references>
      </pivotArea>
    </format>
    <format dxfId="1755">
      <pivotArea dataOnly="0" labelOnly="1" fieldPosition="0">
        <references count="3">
          <reference field="3" count="1" selected="0">
            <x v="1"/>
          </reference>
          <reference field="5" count="2">
            <x v="1"/>
            <x v="2"/>
          </reference>
          <reference field="33" count="0" selected="0"/>
        </references>
      </pivotArea>
    </format>
    <format dxfId="175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753">
      <pivotArea dataOnly="0" labelOnly="1" fieldPosition="0">
        <references count="4">
          <reference field="3" count="1" selected="0">
            <x v="1"/>
          </reference>
          <reference field="5" count="1" selected="0">
            <x v="1"/>
          </reference>
          <reference field="33" count="0" selected="0"/>
          <reference field="34" count="0"/>
        </references>
      </pivotArea>
    </format>
    <format dxfId="175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75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75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74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74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74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74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74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74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74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74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74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74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73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73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73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73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73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73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73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73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3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73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72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7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72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2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72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2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2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2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1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1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1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71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71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71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71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7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7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7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70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70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70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70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70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70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7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70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70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70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69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69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69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69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69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69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69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69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6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6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6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68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68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68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68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68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68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68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6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6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6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6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67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67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67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6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6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67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6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6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66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6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66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66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66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66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66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66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66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660">
      <pivotArea dataOnly="0" labelOnly="1" outline="0" fieldPosition="0">
        <references count="1">
          <reference field="4294967294" count="5">
            <x v="0"/>
            <x v="1"/>
            <x v="2"/>
            <x v="3"/>
            <x v="4"/>
          </reference>
        </references>
      </pivotArea>
    </format>
    <format dxfId="1659">
      <pivotArea type="all" dataOnly="0" outline="0" fieldPosition="0"/>
    </format>
    <format dxfId="1658">
      <pivotArea outline="0" collapsedLevelsAreSubtotals="1" fieldPosition="0"/>
    </format>
    <format dxfId="1657">
      <pivotArea field="33" type="button" dataOnly="0" labelOnly="1" outline="0" axis="axisRow" fieldPosition="0"/>
    </format>
    <format dxfId="1656">
      <pivotArea dataOnly="0" labelOnly="1" fieldPosition="0">
        <references count="1">
          <reference field="33" count="0"/>
        </references>
      </pivotArea>
    </format>
    <format dxfId="1655">
      <pivotArea dataOnly="0" labelOnly="1" grandRow="1" outline="0" fieldPosition="0"/>
    </format>
    <format dxfId="1654">
      <pivotArea dataOnly="0" labelOnly="1" fieldPosition="0">
        <references count="2">
          <reference field="3" count="0"/>
          <reference field="33" count="0" selected="0"/>
        </references>
      </pivotArea>
    </format>
    <format dxfId="1653">
      <pivotArea dataOnly="0" labelOnly="1" fieldPosition="0">
        <references count="3">
          <reference field="3" count="1" selected="0">
            <x v="0"/>
          </reference>
          <reference field="5" count="1">
            <x v="0"/>
          </reference>
          <reference field="33" count="0" selected="0"/>
        </references>
      </pivotArea>
    </format>
    <format dxfId="1652">
      <pivotArea dataOnly="0" labelOnly="1" fieldPosition="0">
        <references count="3">
          <reference field="3" count="1" selected="0">
            <x v="1"/>
          </reference>
          <reference field="5" count="2">
            <x v="1"/>
            <x v="2"/>
          </reference>
          <reference field="33" count="0" selected="0"/>
        </references>
      </pivotArea>
    </format>
    <format dxfId="165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50">
      <pivotArea dataOnly="0" labelOnly="1" fieldPosition="0">
        <references count="4">
          <reference field="3" count="1" selected="0">
            <x v="1"/>
          </reference>
          <reference field="5" count="1" selected="0">
            <x v="1"/>
          </reference>
          <reference field="33" count="0" selected="0"/>
          <reference field="34" count="0"/>
        </references>
      </pivotArea>
    </format>
    <format dxfId="164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4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4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4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4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4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4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4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4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64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63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63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63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63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63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63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63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63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63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63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62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62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62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62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6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62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62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62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62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62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1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1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1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61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61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61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61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6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61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6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6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6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60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60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60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60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60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60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6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59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59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59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59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59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59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59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59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59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59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58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5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5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5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58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58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58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58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58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58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57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5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57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57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57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57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5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57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5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5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5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5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5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56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56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56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56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56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56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56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55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55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557">
      <pivotArea dataOnly="0" labelOnly="1" outline="0" fieldPosition="0">
        <references count="1">
          <reference field="4294967294" count="5">
            <x v="0"/>
            <x v="1"/>
            <x v="2"/>
            <x v="3"/>
            <x v="4"/>
          </reference>
        </references>
      </pivotArea>
    </format>
    <format dxfId="1556">
      <pivotArea dataOnly="0" labelOnly="1" fieldPosition="0">
        <references count="1">
          <reference field="11" count="0"/>
        </references>
      </pivotArea>
    </format>
    <format dxfId="1555">
      <pivotArea dataOnly="0" labelOnly="1" fieldPosition="0">
        <references count="1">
          <reference field="11" count="0"/>
        </references>
      </pivotArea>
    </format>
    <format dxfId="1554">
      <pivotArea dataOnly="0" labelOnly="1" fieldPosition="0">
        <references count="1">
          <reference field="13" count="0"/>
        </references>
      </pivotArea>
    </format>
    <format dxfId="1553">
      <pivotArea dataOnly="0" labelOnly="1" fieldPosition="0">
        <references count="1">
          <reference field="13" count="0"/>
        </references>
      </pivotArea>
    </format>
    <format dxfId="1552">
      <pivotArea dataOnly="0" labelOnly="1" fieldPosition="0">
        <references count="1">
          <reference field="13" count="0"/>
        </references>
      </pivotArea>
    </format>
    <format dxfId="1551">
      <pivotArea dataOnly="0" labelOnly="1" fieldPosition="0">
        <references count="1">
          <reference field="15" count="0"/>
        </references>
      </pivotArea>
    </format>
    <format dxfId="1550">
      <pivotArea dataOnly="0" labelOnly="1" fieldPosition="0">
        <references count="1">
          <reference field="15" count="0"/>
        </references>
      </pivotArea>
    </format>
    <format dxfId="1549">
      <pivotArea dataOnly="0" labelOnly="1" fieldPosition="0">
        <references count="1">
          <reference field="15" count="0"/>
        </references>
      </pivotArea>
    </format>
    <format dxfId="1548">
      <pivotArea dataOnly="0" labelOnly="1" fieldPosition="0">
        <references count="1">
          <reference field="15" count="0"/>
        </references>
      </pivotArea>
    </format>
    <format dxfId="1547">
      <pivotArea dataOnly="0" labelOnly="1" fieldPosition="0">
        <references count="1">
          <reference field="15" count="0"/>
        </references>
      </pivotArea>
    </format>
    <format dxfId="1546">
      <pivotArea field="33" type="button" dataOnly="0" labelOnly="1" outline="0" axis="axisRow" fieldPosition="0"/>
    </format>
    <format dxfId="1545">
      <pivotArea dataOnly="0" labelOnly="1" fieldPosition="0">
        <references count="1">
          <reference field="33" count="0"/>
        </references>
      </pivotArea>
    </format>
    <format dxfId="1544">
      <pivotArea dataOnly="0" labelOnly="1" grandRow="1" outline="0" fieldPosition="0"/>
    </format>
    <format dxfId="1543">
      <pivotArea dataOnly="0" labelOnly="1" fieldPosition="0">
        <references count="2">
          <reference field="3" count="0"/>
          <reference field="33" count="0" selected="0"/>
        </references>
      </pivotArea>
    </format>
    <format dxfId="1542">
      <pivotArea dataOnly="0" labelOnly="1" fieldPosition="0">
        <references count="3">
          <reference field="3" count="1" selected="0">
            <x v="0"/>
          </reference>
          <reference field="5" count="1">
            <x v="0"/>
          </reference>
          <reference field="33" count="0" selected="0"/>
        </references>
      </pivotArea>
    </format>
    <format dxfId="1541">
      <pivotArea dataOnly="0" labelOnly="1" fieldPosition="0">
        <references count="3">
          <reference field="3" count="1" selected="0">
            <x v="1"/>
          </reference>
          <reference field="5" count="2">
            <x v="1"/>
            <x v="2"/>
          </reference>
          <reference field="33" count="0" selected="0"/>
        </references>
      </pivotArea>
    </format>
    <format dxfId="154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39">
      <pivotArea dataOnly="0" labelOnly="1" fieldPosition="0">
        <references count="4">
          <reference field="3" count="1" selected="0">
            <x v="1"/>
          </reference>
          <reference field="5" count="1" selected="0">
            <x v="1"/>
          </reference>
          <reference field="33" count="0" selected="0"/>
          <reference field="34" count="0"/>
        </references>
      </pivotArea>
    </format>
    <format dxfId="153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3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3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3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3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3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3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3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3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52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52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52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52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52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52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52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52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52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52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51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51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51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51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51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51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5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5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51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51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50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50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50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5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50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0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50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50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50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50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49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4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4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4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49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49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49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49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49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49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4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48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48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48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48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48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48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48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48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48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47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47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4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4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4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47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47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47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47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47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46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46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46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46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46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46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46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46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46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46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45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45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4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4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45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45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45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45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45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45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44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44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44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446">
      <pivotArea field="33" type="button" dataOnly="0" labelOnly="1" outline="0" axis="axisRow" fieldPosition="0"/>
    </format>
    <format dxfId="1445">
      <pivotArea dataOnly="0" labelOnly="1" fieldPosition="0">
        <references count="1">
          <reference field="33" count="0"/>
        </references>
      </pivotArea>
    </format>
    <format dxfId="1444">
      <pivotArea dataOnly="0" labelOnly="1" grandRow="1" outline="0" fieldPosition="0"/>
    </format>
    <format dxfId="1443">
      <pivotArea dataOnly="0" labelOnly="1" fieldPosition="0">
        <references count="2">
          <reference field="3" count="0"/>
          <reference field="33" count="0" selected="0"/>
        </references>
      </pivotArea>
    </format>
    <format dxfId="1442">
      <pivotArea dataOnly="0" labelOnly="1" fieldPosition="0">
        <references count="3">
          <reference field="3" count="1" selected="0">
            <x v="0"/>
          </reference>
          <reference field="5" count="1">
            <x v="0"/>
          </reference>
          <reference field="33" count="0" selected="0"/>
        </references>
      </pivotArea>
    </format>
    <format dxfId="1441">
      <pivotArea dataOnly="0" labelOnly="1" fieldPosition="0">
        <references count="3">
          <reference field="3" count="1" selected="0">
            <x v="1"/>
          </reference>
          <reference field="5" count="2">
            <x v="1"/>
            <x v="2"/>
          </reference>
          <reference field="33" count="0" selected="0"/>
        </references>
      </pivotArea>
    </format>
    <format dxfId="144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439">
      <pivotArea dataOnly="0" labelOnly="1" fieldPosition="0">
        <references count="4">
          <reference field="3" count="1" selected="0">
            <x v="1"/>
          </reference>
          <reference field="5" count="1" selected="0">
            <x v="1"/>
          </reference>
          <reference field="33" count="0" selected="0"/>
          <reference field="34" count="0"/>
        </references>
      </pivotArea>
    </format>
    <format dxfId="143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43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43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43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43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43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43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43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43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42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42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42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42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42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42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42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42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42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42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41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41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41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41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41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41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4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4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41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41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40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40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40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4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40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40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40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40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40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40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39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3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3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3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39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39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39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39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39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39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3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38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38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38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38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38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38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38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38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38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37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37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3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3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3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37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37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37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37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37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36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36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36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36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36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36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36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36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36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36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35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35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3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3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35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35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35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35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35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35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34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34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34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346">
      <pivotArea dataOnly="0" labelOnly="1" fieldPosition="0">
        <references count="1">
          <reference field="11" count="0"/>
        </references>
      </pivotArea>
    </format>
    <format dxfId="1345">
      <pivotArea dataOnly="0" labelOnly="1" fieldPosition="0">
        <references count="1">
          <reference field="11" count="0"/>
        </references>
      </pivotArea>
    </format>
    <format dxfId="1344">
      <pivotArea dataOnly="0" labelOnly="1" fieldPosition="0">
        <references count="1">
          <reference field="13" count="0"/>
        </references>
      </pivotArea>
    </format>
    <format dxfId="1343">
      <pivotArea dataOnly="0" labelOnly="1" fieldPosition="0">
        <references count="1">
          <reference field="13" count="0"/>
        </references>
      </pivotArea>
    </format>
    <format dxfId="1342">
      <pivotArea dataOnly="0" labelOnly="1" fieldPosition="0">
        <references count="1">
          <reference field="13" count="0"/>
        </references>
      </pivotArea>
    </format>
    <format dxfId="1341">
      <pivotArea dataOnly="0" labelOnly="1" fieldPosition="0">
        <references count="1">
          <reference field="15" count="0"/>
        </references>
      </pivotArea>
    </format>
    <format dxfId="1340">
      <pivotArea dataOnly="0" labelOnly="1" fieldPosition="0">
        <references count="1">
          <reference field="15" count="0"/>
        </references>
      </pivotArea>
    </format>
    <format dxfId="1339">
      <pivotArea dataOnly="0" labelOnly="1" fieldPosition="0">
        <references count="1">
          <reference field="15" count="0"/>
        </references>
      </pivotArea>
    </format>
    <format dxfId="1338">
      <pivotArea dataOnly="0" labelOnly="1" fieldPosition="0">
        <references count="1">
          <reference field="15" count="0"/>
        </references>
      </pivotArea>
    </format>
    <format dxfId="1337">
      <pivotArea dataOnly="0" labelOnly="1" fieldPosition="0">
        <references count="1">
          <reference field="15" count="0"/>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5:F38"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1321">
      <pivotArea outline="0" collapsedLevelsAreSubtotals="1" fieldPosition="0"/>
    </format>
    <format dxfId="1320">
      <pivotArea type="all" dataOnly="0" outline="0" fieldPosition="0"/>
    </format>
    <format dxfId="1319">
      <pivotArea outline="0" collapsedLevelsAreSubtotals="1" fieldPosition="0"/>
    </format>
    <format dxfId="1318">
      <pivotArea field="34" type="button" dataOnly="0" labelOnly="1" outline="0" axis="axisRow" fieldPosition="0"/>
    </format>
    <format dxfId="1317">
      <pivotArea dataOnly="0" labelOnly="1" grandRow="1" outline="0" fieldPosition="0"/>
    </format>
    <format dxfId="1316">
      <pivotArea dataOnly="0" labelOnly="1" fieldPosition="0">
        <references count="1">
          <reference field="34" count="0"/>
        </references>
      </pivotArea>
    </format>
    <format dxfId="1315">
      <pivotArea collapsedLevelsAreSubtotals="1" fieldPosition="0">
        <references count="1">
          <reference field="34" count="1">
            <x v="0"/>
          </reference>
        </references>
      </pivotArea>
    </format>
    <format dxfId="1314">
      <pivotArea dataOnly="0" labelOnly="1" fieldPosition="0">
        <references count="1">
          <reference field="34" count="1">
            <x v="0"/>
          </reference>
        </references>
      </pivotArea>
    </format>
    <format dxfId="1313">
      <pivotArea collapsedLevelsAreSubtotals="1" fieldPosition="0">
        <references count="1">
          <reference field="34" count="1">
            <x v="1"/>
          </reference>
        </references>
      </pivotArea>
    </format>
    <format dxfId="1312">
      <pivotArea dataOnly="0" labelOnly="1" fieldPosition="0">
        <references count="1">
          <reference field="34" count="1">
            <x v="1"/>
          </reference>
        </references>
      </pivotArea>
    </format>
    <format dxfId="1311">
      <pivotArea collapsedLevelsAreSubtotals="1" fieldPosition="0">
        <references count="1">
          <reference field="34" count="1">
            <x v="2"/>
          </reference>
        </references>
      </pivotArea>
    </format>
    <format dxfId="1310">
      <pivotArea dataOnly="0" labelOnly="1" fieldPosition="0">
        <references count="1">
          <reference field="34" count="1">
            <x v="2"/>
          </reference>
        </references>
      </pivotArea>
    </format>
    <format dxfId="1309">
      <pivotArea collapsedLevelsAreSubtotals="1" fieldPosition="0">
        <references count="1">
          <reference field="34" count="1">
            <x v="3"/>
          </reference>
        </references>
      </pivotArea>
    </format>
    <format dxfId="1308">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1336">
      <pivotArea outline="0" collapsedLevelsAreSubtotals="1" fieldPosition="0"/>
    </format>
    <format dxfId="1335">
      <pivotArea type="all" dataOnly="0" outline="0" fieldPosition="0"/>
    </format>
    <format dxfId="1334">
      <pivotArea outline="0" collapsedLevelsAreSubtotals="1" fieldPosition="0"/>
    </format>
    <format dxfId="1333">
      <pivotArea field="34" type="button" dataOnly="0" labelOnly="1" outline="0" axis="axisRow" fieldPosition="0"/>
    </format>
    <format dxfId="1332">
      <pivotArea dataOnly="0" labelOnly="1" grandRow="1" outline="0" fieldPosition="0"/>
    </format>
    <format dxfId="1331">
      <pivotArea dataOnly="0" labelOnly="1" outline="0" fieldPosition="0">
        <references count="1">
          <reference field="4294967294" count="3">
            <x v="0"/>
            <x v="1"/>
            <x v="2"/>
          </reference>
        </references>
      </pivotArea>
    </format>
    <format dxfId="1330">
      <pivotArea dataOnly="0" labelOnly="1" fieldPosition="0">
        <references count="1">
          <reference field="34" count="0"/>
        </references>
      </pivotArea>
    </format>
    <format dxfId="1329">
      <pivotArea collapsedLevelsAreSubtotals="1" fieldPosition="0">
        <references count="1">
          <reference field="34" count="1">
            <x v="0"/>
          </reference>
        </references>
      </pivotArea>
    </format>
    <format dxfId="1328">
      <pivotArea dataOnly="0" labelOnly="1" fieldPosition="0">
        <references count="1">
          <reference field="34" count="1">
            <x v="0"/>
          </reference>
        </references>
      </pivotArea>
    </format>
    <format dxfId="1327">
      <pivotArea collapsedLevelsAreSubtotals="1" fieldPosition="0">
        <references count="1">
          <reference field="34" count="1">
            <x v="1"/>
          </reference>
        </references>
      </pivotArea>
    </format>
    <format dxfId="1326">
      <pivotArea dataOnly="0" labelOnly="1" fieldPosition="0">
        <references count="1">
          <reference field="34" count="1">
            <x v="1"/>
          </reference>
        </references>
      </pivotArea>
    </format>
    <format dxfId="1325">
      <pivotArea collapsedLevelsAreSubtotals="1" fieldPosition="0">
        <references count="1">
          <reference field="34" count="1">
            <x v="2"/>
          </reference>
        </references>
      </pivotArea>
    </format>
    <format dxfId="1324">
      <pivotArea dataOnly="0" labelOnly="1" fieldPosition="0">
        <references count="1">
          <reference field="34" count="1">
            <x v="2"/>
          </reference>
        </references>
      </pivotArea>
    </format>
    <format dxfId="1323">
      <pivotArea collapsedLevelsAreSubtotals="1" fieldPosition="0">
        <references count="1">
          <reference field="34" count="1">
            <x v="3"/>
          </reference>
        </references>
      </pivotArea>
    </format>
    <format dxfId="1322">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27" totalsRowCount="1" headerRowDxfId="2456" dataDxfId="2454" totalsRowDxfId="2452" headerRowBorderDxfId="2455" tableBorderDxfId="2453" totalsRowBorderDxfId="2451">
  <autoFilter ref="B13:O226" xr:uid="{5439E600-4AE6-4A9C-BF96-1F8B4649EF5E}">
    <filterColumn colId="5">
      <filters>
        <filter val="GTUP NIHIL"/>
        <filter val="GUP"/>
      </filters>
    </filterColumn>
  </autoFilter>
  <sortState xmlns:xlrd2="http://schemas.microsoft.com/office/spreadsheetml/2017/richdata2" ref="B14:O226">
    <sortCondition ref="C13:C226"/>
  </sortState>
  <tableColumns count="14">
    <tableColumn id="1" xr3:uid="{EA3EA993-E9B8-4175-AE78-56C2DE826084}" name="No" dataDxfId="2450" totalsRowDxfId="2449" dataCellStyle="Normal 4"/>
    <tableColumn id="14" xr3:uid="{39BE1E11-4C0D-43C9-A7CF-CFD7B6D88EC1}" name="Urut" dataDxfId="2448" totalsRowDxfId="2447" dataCellStyle="Normal 4"/>
    <tableColumn id="2" xr3:uid="{55765DF9-9B2D-49B2-8C10-51C6F4795A2B}" name="Nomor SP2D" dataDxfId="2446" totalsRowDxfId="2445"/>
    <tableColumn id="3" xr3:uid="{95F2A4A6-178D-4D09-BEC2-A35DA9DD284C}" name="Tanggal SP2D" dataDxfId="2444" totalsRowDxfId="2443"/>
    <tableColumn id="4" xr3:uid="{1BFC6E15-B107-44FC-880F-0FA398A70437}" name="Nilai SP2D" totalsRowFunction="sum" dataDxfId="2442" totalsRowDxfId="2441" dataCellStyle="Comma [0]"/>
    <tableColumn id="5" xr3:uid="{BA79B4B6-6D4D-4C40-A794-FBA956D546A8}" name="Jenis SPM" dataDxfId="2440" totalsRowDxfId="2439"/>
    <tableColumn id="6" xr3:uid="{0728F6B3-877B-4801-849D-78A7FD394756}" name="Nomor Invoice" dataDxfId="2438" totalsRowDxfId="2437"/>
    <tableColumn id="7" xr3:uid="{BC8C9A9E-906E-4F73-AA7C-36C21228DCD0}" name="Tanggal Invoice" dataDxfId="2436" totalsRowDxfId="2435"/>
    <tableColumn id="8" xr3:uid="{4F370E97-CC92-41D4-B70A-C2C397F13E5F}" name="Jenis SP2D" dataDxfId="2434" totalsRowDxfId="2433"/>
    <tableColumn id="9" xr3:uid="{5AB0F2BB-729E-4A36-99C2-531506F2E0D4}" name="Deskripsi" dataDxfId="2432" totalsRowDxfId="2431"/>
    <tableColumn id="10" xr3:uid="{E9855FB4-726E-4E0F-A40E-89C5AF4CAAE7}" name="Bagian / Bidang" dataDxfId="2430" totalsRowDxfId="2429" dataCellStyle="Normal 4"/>
    <tableColumn id="11" xr3:uid="{07CEE088-AC9A-406D-AECA-D9F23626D4D5}" name="Subbagian / Subbidang" dataDxfId="2428" totalsRowDxfId="2427" dataCellStyle="Normal 4"/>
    <tableColumn id="13" xr3:uid="{7D701C80-B1AD-4D78-B3C3-525A71261916}" name="Status Realisasi" dataDxfId="2426" totalsRowDxfId="2425" dataCellStyle="Normal 4"/>
    <tableColumn id="12" xr3:uid="{BE916C21-2F59-4DE9-9BDF-707A1C1956B2}" name="all" dataDxfId="2424" totalsRowDxfId="2423"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1307" dataDxfId="1306">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1305"/>
    <tableColumn id="2" xr3:uid="{2DB0BCF7-353A-4057-BFD0-5A9AFD7AD377}" name="kdunit" dataDxfId="1304"/>
    <tableColumn id="3" xr3:uid="{6BCC3689-465C-41AB-AA41-B61148952378}" name="kdprogram" dataDxfId="1303"/>
    <tableColumn id="4" xr3:uid="{2A5A7B58-839E-4216-A115-BA31451747CC}" name="Program" dataDxfId="1302"/>
    <tableColumn id="5" xr3:uid="{B90B5CFD-D8F4-48C4-81DF-60CCA43D8B33}" name="kdgiat" dataDxfId="1301"/>
    <tableColumn id="6" xr3:uid="{665306DE-5004-4796-BA54-AF3E581B23DE}" name="Kegiatan" dataDxfId="1300"/>
    <tableColumn id="7" xr3:uid="{896282BA-49FB-4172-920C-20AE0DBD436D}" name="kdoutput" dataDxfId="1299"/>
    <tableColumn id="8" xr3:uid="{81ACE6BC-C81E-44B5-AC16-FA7339E6C95D}" name="Output" dataDxfId="1298"/>
    <tableColumn id="9" xr3:uid="{B9A79FBA-908D-418C-864B-733536EBB6AD}" name="kdsoutput" dataDxfId="1297"/>
    <tableColumn id="10" xr3:uid="{8730A0E5-24CD-4DD0-97C9-7EB5897F6937}" name="SubOutput" dataDxfId="1296"/>
    <tableColumn id="11" xr3:uid="{A1213678-0772-43DE-9A68-4CCAC2CAB97F}" name="kdkmpnen" dataDxfId="1295"/>
    <tableColumn id="12" xr3:uid="{13F01672-806F-47CD-8E7B-DBEF02211C49}" name="Komponen" dataDxfId="1294"/>
    <tableColumn id="13" xr3:uid="{EE24777D-4C50-49CF-9D51-B1D10E6B59C5}" name="kdskmpnen" dataDxfId="1293"/>
    <tableColumn id="14" xr3:uid="{6B16732C-65AB-40BC-9BE7-38F27B545CA4}" name="SubKomponen" dataDxfId="1292"/>
    <tableColumn id="15" xr3:uid="{9DE11426-CAD6-4307-AF79-5BA31FE425C4}" name="kdakun" dataDxfId="1291"/>
    <tableColumn id="16" xr3:uid="{95D2AD80-8C0A-4582-9C73-FCD7148568BD}" name="Akun" dataDxfId="1290"/>
    <tableColumn id="17" xr3:uid="{1099A73B-6EFE-4758-9112-C98BE9AF6233}" name="DIPA_REVISI3" dataDxfId="1289" dataCellStyle="Comma [0]">
      <calculatedColumnFormula array="1">SUM(_xlfn._xlws.FILTER(HistoryDIPA[TOTAL],(HistoryDIPA[MAK]=SP2D[[#This Row],[Kode Akun]])*(HistoryDIPA[StatusDIPA]=$Q$3),0))</calculatedColumnFormula>
    </tableColumn>
    <tableColumn id="18" xr3:uid="{F5761B11-9E81-4F7C-BD95-CB52A5BA049C}" name="DIPA_REVISI2" dataDxfId="1288" dataCellStyle="Comma [0]"/>
    <tableColumn id="52" xr3:uid="{756AF1CD-7E6D-49D5-9982-55502306D24E}" name="Blokir AA ke 1" dataDxfId="1287" dataCellStyle="Comma [0]"/>
    <tableColumn id="53" xr3:uid="{6DF30DE6-28F7-4458-802A-BCB387ECC2BB}" name="Blokir AA ke 2" dataDxfId="1286" dataCellStyle="Comma [0]"/>
    <tableColumn id="54" xr3:uid="{8D97E884-E482-4A07-9E42-16F472895357}" name="Pagu-Blokir" dataDxfId="1285" dataCellStyle="Comma [0]">
      <calculatedColumnFormula>SP2D[[#This Row],[DIPA_REVISI3]]-SUM(SP2D[[#This Row],[Blokir AA ke 1]:[Blokir AA ke 2]])</calculatedColumnFormula>
    </tableColumn>
    <tableColumn id="19" xr3:uid="{D85464D1-34A4-4D62-B202-AA5B44380AE8}" name="Jan" dataDxfId="1284">
      <calculatedColumnFormula>SUM('PER BULAN'!J96:L96)</calculatedColumnFormula>
    </tableColumn>
    <tableColumn id="20" xr3:uid="{59AFB7C3-9561-4F72-BA75-233CA8574E0E}" name="Feb" dataDxfId="1283"/>
    <tableColumn id="21" xr3:uid="{339941D9-EB6A-4D9E-AAFD-8BC87914D9CD}" name="Mar" dataDxfId="1282"/>
    <tableColumn id="22" xr3:uid="{4DB8271D-A562-4BDB-AF86-6803F5A0D6B6}" name="Apr" dataDxfId="1281"/>
    <tableColumn id="23" xr3:uid="{A6296B83-2C3A-4B7B-B349-C7B81EF82E20}" name="Mei" dataDxfId="1280"/>
    <tableColumn id="24" xr3:uid="{E35B9BB8-2C59-4938-BD17-AB6DA6D49836}" name="Jun" dataDxfId="1279"/>
    <tableColumn id="25" xr3:uid="{0B56CE2F-22F5-4935-B179-82B908FFA45C}" name="Jul" dataDxfId="1278"/>
    <tableColumn id="26" xr3:uid="{C5C2C340-1544-4521-9059-33AEBE3423A8}" name="Ags" dataDxfId="1277"/>
    <tableColumn id="27" xr3:uid="{86511B91-6FBB-44C6-BFE0-FC75035E6D40}" name="Sep" dataDxfId="1276"/>
    <tableColumn id="28" xr3:uid="{2C0763CA-B0D1-4434-BD74-3778A7A332E6}" name="Okt" dataDxfId="1275"/>
    <tableColumn id="29" xr3:uid="{1D2AE206-2433-4713-B023-179D69FA3E25}" name="Nov" dataDxfId="1274"/>
    <tableColumn id="30" xr3:uid="{C1E5584B-01F1-4175-8FA8-D285D3701F44}" name="Des" dataDxfId="1273"/>
    <tableColumn id="31" xr3:uid="{3BEE2055-AE9D-40FE-AE62-8E331B1816BF}" name="eselon2" dataDxfId="1272"/>
    <tableColumn id="32" xr3:uid="{A002471B-4101-4577-BC3A-704405B733FB}" name="koordinator" dataDxfId="1271"/>
    <tableColumn id="33" xr3:uid="{D023DF90-D6C9-428C-971B-7DDF8C7D5F03}" name="Subkoordinator" dataDxfId="1270"/>
    <tableColumn id="34" xr3:uid="{FE48F7A1-0956-4644-89C0-EA36C183F595}" name="Jns_Belanja" dataDxfId="1269"/>
    <tableColumn id="35" xr3:uid="{BE3FC102-4A2C-4D3D-B515-5052A70FFDEB}" name="satker" dataDxfId="1268"/>
    <tableColumn id="36" xr3:uid="{C44DBFA7-2D15-465C-8D00-F06B638B5ED4}" name="Realisasi" dataDxfId="1267" dataCellStyle="Comma [0]">
      <calculatedColumnFormula>SUM(V4:AG4)</calculatedColumnFormula>
    </tableColumn>
    <tableColumn id="37" xr3:uid="{DE361282-2992-4D2B-992E-4096AF6D8E40}" name="Real %" dataDxfId="1266">
      <calculatedColumnFormula>IFERROR(AM4/Q4*100,0)</calculatedColumnFormula>
    </tableColumn>
    <tableColumn id="38" xr3:uid="{EEF961EF-FF6A-40D5-A0B6-ED634EBADFBC}" name="Sisa" dataDxfId="1265" dataCellStyle="Comma [0]">
      <calculatedColumnFormula>Q4-AM4</calculatedColumnFormula>
    </tableColumn>
    <tableColumn id="39" xr3:uid="{85643851-7A65-42C2-A08E-B6A7A8DA03F0}" name="Sisa %" dataDxfId="1264">
      <calculatedColumnFormula>IFERROR(AO4/Q4*100,0)</calculatedColumnFormula>
    </tableColumn>
    <tableColumn id="40" xr3:uid="{9E4F31F6-8A80-4410-976A-8EEA7368EA20}" name="Kode Akun" dataDxfId="1263">
      <calculatedColumnFormula>_xlfn.TEXTJOIN(".",TRUE,C4,E4,G4,I4,K4,M4,O4)</calculatedColumnFormula>
    </tableColumn>
    <tableColumn id="41" xr3:uid="{0FDDBC90-1CC8-4C07-8122-50D2362EF739}" name="Status Covid" dataDxfId="1262">
      <calculatedColumnFormula>IF(ISNUMBER(SEARCH("COVID",SP2D[[#This Row],[Akun]])),"COVID","Non COVID")</calculatedColumnFormula>
    </tableColumn>
    <tableColumn id="42" xr3:uid="{3D9BDB80-A0C7-4422-BA12-733AF91AF0E5}" name="Status Realisasi" dataDxfId="126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26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259"/>
    <tableColumn id="45" xr3:uid="{4B827D21-BED7-493A-98C2-BF92D20ACB6E}" name="TUP 1" dataDxfId="1258"/>
    <tableColumn id="46" xr3:uid="{1A108E85-F9A8-4C5A-B9B2-E8E733C3D3EB}" name="GUP 2" dataDxfId="1257"/>
    <tableColumn id="47" xr3:uid="{197D7FA7-EA56-478F-AC63-0B5D47D9765B}" name="GUP 3" dataDxfId="1256"/>
    <tableColumn id="48" xr3:uid="{4614C9FA-2AB0-4D2D-AA55-13680C8EE8C5}" name="GUP 4" dataDxfId="1255"/>
    <tableColumn id="49" xr3:uid="{9B9C7D3C-BD3B-413C-9633-5B1476894793}" name="GUP 5" dataDxfId="1254"/>
    <tableColumn id="50" xr3:uid="{7F81D278-F155-4728-BD7E-4DD553D05EAC}" name="TUP 2 (1)" dataDxfId="1253"/>
    <tableColumn id="51" xr3:uid="{40F6E74E-B62F-4684-A934-E1FBCD0EDECE}" name="TUP 2 (2)" dataDxfId="12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251" dataDxfId="1250">
  <autoFilter ref="BC3:BD143" xr:uid="{9BE31371-6D84-40BC-BC89-6EB614AAFDED}"/>
  <tableColumns count="2">
    <tableColumn id="1" xr3:uid="{FFEC0591-1F8E-4D42-8DB7-95FE40C6A4FA}" name="GUP 6" dataDxfId="1249"/>
    <tableColumn id="2" xr3:uid="{53B91740-F7E5-49C9-B6EF-884B25AEA288}" name="GUP 7" dataDxfId="12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247" dataDxfId="1246">
  <autoFilter ref="BE3:BE143" xr:uid="{B583C927-BDC0-4A9E-9EAD-1AA964672F53}"/>
  <tableColumns count="1">
    <tableColumn id="1" xr3:uid="{AAED9B86-5EBB-4AE0-920F-B7B74A71FB42}" name="TUP 3" dataDxfId="124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244" dataDxfId="1243">
  <autoFilter ref="A3:BA15" xr:uid="{0218787B-FAFB-4E31-BAF7-C07090CCABB5}"/>
  <tableColumns count="53">
    <tableColumn id="1" xr3:uid="{80105D8C-B6CC-4C67-A0D5-A51108634790}" name="kddept" dataDxfId="1242"/>
    <tableColumn id="2" xr3:uid="{79F788C4-BE24-4442-B4A5-787846FC3242}" name="kdunit" dataDxfId="1241"/>
    <tableColumn id="3" xr3:uid="{F5607343-B1C5-442F-9F62-66DAB70DF978}" name="kdprogram" dataDxfId="1240"/>
    <tableColumn id="4" xr3:uid="{67275D4D-383A-492A-9FB0-586605819489}" name="Program" dataDxfId="1239"/>
    <tableColumn id="5" xr3:uid="{7E089115-5279-4639-B5C8-B5B142691A5E}" name="kdgiat" dataDxfId="1238"/>
    <tableColumn id="6" xr3:uid="{86B452FA-0999-4C13-97B6-34303305E62C}" name="Kegiatan" dataDxfId="1237"/>
    <tableColumn id="7" xr3:uid="{098073A3-0D75-44F5-98F3-9D58ABD0F494}" name="kdoutput" dataDxfId="1236"/>
    <tableColumn id="8" xr3:uid="{DD29FD42-F6B4-48DB-ABD5-0B9035D7350B}" name="Output" dataDxfId="1235"/>
    <tableColumn id="9" xr3:uid="{DD7BECAC-0FA2-4D83-AFED-EA1423BBAE3B}" name="kdsoutput" dataDxfId="1234"/>
    <tableColumn id="10" xr3:uid="{41EDA2EB-4FE5-485A-9A85-BC1CF6F808E6}" name="SubOutput" dataDxfId="1233"/>
    <tableColumn id="11" xr3:uid="{0C0092F1-3B9A-4262-87F2-DF8809ADB48A}" name="kdkmpnen" dataDxfId="1232"/>
    <tableColumn id="12" xr3:uid="{7F02E6EE-4073-428C-A01E-C7F9404E22AB}" name="Komponen" dataDxfId="1231"/>
    <tableColumn id="13" xr3:uid="{D5E22675-8A73-40C8-BA6D-4D22AD4BD880}" name="kdskmpnen" dataDxfId="1230"/>
    <tableColumn id="14" xr3:uid="{21C5F2BB-4B18-41F3-8B47-CA7C999E1D95}" name="SubKomponen" dataDxfId="1229"/>
    <tableColumn id="15" xr3:uid="{7EF6CEAB-DE31-4DEA-B8DF-BDD5AD5C3604}" name="kdakun" dataDxfId="1228"/>
    <tableColumn id="16" xr3:uid="{897A6630-15AA-4E92-AF17-989B50249F0B}" name="Akun" dataDxfId="1227"/>
    <tableColumn id="17" xr3:uid="{F469B670-C97B-4C45-BFA1-11EC2F3BBE30}" name="Pagu" dataDxfId="1226" dataCellStyle="Comma [0]">
      <calculatedColumnFormula array="1">SUM(_xlfn._xlws.FILTER(DIPA3[PaguRevisi],DIPA3[Akun]=SP2D_GAJI[[#This Row],[Kode Akun]],0))</calculatedColumnFormula>
    </tableColumn>
    <tableColumn id="18" xr3:uid="{331F462C-70B7-43E1-8F2C-778E95ACAEA1}" name="Pagu Semula" dataDxfId="1225" dataCellStyle="Comma [0]"/>
    <tableColumn id="52" xr3:uid="{2F016D06-D133-47D7-B695-4667F3490729}" name="Blokir AA ke 1" dataDxfId="1224" dataCellStyle="Comma [0]"/>
    <tableColumn id="53" xr3:uid="{165EF6BA-1776-4571-B8AD-920C3A030766}" name="Blokir AA ke 2" dataDxfId="1223" dataCellStyle="Comma [0]"/>
    <tableColumn id="19" xr3:uid="{D0C2276A-7026-4576-85D7-919441521A6C}" name="Jan" dataDxfId="1222">
      <calculatedColumnFormula>SUM('PER BULAN'!J253:L253)</calculatedColumnFormula>
    </tableColumn>
    <tableColumn id="20" xr3:uid="{A9EF8502-8C6E-4766-AD68-658B4D1E747D}" name="Feb" dataDxfId="1221">
      <calculatedColumnFormula>SUM('PER BULAN'!M253:O253)</calculatedColumnFormula>
    </tableColumn>
    <tableColumn id="21" xr3:uid="{746DC00C-C89E-4DDA-BBC9-1D134830D029}" name="Mar" dataDxfId="1220">
      <calculatedColumnFormula>SUM('PER BULAN'!P253:R253)</calculatedColumnFormula>
    </tableColumn>
    <tableColumn id="22" xr3:uid="{05F5FC17-0CBB-4151-889F-60CFCD7C34DD}" name="Apr" dataDxfId="1219">
      <calculatedColumnFormula>SUM('PER BULAN'!S253:U253)</calculatedColumnFormula>
    </tableColumn>
    <tableColumn id="23" xr3:uid="{C42FB8F4-7097-4474-A778-F18CBF2B07B1}" name="Mei" dataDxfId="1218">
      <calculatedColumnFormula>SUM('PER BULAN'!V253:X253)</calculatedColumnFormula>
    </tableColumn>
    <tableColumn id="24" xr3:uid="{F4454E89-E22D-410A-82EB-5F0DC627F170}" name="Jun" dataDxfId="1217">
      <calculatedColumnFormula>SUM('PER BULAN'!Y253:AA253)</calculatedColumnFormula>
    </tableColumn>
    <tableColumn id="25" xr3:uid="{2AA6CCE9-FDEE-48C4-8B21-D75DF41DA271}" name="Jul" dataDxfId="1216">
      <calculatedColumnFormula>SUM('PER BULAN'!AB253:AD253)</calculatedColumnFormula>
    </tableColumn>
    <tableColumn id="26" xr3:uid="{7FACB806-C5A3-48BA-9D07-F51AF74D0E09}" name="Ags" dataDxfId="1215">
      <calculatedColumnFormula>SUM('PER BULAN'!AE253:AG253)</calculatedColumnFormula>
    </tableColumn>
    <tableColumn id="27" xr3:uid="{C4B9A446-705C-463E-B7DA-7A0740B8C905}" name="Sep" dataDxfId="1214">
      <calculatedColumnFormula>SUM('PER BULAN'!AH253:AJ253)</calculatedColumnFormula>
    </tableColumn>
    <tableColumn id="28" xr3:uid="{5AAFBEBC-03FC-4E4A-83F9-E67BEB3D5981}" name="Okt" dataDxfId="1213">
      <calculatedColumnFormula>SUM('PER BULAN'!AK253:AM253)</calculatedColumnFormula>
    </tableColumn>
    <tableColumn id="29" xr3:uid="{4906B5CD-CEE5-4A98-B22E-AC637B561A64}" name="Nov" dataDxfId="1212">
      <calculatedColumnFormula>SUM('PER BULAN'!AN253:AP253)</calculatedColumnFormula>
    </tableColumn>
    <tableColumn id="30" xr3:uid="{CE67CAFB-1501-4D81-9EF9-85B2D20132C0}" name="Des" dataDxfId="1211">
      <calculatedColumnFormula>SUM('PER BULAN'!AQ253:AS253)</calculatedColumnFormula>
    </tableColumn>
    <tableColumn id="31" xr3:uid="{68D2BC5B-AA42-4205-92C2-22EE6E2A455F}" name="eselon2" dataDxfId="1210"/>
    <tableColumn id="32" xr3:uid="{BA84A518-BE39-4F09-B013-2F165F75B2C4}" name="koordinator" dataDxfId="1209"/>
    <tableColumn id="33" xr3:uid="{056A603E-AF28-4BB5-BFC3-BCB9B9C999CA}" name="Subkoordinator" dataDxfId="1208"/>
    <tableColumn id="34" xr3:uid="{D4673DE9-E399-427A-A7FA-55224584489E}" name="Jns_Belanja" dataDxfId="1207"/>
    <tableColumn id="35" xr3:uid="{A8855799-45D2-43E8-83A2-AA11614A2AB5}" name="satker" dataDxfId="1206"/>
    <tableColumn id="36" xr3:uid="{7FE40A5B-7697-4CF3-B532-E8DEA6942EA1}" name="Realisasi" dataDxfId="1205" dataCellStyle="Comma [0]">
      <calculatedColumnFormula>SUM(U4:AF4)</calculatedColumnFormula>
    </tableColumn>
    <tableColumn id="37" xr3:uid="{485221C0-0D00-438E-BDE5-343CD7B9DEA0}" name="Real %" dataDxfId="1204">
      <calculatedColumnFormula>IFERROR(AL4/Q4*100,0)</calculatedColumnFormula>
    </tableColumn>
    <tableColumn id="38" xr3:uid="{8B93FCA3-495B-49BB-8273-31AF01368B83}" name="Sisa" dataDxfId="1203" dataCellStyle="Comma [0]">
      <calculatedColumnFormula>Q4-AL4</calculatedColumnFormula>
    </tableColumn>
    <tableColumn id="39" xr3:uid="{E92777FB-21B0-4FEC-B74B-99E5CBE0B3F9}" name="Real %2" dataDxfId="1202">
      <calculatedColumnFormula>IFERROR(AN4/Q4*100,0)</calculatedColumnFormula>
    </tableColumn>
    <tableColumn id="40" xr3:uid="{AF8769F5-B4D9-4C85-9DA8-FD27BDBB1A6C}" name="Kode Akun" dataDxfId="1201">
      <calculatedColumnFormula>_xlfn.TEXTJOIN(".",TRUE,C4,E4,G4,I4,K4,M4,O4)</calculatedColumnFormula>
    </tableColumn>
    <tableColumn id="41" xr3:uid="{3D3B549A-EABA-490D-9DA6-37523724BE61}" name="Status Covid" dataDxfId="1200">
      <calculatedColumnFormula>IF(ISNUMBER(SEARCH("COVID",SP2D_GAJI[[#This Row],[Akun]])),"COVID","Non COVID")</calculatedColumnFormula>
    </tableColumn>
    <tableColumn id="42" xr3:uid="{184FBB69-68B1-4E38-891F-51917E4DC587}" name="Status Realisasi" dataDxfId="1199">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98">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97"/>
    <tableColumn id="45" xr3:uid="{9C1934D8-99CF-4988-9800-1BFA557120E5}" name="TUP 1" dataDxfId="1196"/>
    <tableColumn id="46" xr3:uid="{A4CF8F3D-CD3D-44F3-9820-88903E09EF80}" name="GUP 2" dataDxfId="1195"/>
    <tableColumn id="47" xr3:uid="{099E42CD-67D0-44DB-B845-55EC12EB7D6E}" name="GUP 3" dataDxfId="1194"/>
    <tableColumn id="48" xr3:uid="{B5E0BACE-F6DB-4087-90C7-B2D17ED966B6}" name="GUP 4" dataDxfId="1193"/>
    <tableColumn id="49" xr3:uid="{BDAA27ED-0F52-48FE-B061-0279E351DC40}" name="GUP 5" dataDxfId="1192"/>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184" headerRowBorderDxfId="1183" tableBorderDxfId="1182">
  <autoFilter ref="B249:BI265" xr:uid="{A3F03F6D-6A59-461B-A929-C35C787407F3}"/>
  <tableColumns count="60">
    <tableColumn id="1" xr3:uid="{006731C9-F32D-4A40-8CDB-A1548E10C0D4}" name="KODE" dataDxfId="1181"/>
    <tableColumn id="2" xr3:uid="{A9307D7A-2701-4752-B274-B25BEF4C5078}" name="URAIAN" dataDxfId="1180"/>
    <tableColumn id="3" xr3:uid="{FCCF3154-C285-471C-AC86-6DCF2BB5907D}" name="VOL" dataDxfId="1179"/>
    <tableColumn id="4" xr3:uid="{C6A127B2-6CDD-4E0C-AF9D-730F6DDD09BC}" name="SATUAN" dataDxfId="1178"/>
    <tableColumn id="5" xr3:uid="{3F90CE26-DF36-4D37-9C47-12A1CEB8D773}" name="Pagu Revisi" dataDxfId="1177" dataCellStyle="Comma [0]"/>
    <tableColumn id="6" xr3:uid="{A2F11568-8A8E-4AFC-9F99-BFB17EAEEC9C}" name="Pagu Semula" dataDxfId="1176" dataCellStyle="Comma [0]"/>
    <tableColumn id="7" xr3:uid="{B7EE8BCB-D0ED-4450-8EBB-6FD673560D7C}" name="Blokir AA ke 1" dataDxfId="1175" dataCellStyle="Comma [0]"/>
    <tableColumn id="8" xr3:uid="{9EDAF3A8-6D97-400A-848D-D47BF571F43E}" name="Blokir AA ke 2" dataDxfId="1174" dataCellStyle="Comma [0]">
      <calculatedColumnFormula>G250-F250</calculatedColumnFormula>
    </tableColumn>
    <tableColumn id="9" xr3:uid="{63315451-3A2B-4613-A63E-C9450FC73D6C}" name="JANUARI" dataDxfId="1173" dataCellStyle="Comma [0]"/>
    <tableColumn id="10" xr3:uid="{16EC35FF-13CF-4870-920C-AAB913E770C7}" name="Column4" dataDxfId="1172" dataCellStyle="Comma [0]"/>
    <tableColumn id="11" xr3:uid="{729D99E3-0A52-4B2E-A9C0-DE02E05ED840}" name="Column5" dataDxfId="1171" dataCellStyle="Comma [0]"/>
    <tableColumn id="12" xr3:uid="{AB374DB6-7598-4C30-A85F-F63F132B7BA1}" name="FEBRUARI" dataDxfId="1170" dataCellStyle="Normal 5"/>
    <tableColumn id="13" xr3:uid="{2D1151EC-AD11-4F11-9D1D-698FBA569F26}" name="Column6" dataDxfId="1169" dataCellStyle="Comma [0]"/>
    <tableColumn id="14" xr3:uid="{C25F446B-37CA-4C46-8DE3-5CBDF83F99DF}" name="Column7" dataDxfId="1168" dataCellStyle="Comma [0]"/>
    <tableColumn id="15" xr3:uid="{2B771376-C41A-4F53-BC5F-03146D6453D2}" name="MARET" dataDxfId="1167" dataCellStyle="Normal 5"/>
    <tableColumn id="16" xr3:uid="{26AE15C1-AF2B-46A7-ADBC-F20B8677DE0D}" name="Column8" dataDxfId="1166" dataCellStyle="Comma [0]"/>
    <tableColumn id="17" xr3:uid="{DFBDA772-EF7F-41E6-9DFB-E477C75E4388}" name="Column9" dataDxfId="1165" dataCellStyle="Comma [0]"/>
    <tableColumn id="18" xr3:uid="{041FDBBB-13D6-40FC-B497-A1E84A4034E8}" name="APRIL" dataDxfId="1164" dataCellStyle="Normal 5"/>
    <tableColumn id="19" xr3:uid="{6168E056-C134-418C-BAA8-73541257F097}" name="Column10" dataDxfId="1163" dataCellStyle="Comma [0]"/>
    <tableColumn id="20" xr3:uid="{ECE7E801-4FE3-4CB0-B83E-AEDB75DF320F}" name="Column11" dataDxfId="1162" dataCellStyle="Comma [0]"/>
    <tableColumn id="21" xr3:uid="{44FEDD28-091B-4680-A5C6-30F0F745EBBE}" name="MEI" dataDxfId="1161"/>
    <tableColumn id="22" xr3:uid="{34244EC1-125A-49F5-8D4B-77C41595EB78}" name="Column12" dataDxfId="1160" dataCellStyle="Comma [0]"/>
    <tableColumn id="23" xr3:uid="{695AAE0C-3DE2-4C12-A556-529DF387A4B7}" name="Column13" dataDxfId="1159" dataCellStyle="Comma [0]"/>
    <tableColumn id="24" xr3:uid="{EE45409D-1AE3-4403-87A9-813634308CF5}" name="JUNI" dataDxfId="1158" dataCellStyle="Comma [0]"/>
    <tableColumn id="25" xr3:uid="{5F933D02-7432-46D2-889E-A346FBEB81C1}" name="Column14" dataDxfId="1157" dataCellStyle="Comma [0]"/>
    <tableColumn id="26" xr3:uid="{E340073A-FA27-4696-9028-62785F671D51}" name="Column15" dataDxfId="1156" dataCellStyle="Comma [0]"/>
    <tableColumn id="27" xr3:uid="{3C80F9B3-4335-4BCB-A2DB-8F873DB578A1}" name="JULI" dataDxfId="1155" dataCellStyle="Comma [0]"/>
    <tableColumn id="28" xr3:uid="{0B52D128-430F-4AE8-AF42-C77BCC1DE967}" name="Column16" dataDxfId="1154" dataCellStyle="Comma [0]"/>
    <tableColumn id="29" xr3:uid="{9AA400AA-D217-47D3-8A29-9AD35366E1E5}" name="Column17" dataDxfId="1153" dataCellStyle="Comma [0]"/>
    <tableColumn id="30" xr3:uid="{7A16243F-CC4F-4632-957C-54DF727D1493}" name="AGUSTUS" dataDxfId="1152" dataCellStyle="Comma [0]"/>
    <tableColumn id="31" xr3:uid="{F53FA9C1-6878-4D23-96E5-3E23407112F3}" name="Column18" dataDxfId="1151" dataCellStyle="Comma [0]"/>
    <tableColumn id="32" xr3:uid="{56226304-FD99-45E9-B47F-4A0989BC4182}" name="Column19" dataDxfId="1150" dataCellStyle="Comma [0]"/>
    <tableColumn id="33" xr3:uid="{918328DE-54FE-4538-8A7A-0C76AA1E939A}" name="SEPTEMBER" dataDxfId="1149" dataCellStyle="Comma [0]"/>
    <tableColumn id="34" xr3:uid="{D961E510-3ED4-4CF9-A7AF-9649B976EA3E}" name="Column20" dataDxfId="1148" dataCellStyle="Comma [0]"/>
    <tableColumn id="35" xr3:uid="{91DB1DE3-8092-461D-A09A-AE460872B6BA}" name="Column21" dataDxfId="1147" dataCellStyle="Comma [0]"/>
    <tableColumn id="36" xr3:uid="{CE58699D-2136-4257-BAD1-7398B982526B}" name="OKTOBER" dataDxfId="1146" dataCellStyle="Comma [0]"/>
    <tableColumn id="37" xr3:uid="{1F4E6F0B-F4F1-4921-A7D5-72862BF6A622}" name="Column22" dataDxfId="1145" dataCellStyle="Comma [0]"/>
    <tableColumn id="38" xr3:uid="{B76BAD65-739D-4E3A-852D-D26916987757}" name="Column23" dataDxfId="1144" dataCellStyle="Comma [0]"/>
    <tableColumn id="39" xr3:uid="{12105BE2-33F4-4402-9A97-62E8F6987E7A}" name="NOVEMBER" dataDxfId="1143" dataCellStyle="Comma [0]"/>
    <tableColumn id="40" xr3:uid="{C58384D0-120F-4BEC-B941-E06587266945}" name="Column24" dataDxfId="1142" dataCellStyle="Comma [0]"/>
    <tableColumn id="41" xr3:uid="{A058820D-F058-4589-9874-D1A00D172D60}" name="Column25" dataDxfId="1141" dataCellStyle="Comma [0]"/>
    <tableColumn id="42" xr3:uid="{CE32C95C-C534-407E-B4B0-C5BE507ACC7B}" name="DESEMBER" dataDxfId="1140" dataCellStyle="Comma [0]"/>
    <tableColumn id="43" xr3:uid="{4AA20C6C-166D-40D3-B153-84B32F3DA47E}" name="Column26" dataDxfId="1139" dataCellStyle="Comma [0]"/>
    <tableColumn id="44" xr3:uid="{B6199075-DD1D-4379-9C80-D5E0E5D4086B}" name="Column27" dataDxfId="1138" dataCellStyle="Comma [0]"/>
    <tableColumn id="60" xr3:uid="{3C61A917-E0F5-4636-A796-FC4704C4B7A3}" name="Column28" dataDxfId="1137" dataCellStyle="Comma [0]"/>
    <tableColumn id="45" xr3:uid="{025D8148-41D1-493D-8F91-43A4491832E5}" name="REALISASI" dataDxfId="1136" dataCellStyle="Comma [0]">
      <calculatedColumnFormula>SUM(J250:AS250)</calculatedColumnFormula>
    </tableColumn>
    <tableColumn id="46" xr3:uid="{EB91123A-1AE6-419C-99DE-3A8BFD669434}" name="%" dataDxfId="1135">
      <calculatedColumnFormula>IFERROR(AU250/F250*100,0)</calculatedColumnFormula>
    </tableColumn>
    <tableColumn id="47" xr3:uid="{B367B8B8-4A10-4559-8042-C79AD776D92F}" name="SISA PAGU" dataDxfId="1134">
      <calculatedColumnFormula>F250-AU250</calculatedColumnFormula>
    </tableColumn>
    <tableColumn id="48" xr3:uid="{4447787F-4DC2-4E59-B3FB-02DC54A3FEB4}" name="%28" dataDxfId="1133">
      <calculatedColumnFormula>AW250/F250*100</calculatedColumnFormula>
    </tableColumn>
    <tableColumn id="49" xr3:uid="{C7CC6506-6ABE-4181-9F4B-FEC5B702B017}" name="KOORDINATOR" dataDxfId="1132"/>
    <tableColumn id="50" xr3:uid="{048FA016-E7FA-4ECE-BABA-429AD0AEF890}" name="Subkoordinator"/>
    <tableColumn id="51" xr3:uid="{B38F358A-82BF-496A-A23D-71F2B98B29E5}" name="Jenis Belanja Barang"/>
    <tableColumn id="52" xr3:uid="{DB80BE10-1DFD-4F7D-BB32-35C9FE353EFD}" name="SPBy" dataDxfId="1131" dataCellStyle="Comma [0]"/>
    <tableColumn id="53" xr3:uid="{078C675B-A0F3-404E-848C-5D5DFFD077BC}" name="Column29"/>
    <tableColumn id="54" xr3:uid="{434FFD64-27FE-4383-9669-FEE5F6BE4180}" name="Column30" dataDxfId="113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1129"/>
    <tableColumn id="2" xr3:uid="{5BC9D503-C697-4646-A885-6D4091E43BF2}" name="KDSATKER" dataDxfId="1128"/>
    <tableColumn id="3" xr3:uid="{2468777D-09C6-4190-A7D7-3856AED4B0DC}" name="Nama Satker" dataDxfId="1127"/>
    <tableColumn id="4" xr3:uid="{16A00B15-5672-4807-A7B3-7836D971B1BE}" name="KODE_PROGRAM" dataDxfId="1126"/>
    <tableColumn id="5" xr3:uid="{D4DEA1DA-5220-4065-A0D6-3135415B01C1}" name="KODE_KEGIATAN" dataDxfId="1125"/>
    <tableColumn id="6" xr3:uid="{C50E0EDB-14F6-43BC-ACF2-256EC5B9B180}" name="KODE_OUTPUT" dataDxfId="1124"/>
    <tableColumn id="7" xr3:uid="{8FBA10E1-0E96-4922-B8EC-D4A50B88E75F}" name="KD_KRO" dataDxfId="1123"/>
    <tableColumn id="8" xr3:uid="{317FE007-6562-4E85-8A9C-3B430B543554}" name="KDIB" dataDxfId="1122"/>
    <tableColumn id="9" xr3:uid="{6584A98F-A68E-474F-8195-DDDA966EF876}" name="VOLUME_OUTPUT"/>
    <tableColumn id="10" xr3:uid="{AFB8BE51-94E0-47D3-90A5-119985FD6AAD}" name="KODE_SUBOUTPUT" dataDxfId="1121"/>
    <tableColumn id="11" xr3:uid="{2CD5BEB9-3ECE-403E-860B-3993709ED509}" name="VOLUME_SUBOUTPUT"/>
    <tableColumn id="12" xr3:uid="{047504C2-3496-4CB1-BF56-3B25B9DCC88F}" name="KODE_KOMPONEN" dataDxfId="1120"/>
    <tableColumn id="13" xr3:uid="{B132E252-5C42-423D-88E2-98EDF264B984}" name="KODE_SUBKOMPONEN" dataDxfId="1119"/>
    <tableColumn id="14" xr3:uid="{6FAAA068-4A11-4CBB-BD21-9762F30C8DBA}" name="URAIAN_SUBKOMPONEN" dataDxfId="1118"/>
    <tableColumn id="15" xr3:uid="{6F6505F2-99A0-4336-A759-7E0CEB1A305D}" name="KODE_AKUN" dataDxfId="1117"/>
    <tableColumn id="16" xr3:uid="{C8F64F1B-37AA-4A9C-9813-092AA9B8B9AB}" name="KODE_JENIS_BEBAN" dataDxfId="1116"/>
    <tableColumn id="17" xr3:uid="{F236A4FB-BB07-4DCF-B81E-C56664374308}" name="KODE_CARA_TARIK" dataDxfId="1115"/>
    <tableColumn id="18" xr3:uid="{452B28A2-2E6F-4438-A202-3237824B009D}" name="KODE_JENIS_BANTUAN" dataDxfId="1114"/>
    <tableColumn id="19" xr3:uid="{1A6DAE92-1F64-4D71-9F2E-DC883F14E0DE}" name="KODE_REGISTER" dataDxfId="1113"/>
    <tableColumn id="20" xr3:uid="{61FDBA5E-AB03-4207-A7F6-A7F33A7ADB71}" name="HEADER1" dataDxfId="1112"/>
    <tableColumn id="21" xr3:uid="{E045011E-89EF-475C-AFDF-1281C8B3B5B8}" name="HEADER2" dataDxfId="1111"/>
    <tableColumn id="22" xr3:uid="{FE60EFA6-36AD-4774-AFE2-5406C1F19B35}" name="KODE_ITEM" dataDxfId="1110"/>
    <tableColumn id="23" xr3:uid="{BCB36A2C-CB7E-44DD-AC68-7CADE0286086}" name="NOMOR_ITEM" dataDxfId="1109"/>
    <tableColumn id="24" xr3:uid="{F4A2CC1D-7AB4-4560-9F08-13AC85EA0796}" name="CONS_ITEM" dataDxfId="1108"/>
    <tableColumn id="25" xr3:uid="{F0241D79-2801-4F49-BBCF-663A5EACA9B1}" name="URAIAN_ITEM" dataDxfId="1107"/>
    <tableColumn id="26" xr3:uid="{09BBBAA0-B9F4-4D59-B65C-190FD9621CC2}" name="SUMBER_DANA" dataDxfId="1106"/>
    <tableColumn id="27" xr3:uid="{2439D999-B92C-43E4-9C45-C8237BE94146}" name="VOL_KEG_1"/>
    <tableColumn id="28" xr3:uid="{DE562D61-6F74-41E6-8FDA-8C21EABE60F4}" name="SAT_KEG_1" dataDxfId="1105"/>
    <tableColumn id="29" xr3:uid="{3EADD96C-6652-4B64-9D55-FDF5026C4C42}" name="VOL_KEG_2"/>
    <tableColumn id="30" xr3:uid="{C13B8F85-2BC2-44CE-9CC4-377F0EFBB273}" name="SAT_KEG_2" dataDxfId="1104"/>
    <tableColumn id="31" xr3:uid="{BC9D28A6-2958-4949-A919-338C7A4F39DE}" name="VOL_KEG_3"/>
    <tableColumn id="32" xr3:uid="{47189097-112B-4337-ABCB-B7D029F6BA0F}" name="SAT_KEG_3" dataDxfId="1103"/>
    <tableColumn id="33" xr3:uid="{928C5C2C-20BD-4EC9-9446-8857181C26B8}" name="VOL_KEG_4"/>
    <tableColumn id="34" xr3:uid="{358615D4-C962-4A72-8560-334954E09110}" name="SAT_KEG_4" dataDxfId="1102"/>
    <tableColumn id="35" xr3:uid="{3AB2D5D9-FADE-4173-BEA1-1CE53C8FC59F}" name="VOLKEG"/>
    <tableColumn id="36" xr3:uid="{FD1E2CB4-B975-4E20-AFBF-BFD1F7287F95}" name="SATKEG" dataDxfId="1101"/>
    <tableColumn id="37" xr3:uid="{18F63D97-D189-42E0-9CC0-F1B5BD044A0B}" name="HARGASAT"/>
    <tableColumn id="38" xr3:uid="{448C53F6-C15A-489D-B115-0EB0C1A2058B}" name="TOTAL"/>
    <tableColumn id="39" xr3:uid="{AA5485E7-14D9-4EAF-9A9E-E4F5F4721326}" name="KODE_BLOKIR" dataDxfId="1100"/>
    <tableColumn id="40" xr3:uid="{CB3D17F4-137A-43D1-B4AF-FDF0319FB9B3}" name="NILAI_BLOKIR"/>
    <tableColumn id="41" xr3:uid="{8AFCBE1D-6578-43D1-9159-146D39B30E22}" name="KODE_STS_HISTORY" dataDxfId="1099"/>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098"/>
    <tableColumn id="55" xr3:uid="{DB6EFD28-1529-411E-B159-DD011020A260}" name="Kegiatan" dataDxfId="1097"/>
    <tableColumn id="56" xr3:uid="{2F360108-6D79-4B11-BBCC-013B6F79BCF2}" name="KRO" dataDxfId="1096"/>
    <tableColumn id="57" xr3:uid="{E90D74C1-E1A7-4E38-AD43-C72B28CE2CC1}" name="Nama RO" dataDxfId="1095"/>
    <tableColumn id="58" xr3:uid="{B523D496-3B20-4E80-9A9D-B075428D0D62}" name="Nama Komponen" dataDxfId="1094"/>
    <tableColumn id="59" xr3:uid="{162D4E2D-7A66-4103-A2F6-3B6EE78D2318}" name="Nama SubKomponen" dataDxfId="1093"/>
    <tableColumn id="60" xr3:uid="{C5621FDE-3CC3-42C0-BFCB-5ED15715768C}" name="Es2" dataDxfId="1092"/>
    <tableColumn id="61" xr3:uid="{11ACDFA3-3BB0-4930-8B3C-901C7E2561FB}" name="Koord" dataDxfId="1091"/>
    <tableColumn id="62" xr3:uid="{DED5D6AF-83A3-477F-BCD1-60CC335FD634}" name="SubKoord" dataDxfId="1090"/>
    <tableColumn id="63" xr3:uid="{11E6C36B-CF7A-4701-A8AC-3B1ACD9812A4}" name="KetAkun" dataDxfId="1089"/>
    <tableColumn id="64" xr3:uid="{C1A91565-DD43-470C-AE92-630F99291B42}" name="Uraian" dataDxfId="1088"/>
    <tableColumn id="65" xr3:uid="{AA4C6B82-BD5E-4248-B8DB-4B25D2B3CC86}" name="Jenis Belanja" dataDxfId="1087"/>
    <tableColumn id="66" xr3:uid="{4279E987-A663-4156-B046-04A84E0EACBD}" name="Status Akun" dataDxfId="1086"/>
    <tableColumn id="67" xr3:uid="{80DDC1EC-11DC-497C-9F63-080DBEBC8D76}" name="Status Covid" dataDxfId="1085"/>
    <tableColumn id="68" xr3:uid="{C3591F34-F7E4-45FB-9870-A5AEE3D3AB0D}" name="MAK" dataDxfId="1084">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0" t="s">
        <v>577</v>
      </c>
      <c r="C1" s="520"/>
      <c r="D1" s="520"/>
      <c r="E1" s="520"/>
      <c r="F1" s="520"/>
      <c r="G1" s="520"/>
      <c r="I1" s="9"/>
    </row>
    <row r="2" spans="1:10" ht="15">
      <c r="B2" s="521" t="s">
        <v>593</v>
      </c>
      <c r="C2" s="521"/>
      <c r="D2" s="521"/>
      <c r="E2" s="521"/>
      <c r="F2" s="521"/>
      <c r="G2" s="521"/>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2" t="s">
        <v>585</v>
      </c>
      <c r="C9" s="524" t="s">
        <v>586</v>
      </c>
      <c r="D9" s="525" t="s">
        <v>587</v>
      </c>
      <c r="E9" s="522" t="s">
        <v>588</v>
      </c>
      <c r="F9" s="525" t="s">
        <v>589</v>
      </c>
      <c r="G9" s="525" t="s">
        <v>590</v>
      </c>
      <c r="I9" s="14"/>
    </row>
    <row r="10" spans="1:10" s="16" customFormat="1" ht="15">
      <c r="A10" s="15" t="s">
        <v>499</v>
      </c>
      <c r="B10" s="523"/>
      <c r="C10" s="523"/>
      <c r="D10" s="523"/>
      <c r="E10" s="526"/>
      <c r="F10" s="523"/>
      <c r="G10" s="523"/>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7" t="s">
        <v>575</v>
      </c>
      <c r="J13" s="518" t="s">
        <v>576</v>
      </c>
    </row>
    <row r="14" spans="1:10">
      <c r="A14" s="7" t="s">
        <v>199</v>
      </c>
      <c r="B14" s="25" t="s">
        <v>194</v>
      </c>
      <c r="C14" s="26" t="s">
        <v>2</v>
      </c>
      <c r="D14" s="25"/>
      <c r="E14" s="55"/>
      <c r="F14" s="27"/>
      <c r="G14" s="27">
        <v>1500000000</v>
      </c>
      <c r="I14" s="517"/>
      <c r="J14" s="518"/>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9"/>
      <c r="J22" s="519"/>
    </row>
    <row r="23" spans="1:10">
      <c r="A23" s="7" t="s">
        <v>208</v>
      </c>
      <c r="B23" s="43" t="s">
        <v>195</v>
      </c>
      <c r="C23" s="44" t="s">
        <v>599</v>
      </c>
      <c r="D23" s="47">
        <v>1</v>
      </c>
      <c r="E23" s="61" t="s">
        <v>9</v>
      </c>
      <c r="F23" s="45">
        <v>1000000</v>
      </c>
      <c r="G23" s="45">
        <v>1000000</v>
      </c>
      <c r="I23" s="519"/>
      <c r="J23" s="519"/>
    </row>
    <row r="24" spans="1:10">
      <c r="A24" s="7" t="s">
        <v>209</v>
      </c>
      <c r="B24" s="40" t="s">
        <v>513</v>
      </c>
      <c r="C24" s="41" t="s">
        <v>11</v>
      </c>
      <c r="D24" s="40"/>
      <c r="E24" s="60"/>
      <c r="F24" s="42"/>
      <c r="G24" s="42">
        <v>9000000</v>
      </c>
      <c r="I24" s="519"/>
      <c r="J24" s="519"/>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1" hidden="1" customWidth="1"/>
    <col min="2" max="2" width="16.28515625" style="389" customWidth="1"/>
    <col min="3" max="3" width="52.28515625" style="389" customWidth="1"/>
    <col min="4" max="4" width="5.85546875" style="389" bestFit="1" customWidth="1"/>
    <col min="5" max="5" width="10.28515625" style="389" bestFit="1" customWidth="1"/>
    <col min="6" max="6" width="15.28515625" style="389" bestFit="1" customWidth="1"/>
    <col min="7" max="7" width="16.28515625" style="389" customWidth="1"/>
    <col min="8" max="16384" width="14" style="381"/>
  </cols>
  <sheetData>
    <row r="1" spans="1:7" ht="15.75">
      <c r="A1" s="380"/>
      <c r="B1" s="527" t="s">
        <v>577</v>
      </c>
      <c r="C1" s="527"/>
      <c r="D1" s="527"/>
      <c r="E1" s="527"/>
      <c r="F1" s="527"/>
      <c r="G1" s="527"/>
    </row>
    <row r="2" spans="1:7" ht="15.75">
      <c r="A2" s="380"/>
      <c r="B2" s="527" t="s">
        <v>4831</v>
      </c>
      <c r="C2" s="527"/>
      <c r="D2" s="527"/>
      <c r="E2" s="527"/>
      <c r="F2" s="527"/>
      <c r="G2" s="527"/>
    </row>
    <row r="3" spans="1:7" ht="15.75">
      <c r="A3" s="380"/>
      <c r="B3" s="382"/>
      <c r="C3" s="382"/>
      <c r="D3" s="382"/>
      <c r="E3" s="382"/>
      <c r="F3" s="382"/>
      <c r="G3" s="383"/>
    </row>
    <row r="4" spans="1:7" ht="15">
      <c r="A4" s="380"/>
      <c r="B4" s="384" t="s">
        <v>578</v>
      </c>
      <c r="C4" s="384" t="s">
        <v>579</v>
      </c>
      <c r="D4" s="385"/>
      <c r="E4" s="385"/>
      <c r="F4" s="384"/>
      <c r="G4" s="386"/>
    </row>
    <row r="5" spans="1:7" ht="15">
      <c r="A5" s="380"/>
      <c r="B5" s="384" t="s">
        <v>580</v>
      </c>
      <c r="C5" s="384" t="s">
        <v>581</v>
      </c>
      <c r="D5" s="385"/>
      <c r="E5" s="385"/>
      <c r="F5" s="384"/>
      <c r="G5" s="386"/>
    </row>
    <row r="6" spans="1:7" ht="15">
      <c r="A6" s="380"/>
      <c r="B6" s="384" t="s">
        <v>582</v>
      </c>
      <c r="C6" s="384" t="s">
        <v>583</v>
      </c>
      <c r="D6" s="385"/>
      <c r="E6" s="385"/>
      <c r="F6" s="384"/>
      <c r="G6" s="386"/>
    </row>
    <row r="7" spans="1:7" ht="15.75">
      <c r="A7" s="380"/>
      <c r="B7" s="384" t="s">
        <v>584</v>
      </c>
      <c r="C7" s="387" t="str">
        <f>": Rp. "&amp;TEXT(G12,"#.##") &amp; " (Non Belanja Pegawai)"</f>
        <v>: Rp. 16.863.164.000 (Non Belanja Pegawai)</v>
      </c>
      <c r="D7" s="385"/>
      <c r="E7" s="385"/>
      <c r="F7" s="384"/>
      <c r="G7" s="386"/>
    </row>
    <row r="8" spans="1:7" ht="15">
      <c r="A8" s="380"/>
      <c r="B8" s="385"/>
      <c r="C8" s="385"/>
      <c r="D8" s="385"/>
      <c r="E8" s="385"/>
      <c r="F8" s="385"/>
      <c r="G8" s="388"/>
    </row>
    <row r="9" spans="1:7">
      <c r="A9" s="389"/>
      <c r="B9" s="528" t="s">
        <v>585</v>
      </c>
      <c r="C9" s="530" t="s">
        <v>586</v>
      </c>
      <c r="D9" s="531" t="s">
        <v>587</v>
      </c>
      <c r="E9" s="528" t="s">
        <v>588</v>
      </c>
      <c r="F9" s="531" t="s">
        <v>589</v>
      </c>
      <c r="G9" s="531" t="s">
        <v>590</v>
      </c>
    </row>
    <row r="10" spans="1:7" ht="15">
      <c r="A10" s="390" t="s">
        <v>499</v>
      </c>
      <c r="B10" s="529"/>
      <c r="C10" s="529"/>
      <c r="D10" s="529"/>
      <c r="E10" s="529"/>
      <c r="F10" s="529"/>
      <c r="G10" s="529"/>
    </row>
    <row r="11" spans="1:7" s="393" customFormat="1" ht="11.25">
      <c r="A11" s="391"/>
      <c r="B11" s="392">
        <v>1</v>
      </c>
      <c r="C11" s="392">
        <v>2</v>
      </c>
      <c r="D11" s="392">
        <v>3</v>
      </c>
      <c r="E11" s="392">
        <v>4</v>
      </c>
      <c r="F11" s="392">
        <v>5</v>
      </c>
      <c r="G11" s="392">
        <v>6</v>
      </c>
    </row>
    <row r="12" spans="1:7" s="400" customFormat="1" ht="12.75">
      <c r="A12" s="394"/>
      <c r="B12" s="395"/>
      <c r="C12" s="396" t="s">
        <v>592</v>
      </c>
      <c r="D12" s="397"/>
      <c r="E12" s="398"/>
      <c r="F12" s="397"/>
      <c r="G12" s="399">
        <f>SUM(G13,G111)</f>
        <v>16863164000</v>
      </c>
    </row>
    <row r="13" spans="1:7" s="400" customFormat="1" ht="12.75">
      <c r="A13" s="380" t="s">
        <v>0</v>
      </c>
      <c r="B13" s="401" t="s">
        <v>0</v>
      </c>
      <c r="C13" s="402" t="s">
        <v>1</v>
      </c>
      <c r="D13" s="401"/>
      <c r="E13" s="401"/>
      <c r="F13" s="403"/>
      <c r="G13" s="403">
        <f t="shared" ref="G13:G15" si="0">G14</f>
        <v>1000000000</v>
      </c>
    </row>
    <row r="14" spans="1:7" s="400" customFormat="1" ht="12.75">
      <c r="A14" s="380" t="s">
        <v>419</v>
      </c>
      <c r="B14" s="404">
        <v>2376</v>
      </c>
      <c r="C14" s="405" t="s">
        <v>47</v>
      </c>
      <c r="D14" s="406"/>
      <c r="E14" s="404"/>
      <c r="F14" s="407"/>
      <c r="G14" s="407">
        <f t="shared" si="0"/>
        <v>1000000000</v>
      </c>
    </row>
    <row r="15" spans="1:7" s="400" customFormat="1" ht="12.75">
      <c r="A15" s="380" t="s">
        <v>420</v>
      </c>
      <c r="B15" s="408" t="s">
        <v>48</v>
      </c>
      <c r="C15" s="409" t="s">
        <v>594</v>
      </c>
      <c r="D15" s="410">
        <v>4</v>
      </c>
      <c r="E15" s="408" t="s">
        <v>3528</v>
      </c>
      <c r="F15" s="411"/>
      <c r="G15" s="411">
        <f t="shared" si="0"/>
        <v>1000000000</v>
      </c>
    </row>
    <row r="16" spans="1:7" s="400" customFormat="1" ht="25.5">
      <c r="A16" s="380" t="s">
        <v>421</v>
      </c>
      <c r="B16" s="412" t="s">
        <v>3540</v>
      </c>
      <c r="C16" s="413" t="s">
        <v>49</v>
      </c>
      <c r="D16" s="412">
        <v>4</v>
      </c>
      <c r="E16" s="412" t="s">
        <v>3528</v>
      </c>
      <c r="F16" s="414"/>
      <c r="G16" s="414">
        <f t="shared" ref="G16" si="1">SUM(G17,G38,G49,G98)</f>
        <v>1000000000</v>
      </c>
    </row>
    <row r="17" spans="1:7" s="400" customFormat="1" ht="12.75">
      <c r="A17" s="380" t="s">
        <v>422</v>
      </c>
      <c r="B17" s="415" t="s">
        <v>502</v>
      </c>
      <c r="C17" s="416" t="s">
        <v>50</v>
      </c>
      <c r="D17" s="417"/>
      <c r="E17" s="415"/>
      <c r="F17" s="418"/>
      <c r="G17" s="418">
        <f t="shared" ref="G17" si="2">SUM(G18,G28)</f>
        <v>124100000</v>
      </c>
    </row>
    <row r="18" spans="1:7" s="400" customFormat="1" ht="12.75">
      <c r="A18" s="380" t="s">
        <v>423</v>
      </c>
      <c r="B18" s="419" t="s">
        <v>8</v>
      </c>
      <c r="C18" s="420" t="s">
        <v>51</v>
      </c>
      <c r="D18" s="419"/>
      <c r="E18" s="419"/>
      <c r="F18" s="421"/>
      <c r="G18" s="421">
        <f t="shared" ref="G18" si="3">SUM(G19,G24,G26)</f>
        <v>83135000</v>
      </c>
    </row>
    <row r="19" spans="1:7" s="400" customFormat="1" ht="12.75">
      <c r="A19" s="380" t="s">
        <v>424</v>
      </c>
      <c r="B19" s="422">
        <v>521211</v>
      </c>
      <c r="C19" s="423" t="s">
        <v>7</v>
      </c>
      <c r="D19" s="424"/>
      <c r="E19" s="422"/>
      <c r="F19" s="425"/>
      <c r="G19" s="425">
        <f t="shared" ref="G19" si="4">SUM(G20:G23)</f>
        <v>19875000</v>
      </c>
    </row>
    <row r="20" spans="1:7" s="400" customFormat="1" ht="12.75">
      <c r="A20" s="380" t="s">
        <v>425</v>
      </c>
      <c r="B20" s="426"/>
      <c r="C20" s="427" t="s">
        <v>3541</v>
      </c>
      <c r="D20" s="428">
        <v>125</v>
      </c>
      <c r="E20" s="426" t="s">
        <v>10</v>
      </c>
      <c r="F20" s="429">
        <v>75000</v>
      </c>
      <c r="G20" s="429">
        <f t="shared" ref="G20:G23" si="5">ROUNDDOWN(D20*F20,-3)</f>
        <v>9375000</v>
      </c>
    </row>
    <row r="21" spans="1:7" s="400" customFormat="1" ht="12.75">
      <c r="A21" s="380" t="s">
        <v>426</v>
      </c>
      <c r="B21" s="426"/>
      <c r="C21" s="427" t="s">
        <v>3542</v>
      </c>
      <c r="D21" s="426">
        <v>3</v>
      </c>
      <c r="E21" s="426" t="s">
        <v>106</v>
      </c>
      <c r="F21" s="429">
        <v>1000000</v>
      </c>
      <c r="G21" s="429">
        <f t="shared" si="5"/>
        <v>3000000</v>
      </c>
    </row>
    <row r="22" spans="1:7" s="400" customFormat="1" ht="12.75">
      <c r="A22" s="380" t="s">
        <v>427</v>
      </c>
      <c r="B22" s="426"/>
      <c r="C22" s="427" t="s">
        <v>3530</v>
      </c>
      <c r="D22" s="428">
        <v>3</v>
      </c>
      <c r="E22" s="426" t="s">
        <v>106</v>
      </c>
      <c r="F22" s="429">
        <v>1000000</v>
      </c>
      <c r="G22" s="429">
        <f t="shared" si="5"/>
        <v>3000000</v>
      </c>
    </row>
    <row r="23" spans="1:7" s="400" customFormat="1" ht="12.75">
      <c r="A23" s="380" t="s">
        <v>428</v>
      </c>
      <c r="B23" s="426"/>
      <c r="C23" s="427" t="s">
        <v>3531</v>
      </c>
      <c r="D23" s="426">
        <v>3</v>
      </c>
      <c r="E23" s="426" t="s">
        <v>106</v>
      </c>
      <c r="F23" s="429">
        <v>1500000</v>
      </c>
      <c r="G23" s="429">
        <f t="shared" si="5"/>
        <v>4500000</v>
      </c>
    </row>
    <row r="24" spans="1:7" s="400" customFormat="1" ht="12.75">
      <c r="A24" s="380" t="s">
        <v>751</v>
      </c>
      <c r="B24" s="422">
        <v>522151</v>
      </c>
      <c r="C24" s="423" t="s">
        <v>11</v>
      </c>
      <c r="D24" s="424"/>
      <c r="E24" s="422"/>
      <c r="F24" s="425"/>
      <c r="G24" s="425">
        <f t="shared" ref="G24" si="6">G25</f>
        <v>20000000</v>
      </c>
    </row>
    <row r="25" spans="1:7" s="400" customFormat="1" ht="12.75">
      <c r="A25" s="380" t="s">
        <v>752</v>
      </c>
      <c r="B25" s="426"/>
      <c r="C25" s="427" t="s">
        <v>3543</v>
      </c>
      <c r="D25" s="426">
        <v>20</v>
      </c>
      <c r="E25" s="426" t="s">
        <v>54</v>
      </c>
      <c r="F25" s="429">
        <v>1000000</v>
      </c>
      <c r="G25" s="429">
        <f>ROUNDDOWN(D25*F25,-3)</f>
        <v>20000000</v>
      </c>
    </row>
    <row r="26" spans="1:7" s="400" customFormat="1" ht="12.75">
      <c r="A26" s="380" t="s">
        <v>429</v>
      </c>
      <c r="B26" s="422">
        <v>524111</v>
      </c>
      <c r="C26" s="423" t="s">
        <v>19</v>
      </c>
      <c r="D26" s="422"/>
      <c r="E26" s="422"/>
      <c r="F26" s="425"/>
      <c r="G26" s="425">
        <f t="shared" ref="G26" si="7">G27</f>
        <v>43260000</v>
      </c>
    </row>
    <row r="27" spans="1:7" s="400" customFormat="1" ht="25.5">
      <c r="A27" s="380" t="s">
        <v>430</v>
      </c>
      <c r="B27" s="426"/>
      <c r="C27" s="427" t="s">
        <v>3544</v>
      </c>
      <c r="D27" s="428">
        <v>9</v>
      </c>
      <c r="E27" s="426" t="s">
        <v>755</v>
      </c>
      <c r="F27" s="429">
        <v>4806667</v>
      </c>
      <c r="G27" s="429">
        <f>ROUNDDOWN(D27*F27,-3)</f>
        <v>43260000</v>
      </c>
    </row>
    <row r="28" spans="1:7" s="400" customFormat="1" ht="12.75">
      <c r="A28" s="380" t="s">
        <v>431</v>
      </c>
      <c r="B28" s="419" t="s">
        <v>508</v>
      </c>
      <c r="C28" s="420" t="s">
        <v>55</v>
      </c>
      <c r="D28" s="430"/>
      <c r="E28" s="419"/>
      <c r="F28" s="421"/>
      <c r="G28" s="421">
        <f t="shared" ref="G28" si="8">SUM(G29,G34,G36)</f>
        <v>40965000</v>
      </c>
    </row>
    <row r="29" spans="1:7" s="400" customFormat="1" ht="12.75">
      <c r="A29" s="380" t="s">
        <v>432</v>
      </c>
      <c r="B29" s="422">
        <v>521211</v>
      </c>
      <c r="C29" s="423" t="s">
        <v>7</v>
      </c>
      <c r="D29" s="424"/>
      <c r="E29" s="422"/>
      <c r="F29" s="425"/>
      <c r="G29" s="425">
        <f t="shared" ref="G29" si="9">SUM(G30:G33)</f>
        <v>19500000</v>
      </c>
    </row>
    <row r="30" spans="1:7" s="400" customFormat="1" ht="12.75">
      <c r="A30" s="380" t="s">
        <v>433</v>
      </c>
      <c r="B30" s="426"/>
      <c r="C30" s="427" t="s">
        <v>3541</v>
      </c>
      <c r="D30" s="426">
        <v>120</v>
      </c>
      <c r="E30" s="426" t="s">
        <v>10</v>
      </c>
      <c r="F30" s="429">
        <v>75000</v>
      </c>
      <c r="G30" s="429">
        <f t="shared" ref="G30:G33" si="10">ROUNDDOWN(D30*F30,-3)</f>
        <v>9000000</v>
      </c>
    </row>
    <row r="31" spans="1:7" s="400" customFormat="1" ht="12.75">
      <c r="A31" s="380" t="s">
        <v>434</v>
      </c>
      <c r="B31" s="426"/>
      <c r="C31" s="427" t="s">
        <v>3542</v>
      </c>
      <c r="D31" s="428">
        <v>3</v>
      </c>
      <c r="E31" s="426" t="s">
        <v>106</v>
      </c>
      <c r="F31" s="429">
        <v>1000000</v>
      </c>
      <c r="G31" s="429">
        <f t="shared" si="10"/>
        <v>3000000</v>
      </c>
    </row>
    <row r="32" spans="1:7" s="400" customFormat="1" ht="12.75">
      <c r="A32" s="380" t="s">
        <v>435</v>
      </c>
      <c r="B32" s="426"/>
      <c r="C32" s="427" t="s">
        <v>3530</v>
      </c>
      <c r="D32" s="426">
        <v>3</v>
      </c>
      <c r="E32" s="426" t="s">
        <v>106</v>
      </c>
      <c r="F32" s="429">
        <v>1000000</v>
      </c>
      <c r="G32" s="429">
        <f t="shared" si="10"/>
        <v>3000000</v>
      </c>
    </row>
    <row r="33" spans="1:7" s="400" customFormat="1" ht="12.75">
      <c r="A33" s="380" t="s">
        <v>436</v>
      </c>
      <c r="B33" s="426"/>
      <c r="C33" s="427" t="s">
        <v>3531</v>
      </c>
      <c r="D33" s="428">
        <v>3</v>
      </c>
      <c r="E33" s="426" t="s">
        <v>106</v>
      </c>
      <c r="F33" s="429">
        <v>1500000</v>
      </c>
      <c r="G33" s="429">
        <f t="shared" si="10"/>
        <v>4500000</v>
      </c>
    </row>
    <row r="34" spans="1:7" s="400" customFormat="1" ht="12.75">
      <c r="A34" s="380" t="s">
        <v>756</v>
      </c>
      <c r="B34" s="422">
        <v>522151</v>
      </c>
      <c r="C34" s="423" t="s">
        <v>11</v>
      </c>
      <c r="D34" s="424"/>
      <c r="E34" s="422"/>
      <c r="F34" s="425"/>
      <c r="G34" s="425">
        <f t="shared" ref="G34" si="11">G35</f>
        <v>4000000</v>
      </c>
    </row>
    <row r="35" spans="1:7" s="400" customFormat="1" ht="12.75">
      <c r="A35" s="380" t="s">
        <v>757</v>
      </c>
      <c r="B35" s="426"/>
      <c r="C35" s="427" t="s">
        <v>3543</v>
      </c>
      <c r="D35" s="426">
        <v>4</v>
      </c>
      <c r="E35" s="426" t="s">
        <v>54</v>
      </c>
      <c r="F35" s="429">
        <v>1000000</v>
      </c>
      <c r="G35" s="429">
        <f>ROUNDDOWN(D35*F35,-3)</f>
        <v>4000000</v>
      </c>
    </row>
    <row r="36" spans="1:7" s="400" customFormat="1" ht="12.75">
      <c r="A36" s="380" t="s">
        <v>437</v>
      </c>
      <c r="B36" s="422">
        <v>524111</v>
      </c>
      <c r="C36" s="423" t="s">
        <v>19</v>
      </c>
      <c r="D36" s="424"/>
      <c r="E36" s="422"/>
      <c r="F36" s="425"/>
      <c r="G36" s="425">
        <f t="shared" ref="G36" si="12">G37</f>
        <v>17465000</v>
      </c>
    </row>
    <row r="37" spans="1:7" s="400" customFormat="1" ht="25.5">
      <c r="A37" s="380" t="s">
        <v>438</v>
      </c>
      <c r="B37" s="426"/>
      <c r="C37" s="427" t="s">
        <v>4832</v>
      </c>
      <c r="D37" s="426">
        <v>6</v>
      </c>
      <c r="E37" s="426" t="s">
        <v>755</v>
      </c>
      <c r="F37" s="429">
        <v>2910883</v>
      </c>
      <c r="G37" s="429">
        <f>ROUNDDOWN(D37*F37,-3)</f>
        <v>17465000</v>
      </c>
    </row>
    <row r="38" spans="1:7" s="400" customFormat="1" ht="25.5">
      <c r="A38" s="380" t="s">
        <v>439</v>
      </c>
      <c r="B38" s="415" t="s">
        <v>517</v>
      </c>
      <c r="C38" s="416" t="s">
        <v>57</v>
      </c>
      <c r="D38" s="417"/>
      <c r="E38" s="415"/>
      <c r="F38" s="418"/>
      <c r="G38" s="418">
        <f t="shared" ref="G38" si="13">G39</f>
        <v>54500000</v>
      </c>
    </row>
    <row r="39" spans="1:7" s="400" customFormat="1" ht="25.5">
      <c r="A39" s="380" t="s">
        <v>440</v>
      </c>
      <c r="B39" s="419" t="s">
        <v>8</v>
      </c>
      <c r="C39" s="420" t="s">
        <v>59</v>
      </c>
      <c r="D39" s="419"/>
      <c r="E39" s="419"/>
      <c r="F39" s="421"/>
      <c r="G39" s="421">
        <f t="shared" ref="G39" si="14">SUM(G40,G47)</f>
        <v>54500000</v>
      </c>
    </row>
    <row r="40" spans="1:7" s="400" customFormat="1" ht="12.75">
      <c r="A40" s="380" t="s">
        <v>441</v>
      </c>
      <c r="B40" s="422">
        <v>521211</v>
      </c>
      <c r="C40" s="423" t="s">
        <v>7</v>
      </c>
      <c r="D40" s="422"/>
      <c r="E40" s="422"/>
      <c r="F40" s="425"/>
      <c r="G40" s="425">
        <f t="shared" ref="G40" si="15">SUM(G41:G46)</f>
        <v>21250000</v>
      </c>
    </row>
    <row r="41" spans="1:7" s="400" customFormat="1" ht="12.75">
      <c r="A41" s="380" t="s">
        <v>442</v>
      </c>
      <c r="B41" s="426"/>
      <c r="C41" s="427" t="s">
        <v>3541</v>
      </c>
      <c r="D41" s="428">
        <v>50</v>
      </c>
      <c r="E41" s="426" t="s">
        <v>10</v>
      </c>
      <c r="F41" s="429">
        <v>75000</v>
      </c>
      <c r="G41" s="429">
        <f t="shared" ref="G41:G46" si="16">ROUNDDOWN(D41*F41,-3)</f>
        <v>3750000</v>
      </c>
    </row>
    <row r="42" spans="1:7" s="400" customFormat="1" ht="12.75">
      <c r="A42" s="380" t="s">
        <v>443</v>
      </c>
      <c r="B42" s="426"/>
      <c r="C42" s="427" t="s">
        <v>3542</v>
      </c>
      <c r="D42" s="428">
        <v>1</v>
      </c>
      <c r="E42" s="426" t="s">
        <v>106</v>
      </c>
      <c r="F42" s="429">
        <v>1000000</v>
      </c>
      <c r="G42" s="429">
        <f t="shared" si="16"/>
        <v>1000000</v>
      </c>
    </row>
    <row r="43" spans="1:7" s="400" customFormat="1" ht="12.75">
      <c r="A43" s="380" t="s">
        <v>444</v>
      </c>
      <c r="B43" s="426"/>
      <c r="C43" s="427" t="s">
        <v>3530</v>
      </c>
      <c r="D43" s="426">
        <v>2</v>
      </c>
      <c r="E43" s="426" t="s">
        <v>106</v>
      </c>
      <c r="F43" s="429">
        <v>1000000</v>
      </c>
      <c r="G43" s="429">
        <f t="shared" si="16"/>
        <v>2000000</v>
      </c>
    </row>
    <row r="44" spans="1:7" s="400" customFormat="1" ht="12.75">
      <c r="A44" s="380" t="s">
        <v>445</v>
      </c>
      <c r="B44" s="426"/>
      <c r="C44" s="427" t="s">
        <v>3531</v>
      </c>
      <c r="D44" s="426">
        <v>2</v>
      </c>
      <c r="E44" s="426" t="s">
        <v>106</v>
      </c>
      <c r="F44" s="429">
        <v>1500000</v>
      </c>
      <c r="G44" s="429">
        <f t="shared" si="16"/>
        <v>3000000</v>
      </c>
    </row>
    <row r="45" spans="1:7" s="400" customFormat="1" ht="12.75">
      <c r="A45" s="380" t="s">
        <v>446</v>
      </c>
      <c r="B45" s="426"/>
      <c r="C45" s="427" t="s">
        <v>3545</v>
      </c>
      <c r="D45" s="426">
        <v>23</v>
      </c>
      <c r="E45" s="426" t="s">
        <v>176</v>
      </c>
      <c r="F45" s="429">
        <v>250000</v>
      </c>
      <c r="G45" s="429">
        <f t="shared" si="16"/>
        <v>5750000</v>
      </c>
    </row>
    <row r="46" spans="1:7" s="400" customFormat="1" ht="12.75">
      <c r="A46" s="380" t="s">
        <v>447</v>
      </c>
      <c r="B46" s="426"/>
      <c r="C46" s="427" t="s">
        <v>3546</v>
      </c>
      <c r="D46" s="426">
        <v>23</v>
      </c>
      <c r="E46" s="426" t="s">
        <v>58</v>
      </c>
      <c r="F46" s="429">
        <v>250000</v>
      </c>
      <c r="G46" s="429">
        <f t="shared" si="16"/>
        <v>5750000</v>
      </c>
    </row>
    <row r="47" spans="1:7" s="400" customFormat="1" ht="12.75">
      <c r="A47" s="380" t="s">
        <v>448</v>
      </c>
      <c r="B47" s="422">
        <v>524111</v>
      </c>
      <c r="C47" s="423" t="s">
        <v>19</v>
      </c>
      <c r="D47" s="424"/>
      <c r="E47" s="422"/>
      <c r="F47" s="425"/>
      <c r="G47" s="425">
        <f t="shared" ref="G47" si="17">G48</f>
        <v>33250000</v>
      </c>
    </row>
    <row r="48" spans="1:7" s="400" customFormat="1" ht="25.5">
      <c r="A48" s="380" t="s">
        <v>449</v>
      </c>
      <c r="B48" s="426"/>
      <c r="C48" s="427" t="s">
        <v>3547</v>
      </c>
      <c r="D48" s="428">
        <v>14</v>
      </c>
      <c r="E48" s="426" t="s">
        <v>755</v>
      </c>
      <c r="F48" s="429">
        <v>2375000</v>
      </c>
      <c r="G48" s="429">
        <f>ROUNDDOWN(D48*F48,-3)</f>
        <v>33250000</v>
      </c>
    </row>
    <row r="49" spans="1:7" s="400" customFormat="1" ht="12.75">
      <c r="A49" s="380" t="s">
        <v>450</v>
      </c>
      <c r="B49" s="415" t="s">
        <v>519</v>
      </c>
      <c r="C49" s="416" t="s">
        <v>61</v>
      </c>
      <c r="D49" s="417"/>
      <c r="E49" s="415"/>
      <c r="F49" s="418"/>
      <c r="G49" s="418">
        <f t="shared" ref="G49" si="18">SUM(G50,G69,G86)</f>
        <v>686300000</v>
      </c>
    </row>
    <row r="50" spans="1:7" s="400" customFormat="1" ht="12.75">
      <c r="A50" s="380" t="s">
        <v>451</v>
      </c>
      <c r="B50" s="419" t="s">
        <v>8</v>
      </c>
      <c r="C50" s="420" t="s">
        <v>62</v>
      </c>
      <c r="D50" s="419"/>
      <c r="E50" s="419"/>
      <c r="F50" s="421"/>
      <c r="G50" s="421">
        <f t="shared" ref="G50" si="19">SUM(G51,G55,G58,G61,G63,G65,G67)</f>
        <v>386924000</v>
      </c>
    </row>
    <row r="51" spans="1:7" s="400" customFormat="1" ht="12.75">
      <c r="A51" s="380" t="s">
        <v>452</v>
      </c>
      <c r="B51" s="422">
        <v>521211</v>
      </c>
      <c r="C51" s="423" t="s">
        <v>7</v>
      </c>
      <c r="D51" s="424"/>
      <c r="E51" s="422"/>
      <c r="F51" s="425"/>
      <c r="G51" s="425">
        <f t="shared" ref="G51" si="20">SUM(G52:G54)</f>
        <v>64900000</v>
      </c>
    </row>
    <row r="52" spans="1:7" s="400" customFormat="1" ht="12.75">
      <c r="A52" s="380" t="s">
        <v>453</v>
      </c>
      <c r="B52" s="426"/>
      <c r="C52" s="427" t="s">
        <v>3529</v>
      </c>
      <c r="D52" s="428">
        <v>12</v>
      </c>
      <c r="E52" s="426" t="s">
        <v>106</v>
      </c>
      <c r="F52" s="429">
        <v>1500000</v>
      </c>
      <c r="G52" s="429">
        <f t="shared" ref="G52:G54" si="21">ROUNDDOWN(D52*F52,-3)</f>
        <v>18000000</v>
      </c>
    </row>
    <row r="53" spans="1:7" s="400" customFormat="1" ht="12.75">
      <c r="A53" s="380" t="s">
        <v>454</v>
      </c>
      <c r="B53" s="426"/>
      <c r="C53" s="427" t="s">
        <v>3548</v>
      </c>
      <c r="D53" s="426">
        <v>100</v>
      </c>
      <c r="E53" s="426" t="s">
        <v>25</v>
      </c>
      <c r="F53" s="429">
        <v>69000</v>
      </c>
      <c r="G53" s="429">
        <f t="shared" si="21"/>
        <v>6900000</v>
      </c>
    </row>
    <row r="54" spans="1:7" s="400" customFormat="1" ht="12.75">
      <c r="A54" s="380" t="s">
        <v>762</v>
      </c>
      <c r="B54" s="426"/>
      <c r="C54" s="427" t="s">
        <v>3549</v>
      </c>
      <c r="D54" s="428">
        <v>80</v>
      </c>
      <c r="E54" s="426" t="s">
        <v>58</v>
      </c>
      <c r="F54" s="429">
        <v>500000</v>
      </c>
      <c r="G54" s="429">
        <f t="shared" si="21"/>
        <v>40000000</v>
      </c>
    </row>
    <row r="55" spans="1:7" s="400" customFormat="1" ht="12.75">
      <c r="A55" s="380" t="s">
        <v>455</v>
      </c>
      <c r="B55" s="422">
        <v>521219</v>
      </c>
      <c r="C55" s="423" t="s">
        <v>53</v>
      </c>
      <c r="D55" s="422"/>
      <c r="E55" s="422"/>
      <c r="F55" s="425"/>
      <c r="G55" s="425">
        <f t="shared" ref="G55" si="22">SUM(G56:G57)</f>
        <v>6000000</v>
      </c>
    </row>
    <row r="56" spans="1:7" s="400" customFormat="1" ht="12.75">
      <c r="A56" s="380" t="s">
        <v>456</v>
      </c>
      <c r="B56" s="426"/>
      <c r="C56" s="427" t="s">
        <v>3550</v>
      </c>
      <c r="D56" s="426">
        <v>4</v>
      </c>
      <c r="E56" s="426" t="s">
        <v>106</v>
      </c>
      <c r="F56" s="429">
        <v>250000</v>
      </c>
      <c r="G56" s="429">
        <f t="shared" ref="G56:G57" si="23">ROUNDDOWN(D56*F56,-3)</f>
        <v>1000000</v>
      </c>
    </row>
    <row r="57" spans="1:7" s="400" customFormat="1" ht="12.75">
      <c r="A57" s="380" t="s">
        <v>457</v>
      </c>
      <c r="B57" s="426"/>
      <c r="C57" s="427" t="s">
        <v>3551</v>
      </c>
      <c r="D57" s="428">
        <v>10</v>
      </c>
      <c r="E57" s="426" t="s">
        <v>106</v>
      </c>
      <c r="F57" s="429">
        <v>500000</v>
      </c>
      <c r="G57" s="429">
        <f t="shared" si="23"/>
        <v>5000000</v>
      </c>
    </row>
    <row r="58" spans="1:7" s="400" customFormat="1" ht="12.75">
      <c r="A58" s="380" t="s">
        <v>458</v>
      </c>
      <c r="B58" s="422">
        <v>521811</v>
      </c>
      <c r="C58" s="423" t="s">
        <v>64</v>
      </c>
      <c r="D58" s="424"/>
      <c r="E58" s="422"/>
      <c r="F58" s="425"/>
      <c r="G58" s="425">
        <f t="shared" ref="G58" si="24">SUM(G59:G60)</f>
        <v>30000000</v>
      </c>
    </row>
    <row r="59" spans="1:7" s="400" customFormat="1" ht="12.75">
      <c r="A59" s="380" t="s">
        <v>459</v>
      </c>
      <c r="B59" s="426"/>
      <c r="C59" s="427" t="s">
        <v>3535</v>
      </c>
      <c r="D59" s="428">
        <v>12</v>
      </c>
      <c r="E59" s="426" t="s">
        <v>106</v>
      </c>
      <c r="F59" s="429">
        <v>1000000</v>
      </c>
      <c r="G59" s="429">
        <f t="shared" ref="G59:G60" si="25">ROUNDDOWN(D59*F59,-3)</f>
        <v>12000000</v>
      </c>
    </row>
    <row r="60" spans="1:7" s="400" customFormat="1" ht="12.75">
      <c r="A60" s="380" t="s">
        <v>460</v>
      </c>
      <c r="B60" s="426"/>
      <c r="C60" s="427" t="s">
        <v>3536</v>
      </c>
      <c r="D60" s="428">
        <v>12</v>
      </c>
      <c r="E60" s="426" t="s">
        <v>106</v>
      </c>
      <c r="F60" s="429">
        <v>1500000</v>
      </c>
      <c r="G60" s="429">
        <f t="shared" si="25"/>
        <v>18000000</v>
      </c>
    </row>
    <row r="61" spans="1:7" s="400" customFormat="1" ht="12.75">
      <c r="A61" s="380" t="s">
        <v>461</v>
      </c>
      <c r="B61" s="422">
        <v>522151</v>
      </c>
      <c r="C61" s="423" t="s">
        <v>11</v>
      </c>
      <c r="D61" s="422"/>
      <c r="E61" s="422"/>
      <c r="F61" s="425"/>
      <c r="G61" s="425">
        <f t="shared" ref="G61" si="26">G62</f>
        <v>25200000</v>
      </c>
    </row>
    <row r="62" spans="1:7" s="400" customFormat="1" ht="12.75">
      <c r="A62" s="380" t="s">
        <v>462</v>
      </c>
      <c r="B62" s="426"/>
      <c r="C62" s="427" t="s">
        <v>3543</v>
      </c>
      <c r="D62" s="428">
        <v>28</v>
      </c>
      <c r="E62" s="426" t="s">
        <v>54</v>
      </c>
      <c r="F62" s="429">
        <v>900000</v>
      </c>
      <c r="G62" s="429">
        <f>ROUNDDOWN(D62*F62,-3)</f>
        <v>25200000</v>
      </c>
    </row>
    <row r="63" spans="1:7" s="400" customFormat="1" ht="12.75">
      <c r="A63" s="380" t="s">
        <v>463</v>
      </c>
      <c r="B63" s="422">
        <v>522192</v>
      </c>
      <c r="C63" s="423" t="s">
        <v>24</v>
      </c>
      <c r="D63" s="422"/>
      <c r="E63" s="422"/>
      <c r="F63" s="425"/>
      <c r="G63" s="425">
        <f t="shared" ref="G63" si="27">G64</f>
        <v>6000000</v>
      </c>
    </row>
    <row r="64" spans="1:7" s="400" customFormat="1" ht="12.75">
      <c r="A64" s="380" t="s">
        <v>464</v>
      </c>
      <c r="B64" s="426"/>
      <c r="C64" s="427" t="s">
        <v>3552</v>
      </c>
      <c r="D64" s="426">
        <v>1</v>
      </c>
      <c r="E64" s="426" t="s">
        <v>60</v>
      </c>
      <c r="F64" s="429">
        <v>6000000</v>
      </c>
      <c r="G64" s="429">
        <f>ROUNDDOWN(D64*F64,-3)</f>
        <v>6000000</v>
      </c>
    </row>
    <row r="65" spans="1:7" s="400" customFormat="1" ht="12.75">
      <c r="A65" s="380" t="s">
        <v>465</v>
      </c>
      <c r="B65" s="422">
        <v>524111</v>
      </c>
      <c r="C65" s="423" t="s">
        <v>19</v>
      </c>
      <c r="D65" s="424"/>
      <c r="E65" s="422"/>
      <c r="F65" s="425"/>
      <c r="G65" s="425">
        <f t="shared" ref="G65" si="28">G66</f>
        <v>253324000</v>
      </c>
    </row>
    <row r="66" spans="1:7" s="400" customFormat="1" ht="25.5">
      <c r="A66" s="380" t="s">
        <v>466</v>
      </c>
      <c r="B66" s="426"/>
      <c r="C66" s="427" t="s">
        <v>3553</v>
      </c>
      <c r="D66" s="428">
        <v>44</v>
      </c>
      <c r="E66" s="426" t="s">
        <v>755</v>
      </c>
      <c r="F66" s="429">
        <v>5757364</v>
      </c>
      <c r="G66" s="429">
        <f>ROUNDDOWN(D66*F66,-3)</f>
        <v>253324000</v>
      </c>
    </row>
    <row r="67" spans="1:7" s="400" customFormat="1" ht="12.75">
      <c r="A67" s="380" t="s">
        <v>467</v>
      </c>
      <c r="B67" s="422">
        <v>524113</v>
      </c>
      <c r="C67" s="423" t="s">
        <v>13</v>
      </c>
      <c r="D67" s="422"/>
      <c r="E67" s="422"/>
      <c r="F67" s="425"/>
      <c r="G67" s="425">
        <f t="shared" ref="G67" si="29">G68</f>
        <v>1500000</v>
      </c>
    </row>
    <row r="68" spans="1:7" s="400" customFormat="1" ht="12.75">
      <c r="A68" s="380" t="s">
        <v>468</v>
      </c>
      <c r="B68" s="426"/>
      <c r="C68" s="427" t="s">
        <v>3534</v>
      </c>
      <c r="D68" s="428">
        <v>10</v>
      </c>
      <c r="E68" s="426" t="s">
        <v>10</v>
      </c>
      <c r="F68" s="429">
        <v>150000</v>
      </c>
      <c r="G68" s="429">
        <f>ROUNDDOWN(D68*F68,-3)</f>
        <v>1500000</v>
      </c>
    </row>
    <row r="69" spans="1:7" s="400" customFormat="1" ht="12.75">
      <c r="A69" s="380" t="s">
        <v>469</v>
      </c>
      <c r="B69" s="419" t="s">
        <v>508</v>
      </c>
      <c r="C69" s="420" t="s">
        <v>65</v>
      </c>
      <c r="D69" s="430"/>
      <c r="E69" s="419"/>
      <c r="F69" s="421"/>
      <c r="G69" s="421">
        <f t="shared" ref="G69" si="30">SUM(G70,G74,G77,G80,G82,G84)</f>
        <v>247816000</v>
      </c>
    </row>
    <row r="70" spans="1:7" s="400" customFormat="1" ht="12.75">
      <c r="A70" s="380" t="s">
        <v>470</v>
      </c>
      <c r="B70" s="422">
        <v>521211</v>
      </c>
      <c r="C70" s="423" t="s">
        <v>7</v>
      </c>
      <c r="D70" s="422"/>
      <c r="E70" s="422"/>
      <c r="F70" s="425"/>
      <c r="G70" s="425">
        <f t="shared" ref="G70" si="31">SUM(G71:G73)</f>
        <v>71456000</v>
      </c>
    </row>
    <row r="71" spans="1:7" s="400" customFormat="1" ht="12.75">
      <c r="A71" s="380" t="s">
        <v>471</v>
      </c>
      <c r="B71" s="426"/>
      <c r="C71" s="427" t="s">
        <v>3554</v>
      </c>
      <c r="D71" s="428">
        <v>224</v>
      </c>
      <c r="E71" s="426" t="s">
        <v>25</v>
      </c>
      <c r="F71" s="429">
        <v>69000</v>
      </c>
      <c r="G71" s="429">
        <f t="shared" ref="G71:G73" si="32">ROUNDDOWN(D71*F71,-3)</f>
        <v>15456000</v>
      </c>
    </row>
    <row r="72" spans="1:7" s="400" customFormat="1" ht="12.75">
      <c r="A72" s="380" t="s">
        <v>472</v>
      </c>
      <c r="B72" s="426"/>
      <c r="C72" s="427" t="s">
        <v>3542</v>
      </c>
      <c r="D72" s="426">
        <v>4</v>
      </c>
      <c r="E72" s="426" t="s">
        <v>106</v>
      </c>
      <c r="F72" s="429">
        <v>1500000</v>
      </c>
      <c r="G72" s="429">
        <f t="shared" si="32"/>
        <v>6000000</v>
      </c>
    </row>
    <row r="73" spans="1:7" s="400" customFormat="1" ht="25.5">
      <c r="A73" s="380" t="s">
        <v>768</v>
      </c>
      <c r="B73" s="426"/>
      <c r="C73" s="427" t="s">
        <v>3555</v>
      </c>
      <c r="D73" s="426">
        <v>100</v>
      </c>
      <c r="E73" s="426" t="s">
        <v>770</v>
      </c>
      <c r="F73" s="429">
        <v>500000</v>
      </c>
      <c r="G73" s="429">
        <f t="shared" si="32"/>
        <v>50000000</v>
      </c>
    </row>
    <row r="74" spans="1:7" s="400" customFormat="1" ht="12.75">
      <c r="A74" s="380" t="s">
        <v>473</v>
      </c>
      <c r="B74" s="422">
        <v>521219</v>
      </c>
      <c r="C74" s="423" t="s">
        <v>53</v>
      </c>
      <c r="D74" s="424"/>
      <c r="E74" s="422"/>
      <c r="F74" s="425"/>
      <c r="G74" s="425">
        <f t="shared" ref="G74" si="33">SUM(G75:G76)</f>
        <v>5000000</v>
      </c>
    </row>
    <row r="75" spans="1:7" s="400" customFormat="1" ht="12.75">
      <c r="A75" s="380" t="s">
        <v>474</v>
      </c>
      <c r="B75" s="426"/>
      <c r="C75" s="427" t="s">
        <v>3550</v>
      </c>
      <c r="D75" s="428">
        <v>4</v>
      </c>
      <c r="E75" s="426" t="s">
        <v>106</v>
      </c>
      <c r="F75" s="429">
        <v>250000</v>
      </c>
      <c r="G75" s="429">
        <f t="shared" ref="G75:G76" si="34">ROUNDDOWN(D75*F75,-3)</f>
        <v>1000000</v>
      </c>
    </row>
    <row r="76" spans="1:7" s="400" customFormat="1" ht="12.75">
      <c r="A76" s="380" t="s">
        <v>771</v>
      </c>
      <c r="B76" s="426"/>
      <c r="C76" s="427" t="s">
        <v>3551</v>
      </c>
      <c r="D76" s="426">
        <v>8</v>
      </c>
      <c r="E76" s="426" t="s">
        <v>106</v>
      </c>
      <c r="F76" s="429">
        <v>500000</v>
      </c>
      <c r="G76" s="429">
        <f t="shared" si="34"/>
        <v>4000000</v>
      </c>
    </row>
    <row r="77" spans="1:7" s="400" customFormat="1" ht="12.75">
      <c r="A77" s="380" t="s">
        <v>475</v>
      </c>
      <c r="B77" s="422">
        <v>521811</v>
      </c>
      <c r="C77" s="423" t="s">
        <v>64</v>
      </c>
      <c r="D77" s="424"/>
      <c r="E77" s="422"/>
      <c r="F77" s="425"/>
      <c r="G77" s="425">
        <f t="shared" ref="G77" si="35">SUM(G78:G79)</f>
        <v>15000000</v>
      </c>
    </row>
    <row r="78" spans="1:7" s="400" customFormat="1" ht="12.75">
      <c r="A78" s="380" t="s">
        <v>476</v>
      </c>
      <c r="B78" s="426"/>
      <c r="C78" s="427" t="s">
        <v>3535</v>
      </c>
      <c r="D78" s="428">
        <v>6</v>
      </c>
      <c r="E78" s="426" t="s">
        <v>106</v>
      </c>
      <c r="F78" s="429">
        <v>1000000</v>
      </c>
      <c r="G78" s="429">
        <f t="shared" ref="G78:G79" si="36">ROUNDDOWN(D78*F78,-3)</f>
        <v>6000000</v>
      </c>
    </row>
    <row r="79" spans="1:7" s="400" customFormat="1" ht="12.75">
      <c r="A79" s="380" t="s">
        <v>477</v>
      </c>
      <c r="B79" s="426"/>
      <c r="C79" s="427" t="s">
        <v>3536</v>
      </c>
      <c r="D79" s="426">
        <v>6</v>
      </c>
      <c r="E79" s="426" t="s">
        <v>106</v>
      </c>
      <c r="F79" s="429">
        <v>1500000</v>
      </c>
      <c r="G79" s="429">
        <f t="shared" si="36"/>
        <v>9000000</v>
      </c>
    </row>
    <row r="80" spans="1:7" s="400" customFormat="1" ht="12.75">
      <c r="A80" s="380" t="s">
        <v>478</v>
      </c>
      <c r="B80" s="422">
        <v>522151</v>
      </c>
      <c r="C80" s="423" t="s">
        <v>11</v>
      </c>
      <c r="D80" s="424"/>
      <c r="E80" s="422"/>
      <c r="F80" s="425"/>
      <c r="G80" s="425">
        <f t="shared" ref="G80" si="37">G81</f>
        <v>16200000</v>
      </c>
    </row>
    <row r="81" spans="1:7" s="400" customFormat="1" ht="12.75">
      <c r="A81" s="380" t="s">
        <v>479</v>
      </c>
      <c r="B81" s="426"/>
      <c r="C81" s="427" t="s">
        <v>3543</v>
      </c>
      <c r="D81" s="426">
        <v>18</v>
      </c>
      <c r="E81" s="426" t="s">
        <v>54</v>
      </c>
      <c r="F81" s="429">
        <v>900000</v>
      </c>
      <c r="G81" s="429">
        <f>ROUNDDOWN(D81*F81,-3)</f>
        <v>16200000</v>
      </c>
    </row>
    <row r="82" spans="1:7" s="400" customFormat="1" ht="12.75">
      <c r="A82" s="380" t="s">
        <v>480</v>
      </c>
      <c r="B82" s="422">
        <v>522192</v>
      </c>
      <c r="C82" s="423" t="s">
        <v>24</v>
      </c>
      <c r="D82" s="422"/>
      <c r="E82" s="422"/>
      <c r="F82" s="425"/>
      <c r="G82" s="425">
        <f t="shared" ref="G82" si="38">G83</f>
        <v>2000000</v>
      </c>
    </row>
    <row r="83" spans="1:7" s="400" customFormat="1" ht="12.75">
      <c r="A83" s="380" t="s">
        <v>481</v>
      </c>
      <c r="B83" s="426"/>
      <c r="C83" s="427" t="s">
        <v>3552</v>
      </c>
      <c r="D83" s="428">
        <v>1</v>
      </c>
      <c r="E83" s="426" t="s">
        <v>60</v>
      </c>
      <c r="F83" s="429">
        <v>2000000</v>
      </c>
      <c r="G83" s="429">
        <f>ROUNDDOWN(D83*F83,-3)</f>
        <v>2000000</v>
      </c>
    </row>
    <row r="84" spans="1:7" s="400" customFormat="1" ht="12.75">
      <c r="A84" s="380" t="s">
        <v>482</v>
      </c>
      <c r="B84" s="422">
        <v>524111</v>
      </c>
      <c r="C84" s="423" t="s">
        <v>19</v>
      </c>
      <c r="D84" s="424"/>
      <c r="E84" s="422"/>
      <c r="F84" s="425"/>
      <c r="G84" s="425">
        <f t="shared" ref="G84" si="39">G85</f>
        <v>138160000</v>
      </c>
    </row>
    <row r="85" spans="1:7" s="400" customFormat="1" ht="12.75">
      <c r="A85" s="380" t="s">
        <v>483</v>
      </c>
      <c r="B85" s="426"/>
      <c r="C85" s="427" t="s">
        <v>3556</v>
      </c>
      <c r="D85" s="426">
        <v>22</v>
      </c>
      <c r="E85" s="426" t="s">
        <v>755</v>
      </c>
      <c r="F85" s="429">
        <v>6280000</v>
      </c>
      <c r="G85" s="429">
        <f>ROUNDDOWN(D85*F85,-3)</f>
        <v>138160000</v>
      </c>
    </row>
    <row r="86" spans="1:7" s="400" customFormat="1" ht="12.75">
      <c r="A86" s="380" t="s">
        <v>773</v>
      </c>
      <c r="B86" s="419" t="s">
        <v>509</v>
      </c>
      <c r="C86" s="420" t="s">
        <v>774</v>
      </c>
      <c r="D86" s="430"/>
      <c r="E86" s="419"/>
      <c r="F86" s="421"/>
      <c r="G86" s="421">
        <f t="shared" ref="G86" si="40">SUM(G87,G92,G94,G96)</f>
        <v>51560000</v>
      </c>
    </row>
    <row r="87" spans="1:7" s="400" customFormat="1" ht="12.75">
      <c r="A87" s="380" t="s">
        <v>775</v>
      </c>
      <c r="B87" s="422">
        <v>521211</v>
      </c>
      <c r="C87" s="423" t="s">
        <v>7</v>
      </c>
      <c r="D87" s="424"/>
      <c r="E87" s="422"/>
      <c r="F87" s="425"/>
      <c r="G87" s="425">
        <f t="shared" ref="G87" si="41">SUM(G88:G91)</f>
        <v>20830000</v>
      </c>
    </row>
    <row r="88" spans="1:7" s="400" customFormat="1" ht="12.75">
      <c r="A88" s="380" t="s">
        <v>776</v>
      </c>
      <c r="B88" s="426"/>
      <c r="C88" s="427" t="s">
        <v>3535</v>
      </c>
      <c r="D88" s="426">
        <v>4</v>
      </c>
      <c r="E88" s="426" t="s">
        <v>106</v>
      </c>
      <c r="F88" s="429">
        <v>1000000</v>
      </c>
      <c r="G88" s="429">
        <f t="shared" ref="G88:G91" si="42">ROUNDDOWN(D88*F88,-3)</f>
        <v>4000000</v>
      </c>
    </row>
    <row r="89" spans="1:7" s="400" customFormat="1" ht="12.75">
      <c r="A89" s="380" t="s">
        <v>777</v>
      </c>
      <c r="B89" s="426"/>
      <c r="C89" s="427" t="s">
        <v>3536</v>
      </c>
      <c r="D89" s="428">
        <v>4</v>
      </c>
      <c r="E89" s="426" t="s">
        <v>106</v>
      </c>
      <c r="F89" s="429">
        <v>1500000</v>
      </c>
      <c r="G89" s="429">
        <f t="shared" si="42"/>
        <v>6000000</v>
      </c>
    </row>
    <row r="90" spans="1:7" s="400" customFormat="1" ht="12.75">
      <c r="A90" s="380" t="s">
        <v>778</v>
      </c>
      <c r="B90" s="426"/>
      <c r="C90" s="427" t="s">
        <v>3557</v>
      </c>
      <c r="D90" s="426">
        <v>70</v>
      </c>
      <c r="E90" s="426" t="s">
        <v>25</v>
      </c>
      <c r="F90" s="429">
        <v>69000</v>
      </c>
      <c r="G90" s="429">
        <f t="shared" si="42"/>
        <v>4830000</v>
      </c>
    </row>
    <row r="91" spans="1:7" s="400" customFormat="1" ht="12.75">
      <c r="A91" s="380" t="s">
        <v>779</v>
      </c>
      <c r="B91" s="426"/>
      <c r="C91" s="427" t="s">
        <v>3558</v>
      </c>
      <c r="D91" s="426">
        <v>4</v>
      </c>
      <c r="E91" s="426" t="s">
        <v>106</v>
      </c>
      <c r="F91" s="429">
        <v>1500000</v>
      </c>
      <c r="G91" s="429">
        <f t="shared" si="42"/>
        <v>6000000</v>
      </c>
    </row>
    <row r="92" spans="1:7" s="400" customFormat="1" ht="12.75">
      <c r="A92" s="380" t="s">
        <v>780</v>
      </c>
      <c r="B92" s="422">
        <v>521219</v>
      </c>
      <c r="C92" s="423" t="s">
        <v>53</v>
      </c>
      <c r="D92" s="424"/>
      <c r="E92" s="422"/>
      <c r="F92" s="425"/>
      <c r="G92" s="425">
        <f t="shared" ref="G92" si="43">G93</f>
        <v>500000</v>
      </c>
    </row>
    <row r="93" spans="1:7" s="400" customFormat="1" ht="12.75">
      <c r="A93" s="380" t="s">
        <v>781</v>
      </c>
      <c r="B93" s="426"/>
      <c r="C93" s="427" t="s">
        <v>3550</v>
      </c>
      <c r="D93" s="428">
        <v>2</v>
      </c>
      <c r="E93" s="426" t="s">
        <v>106</v>
      </c>
      <c r="F93" s="429">
        <v>250000</v>
      </c>
      <c r="G93" s="429">
        <f>ROUNDDOWN(D93*F93,-3)</f>
        <v>500000</v>
      </c>
    </row>
    <row r="94" spans="1:7" s="400" customFormat="1" ht="12.75">
      <c r="A94" s="380" t="s">
        <v>782</v>
      </c>
      <c r="B94" s="422">
        <v>522151</v>
      </c>
      <c r="C94" s="423" t="s">
        <v>11</v>
      </c>
      <c r="D94" s="422"/>
      <c r="E94" s="422"/>
      <c r="F94" s="425"/>
      <c r="G94" s="425">
        <f t="shared" ref="G94" si="44">G95</f>
        <v>7200000</v>
      </c>
    </row>
    <row r="95" spans="1:7" s="400" customFormat="1" ht="12.75">
      <c r="A95" s="380" t="s">
        <v>783</v>
      </c>
      <c r="B95" s="426"/>
      <c r="C95" s="427" t="s">
        <v>3543</v>
      </c>
      <c r="D95" s="428">
        <v>8</v>
      </c>
      <c r="E95" s="426" t="s">
        <v>54</v>
      </c>
      <c r="F95" s="429">
        <v>900000</v>
      </c>
      <c r="G95" s="429">
        <f>ROUNDDOWN(D95*F95,-3)</f>
        <v>7200000</v>
      </c>
    </row>
    <row r="96" spans="1:7" s="400" customFormat="1" ht="12.75">
      <c r="A96" s="380" t="s">
        <v>784</v>
      </c>
      <c r="B96" s="422">
        <v>524111</v>
      </c>
      <c r="C96" s="423" t="s">
        <v>19</v>
      </c>
      <c r="D96" s="424"/>
      <c r="E96" s="422"/>
      <c r="F96" s="425"/>
      <c r="G96" s="425">
        <f t="shared" ref="G96" si="45">G97</f>
        <v>23030000</v>
      </c>
    </row>
    <row r="97" spans="1:7" s="400" customFormat="1" ht="25.5">
      <c r="A97" s="380" t="s">
        <v>785</v>
      </c>
      <c r="B97" s="426"/>
      <c r="C97" s="427" t="s">
        <v>3559</v>
      </c>
      <c r="D97" s="426">
        <v>6</v>
      </c>
      <c r="E97" s="426" t="s">
        <v>755</v>
      </c>
      <c r="F97" s="429">
        <v>3838335</v>
      </c>
      <c r="G97" s="429">
        <f>ROUNDDOWN(D97*F97,-3)</f>
        <v>23030000</v>
      </c>
    </row>
    <row r="98" spans="1:7" s="400" customFormat="1" ht="12.75">
      <c r="A98" s="380" t="s">
        <v>484</v>
      </c>
      <c r="B98" s="415" t="s">
        <v>520</v>
      </c>
      <c r="C98" s="416" t="s">
        <v>67</v>
      </c>
      <c r="D98" s="417"/>
      <c r="E98" s="415"/>
      <c r="F98" s="418"/>
      <c r="G98" s="418">
        <f t="shared" ref="G98" si="46">G99</f>
        <v>135100000</v>
      </c>
    </row>
    <row r="99" spans="1:7" s="400" customFormat="1" ht="12.75">
      <c r="A99" s="380" t="s">
        <v>485</v>
      </c>
      <c r="B99" s="419" t="s">
        <v>8</v>
      </c>
      <c r="C99" s="420" t="s">
        <v>68</v>
      </c>
      <c r="D99" s="419"/>
      <c r="E99" s="419"/>
      <c r="F99" s="421"/>
      <c r="G99" s="421">
        <f>SUM(G100,G105,G107,G109)</f>
        <v>135100000</v>
      </c>
    </row>
    <row r="100" spans="1:7" s="400" customFormat="1" ht="12.75">
      <c r="A100" s="380" t="s">
        <v>486</v>
      </c>
      <c r="B100" s="422">
        <v>521211</v>
      </c>
      <c r="C100" s="423" t="s">
        <v>7</v>
      </c>
      <c r="D100" s="424"/>
      <c r="E100" s="422"/>
      <c r="F100" s="425"/>
      <c r="G100" s="425">
        <f>SUM(G101:G104)</f>
        <v>13500000</v>
      </c>
    </row>
    <row r="101" spans="1:7" s="400" customFormat="1" ht="12.75">
      <c r="A101" s="380" t="s">
        <v>487</v>
      </c>
      <c r="B101" s="426"/>
      <c r="C101" s="427" t="s">
        <v>3529</v>
      </c>
      <c r="D101" s="426">
        <v>3</v>
      </c>
      <c r="E101" s="426" t="s">
        <v>106</v>
      </c>
      <c r="F101" s="429">
        <v>1500000</v>
      </c>
      <c r="G101" s="429">
        <f t="shared" ref="G101:G104" si="47">ROUNDDOWN(D101*F101,-3)</f>
        <v>4500000</v>
      </c>
    </row>
    <row r="102" spans="1:7" s="400" customFormat="1" ht="12.75">
      <c r="A102" s="380" t="s">
        <v>488</v>
      </c>
      <c r="B102" s="426"/>
      <c r="C102" s="427" t="s">
        <v>3560</v>
      </c>
      <c r="D102" s="426">
        <v>20</v>
      </c>
      <c r="E102" s="426" t="s">
        <v>25</v>
      </c>
      <c r="F102" s="429">
        <v>75000</v>
      </c>
      <c r="G102" s="429">
        <f t="shared" si="47"/>
        <v>1500000</v>
      </c>
    </row>
    <row r="103" spans="1:7" s="400" customFormat="1" ht="12.75">
      <c r="A103" s="380" t="s">
        <v>489</v>
      </c>
      <c r="B103" s="426"/>
      <c r="C103" s="427" t="s">
        <v>3530</v>
      </c>
      <c r="D103" s="426">
        <v>3</v>
      </c>
      <c r="E103" s="426" t="s">
        <v>106</v>
      </c>
      <c r="F103" s="429">
        <v>1000000</v>
      </c>
      <c r="G103" s="429">
        <f t="shared" si="47"/>
        <v>3000000</v>
      </c>
    </row>
    <row r="104" spans="1:7" s="400" customFormat="1" ht="12.75">
      <c r="A104" s="380" t="s">
        <v>788</v>
      </c>
      <c r="B104" s="426"/>
      <c r="C104" s="427" t="s">
        <v>3531</v>
      </c>
      <c r="D104" s="428">
        <v>3</v>
      </c>
      <c r="E104" s="426" t="s">
        <v>106</v>
      </c>
      <c r="F104" s="429">
        <v>1500000</v>
      </c>
      <c r="G104" s="429">
        <f t="shared" si="47"/>
        <v>4500000</v>
      </c>
    </row>
    <row r="105" spans="1:7" s="400" customFormat="1" ht="12.75">
      <c r="A105" s="380" t="s">
        <v>490</v>
      </c>
      <c r="B105" s="422">
        <v>521219</v>
      </c>
      <c r="C105" s="423" t="s">
        <v>53</v>
      </c>
      <c r="D105" s="424"/>
      <c r="E105" s="422"/>
      <c r="F105" s="425"/>
      <c r="G105" s="425">
        <f t="shared" ref="G105" si="48">G106</f>
        <v>8884000</v>
      </c>
    </row>
    <row r="106" spans="1:7" s="400" customFormat="1" ht="25.5">
      <c r="A106" s="380" t="s">
        <v>491</v>
      </c>
      <c r="B106" s="426"/>
      <c r="C106" s="427" t="s">
        <v>3561</v>
      </c>
      <c r="D106" s="428">
        <v>1</v>
      </c>
      <c r="E106" s="426" t="s">
        <v>60</v>
      </c>
      <c r="F106" s="429">
        <v>8884000</v>
      </c>
      <c r="G106" s="429">
        <f>ROUNDDOWN(D106*F106,-3)</f>
        <v>8884000</v>
      </c>
    </row>
    <row r="107" spans="1:7" s="400" customFormat="1" ht="12.75">
      <c r="A107" s="380" t="s">
        <v>492</v>
      </c>
      <c r="B107" s="422">
        <v>522151</v>
      </c>
      <c r="C107" s="423" t="s">
        <v>11</v>
      </c>
      <c r="D107" s="422"/>
      <c r="E107" s="422"/>
      <c r="F107" s="425"/>
      <c r="G107" s="425">
        <f t="shared" ref="G107" si="49">G108</f>
        <v>15300000</v>
      </c>
    </row>
    <row r="108" spans="1:7" s="400" customFormat="1" ht="12.75">
      <c r="A108" s="380" t="s">
        <v>493</v>
      </c>
      <c r="B108" s="426"/>
      <c r="C108" s="427" t="s">
        <v>3543</v>
      </c>
      <c r="D108" s="428">
        <v>17</v>
      </c>
      <c r="E108" s="426" t="s">
        <v>54</v>
      </c>
      <c r="F108" s="429">
        <v>900000</v>
      </c>
      <c r="G108" s="429">
        <f>ROUNDDOWN(D108*F108,-3)</f>
        <v>15300000</v>
      </c>
    </row>
    <row r="109" spans="1:7" s="400" customFormat="1" ht="12.75">
      <c r="A109" s="380" t="s">
        <v>795</v>
      </c>
      <c r="B109" s="422">
        <v>524111</v>
      </c>
      <c r="C109" s="423" t="s">
        <v>19</v>
      </c>
      <c r="D109" s="422"/>
      <c r="E109" s="422"/>
      <c r="F109" s="425"/>
      <c r="G109" s="425">
        <f t="shared" ref="G109" si="50">G110</f>
        <v>97416000</v>
      </c>
    </row>
    <row r="110" spans="1:7" s="400" customFormat="1" ht="25.5">
      <c r="A110" s="380" t="s">
        <v>796</v>
      </c>
      <c r="B110" s="426"/>
      <c r="C110" s="427" t="s">
        <v>3562</v>
      </c>
      <c r="D110" s="426">
        <v>36</v>
      </c>
      <c r="E110" s="426" t="s">
        <v>755</v>
      </c>
      <c r="F110" s="429">
        <v>2706000</v>
      </c>
      <c r="G110" s="429">
        <f>ROUNDDOWN(D110*F110,-3)</f>
        <v>97416000</v>
      </c>
    </row>
    <row r="111" spans="1:7" s="400" customFormat="1" ht="12.75">
      <c r="A111" s="380" t="s">
        <v>69</v>
      </c>
      <c r="B111" s="401" t="s">
        <v>69</v>
      </c>
      <c r="C111" s="402" t="s">
        <v>70</v>
      </c>
      <c r="D111" s="401"/>
      <c r="E111" s="401"/>
      <c r="F111" s="403"/>
      <c r="G111" s="403">
        <f>SUM(G112,G458)</f>
        <v>15863164000</v>
      </c>
    </row>
    <row r="112" spans="1:7" s="400" customFormat="1" ht="25.5">
      <c r="A112" s="380" t="s">
        <v>494</v>
      </c>
      <c r="B112" s="404">
        <v>2378</v>
      </c>
      <c r="C112" s="405" t="s">
        <v>71</v>
      </c>
      <c r="D112" s="406"/>
      <c r="E112" s="404"/>
      <c r="F112" s="407"/>
      <c r="G112" s="407">
        <f>SUM(G113,G122,G331,G340)</f>
        <v>7280664000</v>
      </c>
    </row>
    <row r="113" spans="1:7" s="400" customFormat="1" ht="12.75">
      <c r="A113" s="380" t="s">
        <v>798</v>
      </c>
      <c r="B113" s="408" t="s">
        <v>799</v>
      </c>
      <c r="C113" s="409" t="s">
        <v>800</v>
      </c>
      <c r="D113" s="410">
        <v>1</v>
      </c>
      <c r="E113" s="408" t="s">
        <v>42</v>
      </c>
      <c r="F113" s="411"/>
      <c r="G113" s="411">
        <f t="shared" ref="G113:G120" si="51">G114</f>
        <v>115000000</v>
      </c>
    </row>
    <row r="114" spans="1:7" s="400" customFormat="1" ht="38.25">
      <c r="A114" s="380" t="s">
        <v>801</v>
      </c>
      <c r="B114" s="412" t="s">
        <v>3563</v>
      </c>
      <c r="C114" s="413" t="s">
        <v>803</v>
      </c>
      <c r="D114" s="431">
        <v>1</v>
      </c>
      <c r="E114" s="412" t="s">
        <v>42</v>
      </c>
      <c r="F114" s="414"/>
      <c r="G114" s="414">
        <f t="shared" si="51"/>
        <v>115000000</v>
      </c>
    </row>
    <row r="115" spans="1:7" s="400" customFormat="1" ht="25.5">
      <c r="A115" s="380" t="s">
        <v>811</v>
      </c>
      <c r="B115" s="415">
        <v>301</v>
      </c>
      <c r="C115" s="416" t="s">
        <v>813</v>
      </c>
      <c r="D115" s="415"/>
      <c r="E115" s="415"/>
      <c r="F115" s="418"/>
      <c r="G115" s="418">
        <f>SUM(G116,G119)</f>
        <v>115000000</v>
      </c>
    </row>
    <row r="116" spans="1:7" s="400" customFormat="1" ht="12.75">
      <c r="A116" s="380" t="s">
        <v>814</v>
      </c>
      <c r="B116" s="419" t="s">
        <v>8</v>
      </c>
      <c r="C116" s="420" t="s">
        <v>815</v>
      </c>
      <c r="D116" s="430"/>
      <c r="E116" s="419"/>
      <c r="F116" s="421"/>
      <c r="G116" s="421">
        <f t="shared" si="51"/>
        <v>114200000</v>
      </c>
    </row>
    <row r="117" spans="1:7" s="400" customFormat="1" ht="12.75">
      <c r="A117" s="380" t="s">
        <v>816</v>
      </c>
      <c r="B117" s="422">
        <v>532111</v>
      </c>
      <c r="C117" s="423" t="s">
        <v>43</v>
      </c>
      <c r="D117" s="422"/>
      <c r="E117" s="422"/>
      <c r="F117" s="425"/>
      <c r="G117" s="425">
        <f t="shared" si="51"/>
        <v>114200000</v>
      </c>
    </row>
    <row r="118" spans="1:7" s="400" customFormat="1" ht="12.75">
      <c r="A118" s="380" t="s">
        <v>817</v>
      </c>
      <c r="B118" s="426"/>
      <c r="C118" s="427" t="s">
        <v>3564</v>
      </c>
      <c r="D118" s="428">
        <v>1</v>
      </c>
      <c r="E118" s="426" t="s">
        <v>23</v>
      </c>
      <c r="F118" s="429">
        <v>114200000</v>
      </c>
      <c r="G118" s="429">
        <f>ROUNDDOWN(D118*F118,-3)</f>
        <v>114200000</v>
      </c>
    </row>
    <row r="119" spans="1:7" s="400" customFormat="1" ht="12.75">
      <c r="A119" s="380" t="s">
        <v>4833</v>
      </c>
      <c r="B119" s="419" t="s">
        <v>508</v>
      </c>
      <c r="C119" s="420" t="s">
        <v>4820</v>
      </c>
      <c r="D119" s="430"/>
      <c r="E119" s="419"/>
      <c r="F119" s="421"/>
      <c r="G119" s="421">
        <f t="shared" si="51"/>
        <v>800000</v>
      </c>
    </row>
    <row r="120" spans="1:7" s="400" customFormat="1" ht="12.75">
      <c r="A120" s="380" t="s">
        <v>4828</v>
      </c>
      <c r="B120" s="422">
        <v>532111</v>
      </c>
      <c r="C120" s="423" t="s">
        <v>43</v>
      </c>
      <c r="D120" s="422"/>
      <c r="E120" s="422"/>
      <c r="F120" s="425"/>
      <c r="G120" s="425">
        <f t="shared" si="51"/>
        <v>800000</v>
      </c>
    </row>
    <row r="121" spans="1:7" s="400" customFormat="1" ht="12.75">
      <c r="A121" s="380" t="s">
        <v>4834</v>
      </c>
      <c r="B121" s="426"/>
      <c r="C121" s="427" t="s">
        <v>3564</v>
      </c>
      <c r="D121" s="428">
        <v>1</v>
      </c>
      <c r="E121" s="426" t="s">
        <v>23</v>
      </c>
      <c r="F121" s="429">
        <v>800000</v>
      </c>
      <c r="G121" s="429">
        <f>ROUNDDOWN(D121*F121,-3)</f>
        <v>800000</v>
      </c>
    </row>
    <row r="122" spans="1:7" s="400" customFormat="1" ht="12.75">
      <c r="A122" s="380" t="s">
        <v>819</v>
      </c>
      <c r="B122" s="408" t="s">
        <v>820</v>
      </c>
      <c r="C122" s="409" t="s">
        <v>821</v>
      </c>
      <c r="D122" s="408"/>
      <c r="E122" s="408"/>
      <c r="F122" s="411"/>
      <c r="G122" s="411">
        <f>SUM(G123,G137,G257)</f>
        <v>5085940000</v>
      </c>
    </row>
    <row r="123" spans="1:7" s="400" customFormat="1" ht="12.75">
      <c r="A123" s="380" t="s">
        <v>1014</v>
      </c>
      <c r="B123" s="412" t="s">
        <v>3566</v>
      </c>
      <c r="C123" s="413" t="s">
        <v>1016</v>
      </c>
      <c r="D123" s="412">
        <v>1</v>
      </c>
      <c r="E123" s="412" t="s">
        <v>3565</v>
      </c>
      <c r="F123" s="414"/>
      <c r="G123" s="414">
        <f t="shared" ref="G123" si="52">G124</f>
        <v>153780000</v>
      </c>
    </row>
    <row r="124" spans="1:7" s="400" customFormat="1" ht="25.5">
      <c r="A124" s="380" t="s">
        <v>1163</v>
      </c>
      <c r="B124" s="415">
        <v>311</v>
      </c>
      <c r="C124" s="416" t="s">
        <v>1165</v>
      </c>
      <c r="D124" s="415"/>
      <c r="E124" s="415"/>
      <c r="F124" s="418"/>
      <c r="G124" s="418">
        <f>SUM(G125,G134)</f>
        <v>153780000</v>
      </c>
    </row>
    <row r="125" spans="1:7" s="400" customFormat="1" ht="12.75">
      <c r="A125" s="380" t="s">
        <v>1166</v>
      </c>
      <c r="B125" s="419" t="s">
        <v>8</v>
      </c>
      <c r="C125" s="420" t="s">
        <v>75</v>
      </c>
      <c r="D125" s="419"/>
      <c r="E125" s="419"/>
      <c r="F125" s="421"/>
      <c r="G125" s="421">
        <f>SUM(G126,G129,G132)</f>
        <v>113346000</v>
      </c>
    </row>
    <row r="126" spans="1:7" s="400" customFormat="1" ht="12.75">
      <c r="A126" s="380" t="s">
        <v>1167</v>
      </c>
      <c r="B126" s="422">
        <v>521211</v>
      </c>
      <c r="C126" s="423" t="s">
        <v>7</v>
      </c>
      <c r="D126" s="422"/>
      <c r="E126" s="422"/>
      <c r="F126" s="425"/>
      <c r="G126" s="425">
        <f t="shared" ref="G126" si="53">SUM(G127:G128)</f>
        <v>12400000</v>
      </c>
    </row>
    <row r="127" spans="1:7" s="400" customFormat="1" ht="12.75">
      <c r="A127" s="380" t="s">
        <v>1168</v>
      </c>
      <c r="B127" s="426"/>
      <c r="C127" s="427" t="s">
        <v>3529</v>
      </c>
      <c r="D127" s="426">
        <v>4</v>
      </c>
      <c r="E127" s="426" t="s">
        <v>52</v>
      </c>
      <c r="F127" s="429">
        <v>1000000</v>
      </c>
      <c r="G127" s="429">
        <f t="shared" ref="G127:G128" si="54">ROUNDDOWN(D127*F127,-3)</f>
        <v>4000000</v>
      </c>
    </row>
    <row r="128" spans="1:7" s="400" customFormat="1" ht="12.75">
      <c r="A128" s="380" t="s">
        <v>1169</v>
      </c>
      <c r="B128" s="426"/>
      <c r="C128" s="427" t="s">
        <v>3548</v>
      </c>
      <c r="D128" s="426">
        <v>120</v>
      </c>
      <c r="E128" s="426" t="s">
        <v>25</v>
      </c>
      <c r="F128" s="429">
        <v>70000</v>
      </c>
      <c r="G128" s="429">
        <f t="shared" si="54"/>
        <v>8400000</v>
      </c>
    </row>
    <row r="129" spans="1:7" s="400" customFormat="1" ht="12.75">
      <c r="A129" s="380" t="s">
        <v>1173</v>
      </c>
      <c r="B129" s="422">
        <v>521811</v>
      </c>
      <c r="C129" s="423" t="s">
        <v>64</v>
      </c>
      <c r="D129" s="422"/>
      <c r="E129" s="422"/>
      <c r="F129" s="425"/>
      <c r="G129" s="425">
        <f t="shared" ref="G129" si="55">SUM(G130:G131)</f>
        <v>10000000</v>
      </c>
    </row>
    <row r="130" spans="1:7" s="400" customFormat="1" ht="12.75">
      <c r="A130" s="380" t="s">
        <v>1174</v>
      </c>
      <c r="B130" s="426"/>
      <c r="C130" s="427" t="s">
        <v>3535</v>
      </c>
      <c r="D130" s="426">
        <v>4</v>
      </c>
      <c r="E130" s="426" t="s">
        <v>52</v>
      </c>
      <c r="F130" s="429">
        <v>1000000</v>
      </c>
      <c r="G130" s="429">
        <f t="shared" ref="G130:G131" si="56">ROUNDDOWN(D130*F130,-3)</f>
        <v>4000000</v>
      </c>
    </row>
    <row r="131" spans="1:7" s="400" customFormat="1" ht="12.75">
      <c r="A131" s="380" t="s">
        <v>1175</v>
      </c>
      <c r="B131" s="426"/>
      <c r="C131" s="427" t="s">
        <v>3567</v>
      </c>
      <c r="D131" s="426">
        <v>4</v>
      </c>
      <c r="E131" s="426" t="s">
        <v>52</v>
      </c>
      <c r="F131" s="429">
        <v>1500000</v>
      </c>
      <c r="G131" s="429">
        <f t="shared" si="56"/>
        <v>6000000</v>
      </c>
    </row>
    <row r="132" spans="1:7" s="400" customFormat="1" ht="12.75">
      <c r="A132" s="380" t="s">
        <v>1179</v>
      </c>
      <c r="B132" s="422">
        <v>524111</v>
      </c>
      <c r="C132" s="423" t="s">
        <v>19</v>
      </c>
      <c r="D132" s="422"/>
      <c r="E132" s="422"/>
      <c r="F132" s="425"/>
      <c r="G132" s="425">
        <f t="shared" ref="G132" si="57">G133</f>
        <v>90946000</v>
      </c>
    </row>
    <row r="133" spans="1:7" s="400" customFormat="1" ht="12.75">
      <c r="A133" s="380" t="s">
        <v>1180</v>
      </c>
      <c r="B133" s="426"/>
      <c r="C133" s="427" t="s">
        <v>3568</v>
      </c>
      <c r="D133" s="426">
        <v>15</v>
      </c>
      <c r="E133" s="426" t="s">
        <v>25</v>
      </c>
      <c r="F133" s="429">
        <v>6063067</v>
      </c>
      <c r="G133" s="429">
        <f>ROUNDDOWN(D133*F133,-3)</f>
        <v>90946000</v>
      </c>
    </row>
    <row r="134" spans="1:7" s="400" customFormat="1" ht="12.75">
      <c r="A134" s="380" t="s">
        <v>4835</v>
      </c>
      <c r="B134" s="419" t="s">
        <v>508</v>
      </c>
      <c r="C134" s="420" t="s">
        <v>4820</v>
      </c>
      <c r="D134" s="430"/>
      <c r="E134" s="419"/>
      <c r="F134" s="421"/>
      <c r="G134" s="421">
        <f t="shared" ref="G134:G135" si="58">G135</f>
        <v>40434000</v>
      </c>
    </row>
    <row r="135" spans="1:7" s="400" customFormat="1" ht="12.75">
      <c r="A135" s="380" t="s">
        <v>4830</v>
      </c>
      <c r="B135" s="422">
        <v>521219</v>
      </c>
      <c r="C135" s="423" t="s">
        <v>53</v>
      </c>
      <c r="D135" s="422"/>
      <c r="E135" s="422"/>
      <c r="F135" s="425"/>
      <c r="G135" s="425">
        <f t="shared" si="58"/>
        <v>40434000</v>
      </c>
    </row>
    <row r="136" spans="1:7" s="400" customFormat="1" ht="12.75">
      <c r="A136" s="380" t="s">
        <v>4836</v>
      </c>
      <c r="B136" s="426"/>
      <c r="C136" s="427" t="s">
        <v>4837</v>
      </c>
      <c r="D136" s="428">
        <v>1</v>
      </c>
      <c r="E136" s="426" t="s">
        <v>23</v>
      </c>
      <c r="F136" s="429">
        <v>40434000</v>
      </c>
      <c r="G136" s="429">
        <f>ROUNDDOWN(D136*F136,-3)</f>
        <v>40434000</v>
      </c>
    </row>
    <row r="137" spans="1:7" s="400" customFormat="1" ht="12.75">
      <c r="A137" s="380" t="s">
        <v>1247</v>
      </c>
      <c r="B137" s="412" t="s">
        <v>3569</v>
      </c>
      <c r="C137" s="413" t="s">
        <v>1249</v>
      </c>
      <c r="D137" s="412">
        <v>1</v>
      </c>
      <c r="E137" s="412" t="s">
        <v>3565</v>
      </c>
      <c r="F137" s="414"/>
      <c r="G137" s="414">
        <f t="shared" ref="G137" si="59">G138</f>
        <v>2736502000</v>
      </c>
    </row>
    <row r="138" spans="1:7" s="400" customFormat="1" ht="25.5">
      <c r="A138" s="380" t="s">
        <v>1367</v>
      </c>
      <c r="B138" s="415">
        <v>301</v>
      </c>
      <c r="C138" s="416" t="s">
        <v>1368</v>
      </c>
      <c r="D138" s="415"/>
      <c r="E138" s="415"/>
      <c r="F138" s="418"/>
      <c r="G138" s="418">
        <f>SUM(G139,G148,G157,G170,G178,G196,G208,G221,G241)</f>
        <v>2736502000</v>
      </c>
    </row>
    <row r="139" spans="1:7" s="400" customFormat="1" ht="12.75">
      <c r="A139" s="380" t="s">
        <v>1369</v>
      </c>
      <c r="B139" s="419" t="s">
        <v>8</v>
      </c>
      <c r="C139" s="420" t="s">
        <v>148</v>
      </c>
      <c r="D139" s="419"/>
      <c r="E139" s="419"/>
      <c r="F139" s="421"/>
      <c r="G139" s="421">
        <f>SUM(G140,G144,G146)</f>
        <v>18739000</v>
      </c>
    </row>
    <row r="140" spans="1:7" s="400" customFormat="1" ht="12.75">
      <c r="A140" s="380" t="s">
        <v>1370</v>
      </c>
      <c r="B140" s="422">
        <v>521211</v>
      </c>
      <c r="C140" s="423" t="s">
        <v>7</v>
      </c>
      <c r="D140" s="422"/>
      <c r="E140" s="422"/>
      <c r="F140" s="425"/>
      <c r="G140" s="425">
        <f>SUM(G141:G143)</f>
        <v>5000000</v>
      </c>
    </row>
    <row r="141" spans="1:7" s="400" customFormat="1" ht="12.75">
      <c r="A141" s="380" t="s">
        <v>1371</v>
      </c>
      <c r="B141" s="426"/>
      <c r="C141" s="427" t="s">
        <v>3535</v>
      </c>
      <c r="D141" s="426">
        <v>1</v>
      </c>
      <c r="E141" s="426" t="s">
        <v>9</v>
      </c>
      <c r="F141" s="429">
        <v>1500000</v>
      </c>
      <c r="G141" s="429">
        <f t="shared" ref="G141:G143" si="60">ROUNDDOWN(D141*F141,-3)</f>
        <v>1500000</v>
      </c>
    </row>
    <row r="142" spans="1:7" s="400" customFormat="1" ht="12.75">
      <c r="A142" s="380" t="s">
        <v>1372</v>
      </c>
      <c r="B142" s="426"/>
      <c r="C142" s="427" t="s">
        <v>3536</v>
      </c>
      <c r="D142" s="426">
        <v>2</v>
      </c>
      <c r="E142" s="426" t="s">
        <v>9</v>
      </c>
      <c r="F142" s="429">
        <v>1000000</v>
      </c>
      <c r="G142" s="429">
        <f t="shared" si="60"/>
        <v>2000000</v>
      </c>
    </row>
    <row r="143" spans="1:7" s="400" customFormat="1" ht="12.75">
      <c r="A143" s="380" t="s">
        <v>1373</v>
      </c>
      <c r="B143" s="426"/>
      <c r="C143" s="427" t="s">
        <v>3537</v>
      </c>
      <c r="D143" s="426">
        <v>1</v>
      </c>
      <c r="E143" s="426" t="s">
        <v>9</v>
      </c>
      <c r="F143" s="429">
        <v>1500000</v>
      </c>
      <c r="G143" s="429">
        <f t="shared" si="60"/>
        <v>1500000</v>
      </c>
    </row>
    <row r="144" spans="1:7" s="400" customFormat="1" ht="12.75">
      <c r="A144" s="380" t="s">
        <v>1376</v>
      </c>
      <c r="B144" s="422">
        <v>524111</v>
      </c>
      <c r="C144" s="423" t="s">
        <v>19</v>
      </c>
      <c r="D144" s="422"/>
      <c r="E144" s="422"/>
      <c r="F144" s="425"/>
      <c r="G144" s="425">
        <f t="shared" ref="G144" si="61">G145</f>
        <v>12989000</v>
      </c>
    </row>
    <row r="145" spans="1:7" s="400" customFormat="1" ht="12.75">
      <c r="A145" s="380" t="s">
        <v>1377</v>
      </c>
      <c r="B145" s="426"/>
      <c r="C145" s="427" t="s">
        <v>3570</v>
      </c>
      <c r="D145" s="426">
        <v>2</v>
      </c>
      <c r="E145" s="426" t="s">
        <v>10</v>
      </c>
      <c r="F145" s="429">
        <v>6494500</v>
      </c>
      <c r="G145" s="429">
        <f>ROUNDDOWN(D145*F145,-3)</f>
        <v>12989000</v>
      </c>
    </row>
    <row r="146" spans="1:7" s="400" customFormat="1" ht="12.75">
      <c r="A146" s="380" t="s">
        <v>1379</v>
      </c>
      <c r="B146" s="422">
        <v>524113</v>
      </c>
      <c r="C146" s="423" t="s">
        <v>13</v>
      </c>
      <c r="D146" s="422"/>
      <c r="E146" s="422"/>
      <c r="F146" s="425"/>
      <c r="G146" s="425">
        <f t="shared" ref="G146" si="62">G147</f>
        <v>750000</v>
      </c>
    </row>
    <row r="147" spans="1:7" s="400" customFormat="1" ht="12.75">
      <c r="A147" s="380" t="s">
        <v>1380</v>
      </c>
      <c r="B147" s="426"/>
      <c r="C147" s="427" t="s">
        <v>3571</v>
      </c>
      <c r="D147" s="426">
        <v>5</v>
      </c>
      <c r="E147" s="426" t="s">
        <v>10</v>
      </c>
      <c r="F147" s="429">
        <v>150000</v>
      </c>
      <c r="G147" s="429">
        <f>ROUNDDOWN(D147*F147,-3)</f>
        <v>750000</v>
      </c>
    </row>
    <row r="148" spans="1:7" s="400" customFormat="1" ht="12.75">
      <c r="A148" s="380" t="s">
        <v>1382</v>
      </c>
      <c r="B148" s="419" t="s">
        <v>508</v>
      </c>
      <c r="C148" s="420" t="s">
        <v>150</v>
      </c>
      <c r="D148" s="419"/>
      <c r="E148" s="419"/>
      <c r="F148" s="421"/>
      <c r="G148" s="421">
        <f>SUM(G149,G152,G154)</f>
        <v>385665000</v>
      </c>
    </row>
    <row r="149" spans="1:7" s="400" customFormat="1" ht="12.75">
      <c r="A149" s="380" t="s">
        <v>1383</v>
      </c>
      <c r="B149" s="422">
        <v>521211</v>
      </c>
      <c r="C149" s="423" t="s">
        <v>7</v>
      </c>
      <c r="D149" s="422"/>
      <c r="E149" s="422"/>
      <c r="F149" s="425"/>
      <c r="G149" s="425">
        <f t="shared" ref="G149" si="63">SUM(G150:G151)</f>
        <v>10000000</v>
      </c>
    </row>
    <row r="150" spans="1:7" s="400" customFormat="1" ht="12.75">
      <c r="A150" s="380" t="s">
        <v>1384</v>
      </c>
      <c r="B150" s="426"/>
      <c r="C150" s="427" t="s">
        <v>3535</v>
      </c>
      <c r="D150" s="426">
        <v>4</v>
      </c>
      <c r="E150" s="426" t="s">
        <v>9</v>
      </c>
      <c r="F150" s="429">
        <v>1500000</v>
      </c>
      <c r="G150" s="429">
        <f t="shared" ref="G150:G151" si="64">ROUNDDOWN(D150*F150,-3)</f>
        <v>6000000</v>
      </c>
    </row>
    <row r="151" spans="1:7" s="400" customFormat="1" ht="12.75">
      <c r="A151" s="380" t="s">
        <v>1385</v>
      </c>
      <c r="B151" s="426"/>
      <c r="C151" s="427" t="s">
        <v>3536</v>
      </c>
      <c r="D151" s="426">
        <v>4</v>
      </c>
      <c r="E151" s="426" t="s">
        <v>9</v>
      </c>
      <c r="F151" s="429">
        <v>1000000</v>
      </c>
      <c r="G151" s="429">
        <f t="shared" si="64"/>
        <v>4000000</v>
      </c>
    </row>
    <row r="152" spans="1:7" s="400" customFormat="1" ht="12.75">
      <c r="A152" s="380" t="s">
        <v>1388</v>
      </c>
      <c r="B152" s="422">
        <v>522192</v>
      </c>
      <c r="C152" s="423" t="s">
        <v>24</v>
      </c>
      <c r="D152" s="422"/>
      <c r="E152" s="422"/>
      <c r="F152" s="425"/>
      <c r="G152" s="425">
        <f t="shared" ref="G152" si="65">G153</f>
        <v>2031000</v>
      </c>
    </row>
    <row r="153" spans="1:7" s="400" customFormat="1" ht="12.75">
      <c r="A153" s="380" t="s">
        <v>1389</v>
      </c>
      <c r="B153" s="426"/>
      <c r="C153" s="427" t="s">
        <v>3572</v>
      </c>
      <c r="D153" s="426">
        <v>1</v>
      </c>
      <c r="E153" s="426" t="s">
        <v>153</v>
      </c>
      <c r="F153" s="429">
        <v>2031000</v>
      </c>
      <c r="G153" s="429">
        <f>ROUNDDOWN(D153*F153,-3)</f>
        <v>2031000</v>
      </c>
    </row>
    <row r="154" spans="1:7" s="400" customFormat="1" ht="12.75">
      <c r="A154" s="380" t="s">
        <v>1391</v>
      </c>
      <c r="B154" s="422">
        <v>524111</v>
      </c>
      <c r="C154" s="423" t="s">
        <v>19</v>
      </c>
      <c r="D154" s="422"/>
      <c r="E154" s="422"/>
      <c r="F154" s="425"/>
      <c r="G154" s="425">
        <f t="shared" ref="G154" si="66">SUM(G155:G156)</f>
        <v>373634000</v>
      </c>
    </row>
    <row r="155" spans="1:7" s="400" customFormat="1" ht="12.75">
      <c r="A155" s="380" t="s">
        <v>1392</v>
      </c>
      <c r="B155" s="426"/>
      <c r="C155" s="427" t="s">
        <v>3573</v>
      </c>
      <c r="D155" s="426">
        <v>30</v>
      </c>
      <c r="E155" s="426" t="s">
        <v>10</v>
      </c>
      <c r="F155" s="429">
        <v>6441967</v>
      </c>
      <c r="G155" s="429">
        <f t="shared" ref="G155:G156" si="67">ROUNDDOWN(D155*F155,-3)</f>
        <v>193259000</v>
      </c>
    </row>
    <row r="156" spans="1:7" s="400" customFormat="1" ht="25.5">
      <c r="A156" s="380" t="s">
        <v>1394</v>
      </c>
      <c r="B156" s="426"/>
      <c r="C156" s="427" t="s">
        <v>3574</v>
      </c>
      <c r="D156" s="426">
        <v>30</v>
      </c>
      <c r="E156" s="426" t="s">
        <v>755</v>
      </c>
      <c r="F156" s="429">
        <v>6012500</v>
      </c>
      <c r="G156" s="429">
        <f t="shared" si="67"/>
        <v>180375000</v>
      </c>
    </row>
    <row r="157" spans="1:7" s="400" customFormat="1" ht="25.5">
      <c r="A157" s="380" t="s">
        <v>1396</v>
      </c>
      <c r="B157" s="419" t="s">
        <v>509</v>
      </c>
      <c r="C157" s="420" t="s">
        <v>1397</v>
      </c>
      <c r="D157" s="419"/>
      <c r="E157" s="419"/>
      <c r="F157" s="421"/>
      <c r="G157" s="421">
        <f t="shared" ref="G157" si="68">SUM(G158,G164,G166,G168)</f>
        <v>56750000</v>
      </c>
    </row>
    <row r="158" spans="1:7" s="400" customFormat="1" ht="12.75">
      <c r="A158" s="380" t="s">
        <v>1398</v>
      </c>
      <c r="B158" s="422">
        <v>521211</v>
      </c>
      <c r="C158" s="423" t="s">
        <v>7</v>
      </c>
      <c r="D158" s="422"/>
      <c r="E158" s="422"/>
      <c r="F158" s="425"/>
      <c r="G158" s="425">
        <f t="shared" ref="G158" si="69">SUM(G159:G163)</f>
        <v>33500000</v>
      </c>
    </row>
    <row r="159" spans="1:7" s="400" customFormat="1" ht="12.75">
      <c r="A159" s="380" t="s">
        <v>1399</v>
      </c>
      <c r="B159" s="426"/>
      <c r="C159" s="427" t="s">
        <v>4838</v>
      </c>
      <c r="D159" s="426">
        <v>60</v>
      </c>
      <c r="E159" s="426" t="s">
        <v>58</v>
      </c>
      <c r="F159" s="429">
        <v>400000</v>
      </c>
      <c r="G159" s="429">
        <f t="shared" ref="G159:G163" si="70">ROUNDDOWN(D159*F159,-3)</f>
        <v>24000000</v>
      </c>
    </row>
    <row r="160" spans="1:7" s="400" customFormat="1" ht="12.75">
      <c r="A160" s="380" t="s">
        <v>1402</v>
      </c>
      <c r="B160" s="426"/>
      <c r="C160" s="427" t="s">
        <v>3542</v>
      </c>
      <c r="D160" s="426">
        <v>2</v>
      </c>
      <c r="E160" s="426" t="s">
        <v>9</v>
      </c>
      <c r="F160" s="429">
        <v>1500000</v>
      </c>
      <c r="G160" s="429">
        <f t="shared" si="70"/>
        <v>3000000</v>
      </c>
    </row>
    <row r="161" spans="1:7" s="400" customFormat="1" ht="12.75">
      <c r="A161" s="380" t="s">
        <v>1403</v>
      </c>
      <c r="B161" s="426"/>
      <c r="C161" s="427" t="s">
        <v>3530</v>
      </c>
      <c r="D161" s="426">
        <v>2</v>
      </c>
      <c r="E161" s="426" t="s">
        <v>9</v>
      </c>
      <c r="F161" s="429">
        <v>1000000</v>
      </c>
      <c r="G161" s="429">
        <f t="shared" si="70"/>
        <v>2000000</v>
      </c>
    </row>
    <row r="162" spans="1:7" s="400" customFormat="1" ht="12.75">
      <c r="A162" s="380" t="s">
        <v>1404</v>
      </c>
      <c r="B162" s="426"/>
      <c r="C162" s="427" t="s">
        <v>3531</v>
      </c>
      <c r="D162" s="426">
        <v>2</v>
      </c>
      <c r="E162" s="426" t="s">
        <v>9</v>
      </c>
      <c r="F162" s="429">
        <v>1500000</v>
      </c>
      <c r="G162" s="429">
        <f t="shared" si="70"/>
        <v>3000000</v>
      </c>
    </row>
    <row r="163" spans="1:7" s="400" customFormat="1" ht="12.75">
      <c r="A163" s="380" t="s">
        <v>1405</v>
      </c>
      <c r="B163" s="426"/>
      <c r="C163" s="427" t="s">
        <v>3575</v>
      </c>
      <c r="D163" s="426">
        <v>3</v>
      </c>
      <c r="E163" s="426" t="s">
        <v>58</v>
      </c>
      <c r="F163" s="429">
        <v>500000</v>
      </c>
      <c r="G163" s="429">
        <f t="shared" si="70"/>
        <v>1500000</v>
      </c>
    </row>
    <row r="164" spans="1:7" s="400" customFormat="1" ht="12.75">
      <c r="A164" s="380" t="s">
        <v>1407</v>
      </c>
      <c r="B164" s="422">
        <v>522141</v>
      </c>
      <c r="C164" s="423" t="s">
        <v>95</v>
      </c>
      <c r="D164" s="422"/>
      <c r="E164" s="422"/>
      <c r="F164" s="425"/>
      <c r="G164" s="425">
        <f t="shared" ref="G164" si="71">G165</f>
        <v>3000000</v>
      </c>
    </row>
    <row r="165" spans="1:7" s="400" customFormat="1" ht="12.75">
      <c r="A165" s="380" t="s">
        <v>1408</v>
      </c>
      <c r="B165" s="426"/>
      <c r="C165" s="427" t="s">
        <v>3576</v>
      </c>
      <c r="D165" s="426">
        <v>2</v>
      </c>
      <c r="E165" s="426" t="s">
        <v>149</v>
      </c>
      <c r="F165" s="429">
        <v>1500000</v>
      </c>
      <c r="G165" s="429">
        <f>ROUNDDOWN(D165*F165,-3)</f>
        <v>3000000</v>
      </c>
    </row>
    <row r="166" spans="1:7" s="400" customFormat="1" ht="12.75">
      <c r="A166" s="380" t="s">
        <v>1410</v>
      </c>
      <c r="B166" s="422">
        <v>524111</v>
      </c>
      <c r="C166" s="423" t="s">
        <v>19</v>
      </c>
      <c r="D166" s="422"/>
      <c r="E166" s="422"/>
      <c r="F166" s="425"/>
      <c r="G166" s="425">
        <f t="shared" ref="G166" si="72">G167</f>
        <v>18000000</v>
      </c>
    </row>
    <row r="167" spans="1:7" s="400" customFormat="1" ht="25.5">
      <c r="A167" s="380" t="s">
        <v>1411</v>
      </c>
      <c r="B167" s="426"/>
      <c r="C167" s="427" t="s">
        <v>3577</v>
      </c>
      <c r="D167" s="426">
        <v>6</v>
      </c>
      <c r="E167" s="426" t="s">
        <v>10</v>
      </c>
      <c r="F167" s="429">
        <v>3000000</v>
      </c>
      <c r="G167" s="429">
        <f>ROUNDDOWN(D167*F167,-3)</f>
        <v>18000000</v>
      </c>
    </row>
    <row r="168" spans="1:7" s="400" customFormat="1" ht="12.75">
      <c r="A168" s="380" t="s">
        <v>1413</v>
      </c>
      <c r="B168" s="422">
        <v>524113</v>
      </c>
      <c r="C168" s="423" t="s">
        <v>13</v>
      </c>
      <c r="D168" s="422"/>
      <c r="E168" s="422"/>
      <c r="F168" s="425"/>
      <c r="G168" s="425">
        <f t="shared" ref="G168" si="73">G169</f>
        <v>2250000</v>
      </c>
    </row>
    <row r="169" spans="1:7" s="400" customFormat="1" ht="12.75">
      <c r="A169" s="380" t="s">
        <v>1414</v>
      </c>
      <c r="B169" s="426"/>
      <c r="C169" s="427" t="s">
        <v>3578</v>
      </c>
      <c r="D169" s="426">
        <v>15</v>
      </c>
      <c r="E169" s="426" t="s">
        <v>10</v>
      </c>
      <c r="F169" s="429">
        <v>150000</v>
      </c>
      <c r="G169" s="429">
        <f>ROUNDDOWN(D169*F169,-3)</f>
        <v>2250000</v>
      </c>
    </row>
    <row r="170" spans="1:7" s="400" customFormat="1" ht="25.5">
      <c r="A170" s="380" t="s">
        <v>1416</v>
      </c>
      <c r="B170" s="419" t="s">
        <v>511</v>
      </c>
      <c r="C170" s="420" t="s">
        <v>151</v>
      </c>
      <c r="D170" s="419"/>
      <c r="E170" s="419"/>
      <c r="F170" s="421"/>
      <c r="G170" s="421">
        <f>SUM(G171,G176)</f>
        <v>61193000</v>
      </c>
    </row>
    <row r="171" spans="1:7" s="400" customFormat="1" ht="12.75">
      <c r="A171" s="380" t="s">
        <v>1417</v>
      </c>
      <c r="B171" s="422">
        <v>521211</v>
      </c>
      <c r="C171" s="423" t="s">
        <v>7</v>
      </c>
      <c r="D171" s="422"/>
      <c r="E171" s="422"/>
      <c r="F171" s="425"/>
      <c r="G171" s="425">
        <f t="shared" ref="G171" si="74">SUM(G172:G175)</f>
        <v>13500000</v>
      </c>
    </row>
    <row r="172" spans="1:7" s="400" customFormat="1" ht="12.75">
      <c r="A172" s="380" t="s">
        <v>1418</v>
      </c>
      <c r="B172" s="426"/>
      <c r="C172" s="427" t="s">
        <v>3535</v>
      </c>
      <c r="D172" s="426">
        <v>3</v>
      </c>
      <c r="E172" s="426" t="s">
        <v>9</v>
      </c>
      <c r="F172" s="429">
        <v>1000000</v>
      </c>
      <c r="G172" s="429">
        <f t="shared" ref="G172:G175" si="75">ROUNDDOWN(D172*F172,-3)</f>
        <v>3000000</v>
      </c>
    </row>
    <row r="173" spans="1:7" s="400" customFormat="1" ht="12.75">
      <c r="A173" s="380" t="s">
        <v>1419</v>
      </c>
      <c r="B173" s="426"/>
      <c r="C173" s="427" t="s">
        <v>3536</v>
      </c>
      <c r="D173" s="426">
        <v>3</v>
      </c>
      <c r="E173" s="426" t="s">
        <v>9</v>
      </c>
      <c r="F173" s="429">
        <v>1500000</v>
      </c>
      <c r="G173" s="429">
        <f t="shared" si="75"/>
        <v>4500000</v>
      </c>
    </row>
    <row r="174" spans="1:7" s="400" customFormat="1" ht="12.75">
      <c r="A174" s="380" t="s">
        <v>1420</v>
      </c>
      <c r="B174" s="426"/>
      <c r="C174" s="427" t="s">
        <v>3537</v>
      </c>
      <c r="D174" s="426">
        <v>3</v>
      </c>
      <c r="E174" s="426" t="s">
        <v>9</v>
      </c>
      <c r="F174" s="429">
        <v>1500000</v>
      </c>
      <c r="G174" s="429">
        <f t="shared" si="75"/>
        <v>4500000</v>
      </c>
    </row>
    <row r="175" spans="1:7" s="400" customFormat="1" ht="12.75">
      <c r="A175" s="380" t="s">
        <v>1421</v>
      </c>
      <c r="B175" s="426"/>
      <c r="C175" s="427" t="s">
        <v>3579</v>
      </c>
      <c r="D175" s="426">
        <v>3</v>
      </c>
      <c r="E175" s="426" t="s">
        <v>176</v>
      </c>
      <c r="F175" s="429">
        <v>500000</v>
      </c>
      <c r="G175" s="429">
        <f t="shared" si="75"/>
        <v>1500000</v>
      </c>
    </row>
    <row r="176" spans="1:7" s="400" customFormat="1" ht="12.75">
      <c r="A176" s="380" t="s">
        <v>1422</v>
      </c>
      <c r="B176" s="422">
        <v>524111</v>
      </c>
      <c r="C176" s="423" t="s">
        <v>19</v>
      </c>
      <c r="D176" s="422"/>
      <c r="E176" s="422"/>
      <c r="F176" s="425"/>
      <c r="G176" s="425">
        <f t="shared" ref="G176" si="76">G177</f>
        <v>47693000</v>
      </c>
    </row>
    <row r="177" spans="1:7" s="400" customFormat="1" ht="25.5">
      <c r="A177" s="380" t="s">
        <v>1423</v>
      </c>
      <c r="B177" s="426"/>
      <c r="C177" s="427" t="s">
        <v>3580</v>
      </c>
      <c r="D177" s="426">
        <v>10</v>
      </c>
      <c r="E177" s="426" t="s">
        <v>10</v>
      </c>
      <c r="F177" s="429">
        <v>4769300</v>
      </c>
      <c r="G177" s="429">
        <f>ROUNDDOWN(D177*F177,-3)</f>
        <v>47693000</v>
      </c>
    </row>
    <row r="178" spans="1:7" s="400" customFormat="1" ht="12.75">
      <c r="A178" s="380" t="s">
        <v>1427</v>
      </c>
      <c r="B178" s="419" t="s">
        <v>516</v>
      </c>
      <c r="C178" s="420" t="s">
        <v>152</v>
      </c>
      <c r="D178" s="419"/>
      <c r="E178" s="419"/>
      <c r="F178" s="421"/>
      <c r="G178" s="421">
        <f>SUM(G179,G184,G188,G190,G192,G194)</f>
        <v>664155000</v>
      </c>
    </row>
    <row r="179" spans="1:7" s="400" customFormat="1" ht="12.75">
      <c r="A179" s="380" t="s">
        <v>1428</v>
      </c>
      <c r="B179" s="422">
        <v>521211</v>
      </c>
      <c r="C179" s="423" t="s">
        <v>7</v>
      </c>
      <c r="D179" s="422"/>
      <c r="E179" s="422"/>
      <c r="F179" s="425"/>
      <c r="G179" s="425">
        <f t="shared" ref="G179" si="77">SUM(G180:G183)</f>
        <v>38100000</v>
      </c>
    </row>
    <row r="180" spans="1:7" s="400" customFormat="1" ht="12.75">
      <c r="A180" s="380" t="s">
        <v>1429</v>
      </c>
      <c r="B180" s="426"/>
      <c r="C180" s="427" t="s">
        <v>3529</v>
      </c>
      <c r="D180" s="426">
        <v>1</v>
      </c>
      <c r="E180" s="426" t="s">
        <v>9</v>
      </c>
      <c r="F180" s="429">
        <v>1500000</v>
      </c>
      <c r="G180" s="429">
        <f t="shared" ref="G180:G183" si="78">ROUNDDOWN(D180*F180,-3)</f>
        <v>1500000</v>
      </c>
    </row>
    <row r="181" spans="1:7" s="400" customFormat="1" ht="12.75">
      <c r="A181" s="380" t="s">
        <v>1430</v>
      </c>
      <c r="B181" s="426"/>
      <c r="C181" s="427" t="s">
        <v>3538</v>
      </c>
      <c r="D181" s="426">
        <v>1</v>
      </c>
      <c r="E181" s="426" t="s">
        <v>9</v>
      </c>
      <c r="F181" s="429">
        <v>1000000</v>
      </c>
      <c r="G181" s="429">
        <f t="shared" si="78"/>
        <v>1000000</v>
      </c>
    </row>
    <row r="182" spans="1:7" s="400" customFormat="1" ht="12.75">
      <c r="A182" s="380" t="s">
        <v>1431</v>
      </c>
      <c r="B182" s="426"/>
      <c r="C182" s="427" t="s">
        <v>3539</v>
      </c>
      <c r="D182" s="426">
        <v>1</v>
      </c>
      <c r="E182" s="426" t="s">
        <v>9</v>
      </c>
      <c r="F182" s="429">
        <v>1500000</v>
      </c>
      <c r="G182" s="429">
        <f t="shared" si="78"/>
        <v>1500000</v>
      </c>
    </row>
    <row r="183" spans="1:7" s="400" customFormat="1" ht="25.5">
      <c r="A183" s="380" t="s">
        <v>1432</v>
      </c>
      <c r="B183" s="426"/>
      <c r="C183" s="427" t="s">
        <v>4839</v>
      </c>
      <c r="D183" s="426">
        <v>1</v>
      </c>
      <c r="E183" s="426" t="s">
        <v>153</v>
      </c>
      <c r="F183" s="429">
        <v>34100000</v>
      </c>
      <c r="G183" s="429">
        <f t="shared" si="78"/>
        <v>34100000</v>
      </c>
    </row>
    <row r="184" spans="1:7" s="400" customFormat="1" ht="25.5">
      <c r="A184" s="380" t="s">
        <v>1434</v>
      </c>
      <c r="B184" s="422">
        <v>521241</v>
      </c>
      <c r="C184" s="423" t="s">
        <v>621</v>
      </c>
      <c r="D184" s="422"/>
      <c r="E184" s="422"/>
      <c r="F184" s="425"/>
      <c r="G184" s="425">
        <f t="shared" ref="G184" si="79">SUM(G185:G187)</f>
        <v>82535000</v>
      </c>
    </row>
    <row r="185" spans="1:7" s="400" customFormat="1" ht="12.75">
      <c r="A185" s="380" t="s">
        <v>1435</v>
      </c>
      <c r="B185" s="426"/>
      <c r="C185" s="427" t="s">
        <v>3581</v>
      </c>
      <c r="D185" s="426">
        <v>1</v>
      </c>
      <c r="E185" s="426" t="s">
        <v>153</v>
      </c>
      <c r="F185" s="429">
        <v>57400000</v>
      </c>
      <c r="G185" s="429">
        <f t="shared" ref="G185:G187" si="80">ROUNDDOWN(D185*F185,-3)</f>
        <v>57400000</v>
      </c>
    </row>
    <row r="186" spans="1:7" s="400" customFormat="1" ht="25.5">
      <c r="A186" s="380" t="s">
        <v>1437</v>
      </c>
      <c r="B186" s="426"/>
      <c r="C186" s="427" t="s">
        <v>3582</v>
      </c>
      <c r="D186" s="426">
        <v>1</v>
      </c>
      <c r="E186" s="426" t="s">
        <v>4840</v>
      </c>
      <c r="F186" s="429">
        <v>24335000</v>
      </c>
      <c r="G186" s="429">
        <f t="shared" si="80"/>
        <v>24335000</v>
      </c>
    </row>
    <row r="187" spans="1:7" s="400" customFormat="1" ht="12.75">
      <c r="A187" s="380" t="s">
        <v>1439</v>
      </c>
      <c r="B187" s="426"/>
      <c r="C187" s="427" t="s">
        <v>3583</v>
      </c>
      <c r="D187" s="426">
        <v>1</v>
      </c>
      <c r="E187" s="426" t="s">
        <v>32</v>
      </c>
      <c r="F187" s="429">
        <v>800000</v>
      </c>
      <c r="G187" s="429">
        <f t="shared" si="80"/>
        <v>800000</v>
      </c>
    </row>
    <row r="188" spans="1:7" s="400" customFormat="1" ht="12.75">
      <c r="A188" s="380" t="s">
        <v>3903</v>
      </c>
      <c r="B188" s="422">
        <v>522191</v>
      </c>
      <c r="C188" s="423" t="s">
        <v>22</v>
      </c>
      <c r="D188" s="422"/>
      <c r="E188" s="422"/>
      <c r="F188" s="425"/>
      <c r="G188" s="425">
        <f>G189</f>
        <v>1605000</v>
      </c>
    </row>
    <row r="189" spans="1:7" s="400" customFormat="1" ht="12.75">
      <c r="A189" s="380" t="s">
        <v>4841</v>
      </c>
      <c r="B189" s="426"/>
      <c r="C189" s="427" t="s">
        <v>4842</v>
      </c>
      <c r="D189" s="426">
        <v>1</v>
      </c>
      <c r="E189" s="426" t="s">
        <v>153</v>
      </c>
      <c r="F189" s="429">
        <v>1605500</v>
      </c>
      <c r="G189" s="429">
        <f t="shared" ref="G189" si="81">ROUNDDOWN(D189*F189,-3)</f>
        <v>1605000</v>
      </c>
    </row>
    <row r="190" spans="1:7" s="400" customFormat="1" ht="12.75">
      <c r="A190" s="380" t="s">
        <v>1441</v>
      </c>
      <c r="B190" s="422">
        <v>522192</v>
      </c>
      <c r="C190" s="423" t="s">
        <v>24</v>
      </c>
      <c r="D190" s="422"/>
      <c r="E190" s="422"/>
      <c r="F190" s="425"/>
      <c r="G190" s="425">
        <f t="shared" ref="G190" si="82">G191</f>
        <v>4246000</v>
      </c>
    </row>
    <row r="191" spans="1:7" s="400" customFormat="1" ht="12.75">
      <c r="A191" s="380" t="s">
        <v>1442</v>
      </c>
      <c r="B191" s="426"/>
      <c r="C191" s="427" t="s">
        <v>3572</v>
      </c>
      <c r="D191" s="426">
        <v>1</v>
      </c>
      <c r="E191" s="426" t="s">
        <v>153</v>
      </c>
      <c r="F191" s="429">
        <v>4246000</v>
      </c>
      <c r="G191" s="429">
        <f>ROUNDDOWN(D191*F191,-3)</f>
        <v>4246000</v>
      </c>
    </row>
    <row r="192" spans="1:7" s="400" customFormat="1" ht="12.75">
      <c r="A192" s="380" t="s">
        <v>1443</v>
      </c>
      <c r="B192" s="422">
        <v>524111</v>
      </c>
      <c r="C192" s="423" t="s">
        <v>19</v>
      </c>
      <c r="D192" s="422"/>
      <c r="E192" s="422"/>
      <c r="F192" s="425"/>
      <c r="G192" s="425">
        <f t="shared" ref="G192" si="83">G193</f>
        <v>21851000</v>
      </c>
    </row>
    <row r="193" spans="1:7" s="400" customFormat="1" ht="12.75">
      <c r="A193" s="380" t="s">
        <v>1444</v>
      </c>
      <c r="B193" s="426"/>
      <c r="C193" s="427" t="s">
        <v>3584</v>
      </c>
      <c r="D193" s="426">
        <v>5</v>
      </c>
      <c r="E193" s="426" t="s">
        <v>10</v>
      </c>
      <c r="F193" s="429">
        <v>4370200</v>
      </c>
      <c r="G193" s="429">
        <f>ROUNDDOWN(D193*F193,-3)</f>
        <v>21851000</v>
      </c>
    </row>
    <row r="194" spans="1:7" s="400" customFormat="1" ht="12.75">
      <c r="A194" s="380" t="s">
        <v>1446</v>
      </c>
      <c r="B194" s="422">
        <v>524113</v>
      </c>
      <c r="C194" s="423" t="s">
        <v>13</v>
      </c>
      <c r="D194" s="422"/>
      <c r="E194" s="422"/>
      <c r="F194" s="425"/>
      <c r="G194" s="425">
        <f t="shared" ref="G194" si="84">G195</f>
        <v>515818000</v>
      </c>
    </row>
    <row r="195" spans="1:7" s="400" customFormat="1" ht="12.75">
      <c r="A195" s="380" t="s">
        <v>1447</v>
      </c>
      <c r="B195" s="426"/>
      <c r="C195" s="427" t="s">
        <v>4837</v>
      </c>
      <c r="D195" s="426">
        <v>1</v>
      </c>
      <c r="E195" s="426" t="s">
        <v>23</v>
      </c>
      <c r="F195" s="429">
        <v>515818000</v>
      </c>
      <c r="G195" s="429">
        <f>ROUNDDOWN(D195*F195,-3)</f>
        <v>515818000</v>
      </c>
    </row>
    <row r="196" spans="1:7" s="400" customFormat="1" ht="25.5">
      <c r="A196" s="380" t="s">
        <v>1448</v>
      </c>
      <c r="B196" s="419" t="s">
        <v>566</v>
      </c>
      <c r="C196" s="420" t="s">
        <v>154</v>
      </c>
      <c r="D196" s="419"/>
      <c r="E196" s="419"/>
      <c r="F196" s="421"/>
      <c r="G196" s="421">
        <f>SUM(G197,G201,G204,G206)</f>
        <v>450000000</v>
      </c>
    </row>
    <row r="197" spans="1:7" s="400" customFormat="1" ht="12.75">
      <c r="A197" s="380" t="s">
        <v>1449</v>
      </c>
      <c r="B197" s="422">
        <v>521211</v>
      </c>
      <c r="C197" s="423" t="s">
        <v>7</v>
      </c>
      <c r="D197" s="422"/>
      <c r="E197" s="422"/>
      <c r="F197" s="425"/>
      <c r="G197" s="425">
        <f t="shared" ref="G197" si="85">SUM(G198:G200)</f>
        <v>4000000</v>
      </c>
    </row>
    <row r="198" spans="1:7" s="400" customFormat="1" ht="12.75">
      <c r="A198" s="380" t="s">
        <v>1450</v>
      </c>
      <c r="B198" s="426"/>
      <c r="C198" s="427" t="s">
        <v>3529</v>
      </c>
      <c r="D198" s="426">
        <v>1</v>
      </c>
      <c r="E198" s="426" t="s">
        <v>9</v>
      </c>
      <c r="F198" s="429">
        <v>1500000</v>
      </c>
      <c r="G198" s="429">
        <f t="shared" ref="G198:G200" si="86">ROUNDDOWN(D198*F198,-3)</f>
        <v>1500000</v>
      </c>
    </row>
    <row r="199" spans="1:7" s="400" customFormat="1" ht="12.75">
      <c r="A199" s="380" t="s">
        <v>1451</v>
      </c>
      <c r="B199" s="426"/>
      <c r="C199" s="427" t="s">
        <v>3538</v>
      </c>
      <c r="D199" s="426">
        <v>1</v>
      </c>
      <c r="E199" s="426" t="s">
        <v>9</v>
      </c>
      <c r="F199" s="429">
        <v>1000000</v>
      </c>
      <c r="G199" s="429">
        <f t="shared" si="86"/>
        <v>1000000</v>
      </c>
    </row>
    <row r="200" spans="1:7" s="400" customFormat="1" ht="12.75">
      <c r="A200" s="380" t="s">
        <v>1452</v>
      </c>
      <c r="B200" s="426"/>
      <c r="C200" s="427" t="s">
        <v>3539</v>
      </c>
      <c r="D200" s="426">
        <v>1</v>
      </c>
      <c r="E200" s="426" t="s">
        <v>9</v>
      </c>
      <c r="F200" s="429">
        <v>1500000</v>
      </c>
      <c r="G200" s="429">
        <f t="shared" si="86"/>
        <v>1500000</v>
      </c>
    </row>
    <row r="201" spans="1:7" s="400" customFormat="1" ht="12.75">
      <c r="A201" s="380" t="s">
        <v>1453</v>
      </c>
      <c r="B201" s="422">
        <v>521219</v>
      </c>
      <c r="C201" s="423" t="s">
        <v>53</v>
      </c>
      <c r="D201" s="422"/>
      <c r="E201" s="422"/>
      <c r="F201" s="425"/>
      <c r="G201" s="425">
        <f>SUM(G202:G203)</f>
        <v>4298000</v>
      </c>
    </row>
    <row r="202" spans="1:7" s="400" customFormat="1" ht="25.5">
      <c r="A202" s="380" t="s">
        <v>1454</v>
      </c>
      <c r="B202" s="426"/>
      <c r="C202" s="427" t="s">
        <v>4843</v>
      </c>
      <c r="D202" s="426">
        <v>1</v>
      </c>
      <c r="E202" s="426" t="s">
        <v>60</v>
      </c>
      <c r="F202" s="429">
        <v>3105000</v>
      </c>
      <c r="G202" s="429">
        <f t="shared" ref="G202:G203" si="87">ROUNDDOWN(D202*F202,-3)</f>
        <v>3105000</v>
      </c>
    </row>
    <row r="203" spans="1:7" s="400" customFormat="1" ht="25.5">
      <c r="A203" s="380" t="s">
        <v>1456</v>
      </c>
      <c r="B203" s="426"/>
      <c r="C203" s="427" t="s">
        <v>4844</v>
      </c>
      <c r="D203" s="426">
        <v>1</v>
      </c>
      <c r="E203" s="426" t="s">
        <v>60</v>
      </c>
      <c r="F203" s="429">
        <v>1193000</v>
      </c>
      <c r="G203" s="429">
        <f t="shared" si="87"/>
        <v>1193000</v>
      </c>
    </row>
    <row r="204" spans="1:7" s="400" customFormat="1" ht="12.75">
      <c r="A204" s="380" t="s">
        <v>1462</v>
      </c>
      <c r="B204" s="422">
        <v>522151</v>
      </c>
      <c r="C204" s="423" t="s">
        <v>11</v>
      </c>
      <c r="D204" s="422"/>
      <c r="E204" s="422"/>
      <c r="F204" s="425"/>
      <c r="G204" s="425">
        <f t="shared" ref="G204" si="88">G205</f>
        <v>432643000</v>
      </c>
    </row>
    <row r="205" spans="1:7" s="400" customFormat="1" ht="12.75">
      <c r="A205" s="380" t="s">
        <v>1463</v>
      </c>
      <c r="B205" s="426"/>
      <c r="C205" s="427" t="s">
        <v>4845</v>
      </c>
      <c r="D205" s="426">
        <v>1</v>
      </c>
      <c r="E205" s="426" t="s">
        <v>23</v>
      </c>
      <c r="F205" s="429">
        <v>432643000</v>
      </c>
      <c r="G205" s="429">
        <f>ROUNDDOWN(D205*F205,-3)</f>
        <v>432643000</v>
      </c>
    </row>
    <row r="206" spans="1:7" s="400" customFormat="1" ht="12.75">
      <c r="A206" s="380" t="s">
        <v>1466</v>
      </c>
      <c r="B206" s="422">
        <v>524111</v>
      </c>
      <c r="C206" s="423" t="s">
        <v>19</v>
      </c>
      <c r="D206" s="422"/>
      <c r="E206" s="422"/>
      <c r="F206" s="425"/>
      <c r="G206" s="425">
        <f t="shared" ref="G206" si="89">G207</f>
        <v>9059000</v>
      </c>
    </row>
    <row r="207" spans="1:7" s="400" customFormat="1" ht="25.5">
      <c r="A207" s="380" t="s">
        <v>1467</v>
      </c>
      <c r="B207" s="426"/>
      <c r="C207" s="427" t="s">
        <v>3585</v>
      </c>
      <c r="D207" s="426">
        <v>2</v>
      </c>
      <c r="E207" s="426" t="s">
        <v>10</v>
      </c>
      <c r="F207" s="429">
        <v>4529500</v>
      </c>
      <c r="G207" s="429">
        <f>ROUNDDOWN(D207*F207,-3)</f>
        <v>9059000</v>
      </c>
    </row>
    <row r="208" spans="1:7" s="400" customFormat="1" ht="12.75">
      <c r="A208" s="380" t="s">
        <v>1469</v>
      </c>
      <c r="B208" s="419" t="s">
        <v>567</v>
      </c>
      <c r="C208" s="420" t="s">
        <v>56</v>
      </c>
      <c r="D208" s="419"/>
      <c r="E208" s="419"/>
      <c r="F208" s="421"/>
      <c r="G208" s="421">
        <f>SUM(G209,G213,G215,G217,G219)</f>
        <v>350000000</v>
      </c>
    </row>
    <row r="209" spans="1:7" s="400" customFormat="1" ht="12.75">
      <c r="A209" s="380" t="s">
        <v>1470</v>
      </c>
      <c r="B209" s="422">
        <v>521211</v>
      </c>
      <c r="C209" s="423" t="s">
        <v>7</v>
      </c>
      <c r="D209" s="422"/>
      <c r="E209" s="422"/>
      <c r="F209" s="425"/>
      <c r="G209" s="425">
        <f>SUM(G210:G212)</f>
        <v>12550000</v>
      </c>
    </row>
    <row r="210" spans="1:7" s="400" customFormat="1" ht="12.75">
      <c r="A210" s="380" t="s">
        <v>1471</v>
      </c>
      <c r="B210" s="426"/>
      <c r="C210" s="427" t="s">
        <v>3541</v>
      </c>
      <c r="D210" s="426">
        <v>134</v>
      </c>
      <c r="E210" s="426" t="s">
        <v>10</v>
      </c>
      <c r="F210" s="429">
        <v>75000</v>
      </c>
      <c r="G210" s="429">
        <f t="shared" ref="G210:G212" si="90">ROUNDDOWN(D210*F210,-3)</f>
        <v>10050000</v>
      </c>
    </row>
    <row r="211" spans="1:7" s="400" customFormat="1" ht="12.75">
      <c r="A211" s="380" t="s">
        <v>1472</v>
      </c>
      <c r="B211" s="426"/>
      <c r="C211" s="427" t="s">
        <v>3538</v>
      </c>
      <c r="D211" s="426">
        <v>1</v>
      </c>
      <c r="E211" s="426" t="s">
        <v>9</v>
      </c>
      <c r="F211" s="429">
        <v>1000000</v>
      </c>
      <c r="G211" s="429">
        <f t="shared" si="90"/>
        <v>1000000</v>
      </c>
    </row>
    <row r="212" spans="1:7" s="400" customFormat="1" ht="12.75">
      <c r="A212" s="380" t="s">
        <v>1473</v>
      </c>
      <c r="B212" s="426"/>
      <c r="C212" s="427" t="s">
        <v>3539</v>
      </c>
      <c r="D212" s="426">
        <v>1</v>
      </c>
      <c r="E212" s="426" t="s">
        <v>9</v>
      </c>
      <c r="F212" s="429">
        <v>1500000</v>
      </c>
      <c r="G212" s="429">
        <f t="shared" si="90"/>
        <v>1500000</v>
      </c>
    </row>
    <row r="213" spans="1:7" s="400" customFormat="1" ht="12.75">
      <c r="A213" s="380" t="s">
        <v>1475</v>
      </c>
      <c r="B213" s="422">
        <v>521219</v>
      </c>
      <c r="C213" s="423" t="s">
        <v>53</v>
      </c>
      <c r="D213" s="422"/>
      <c r="E213" s="422"/>
      <c r="F213" s="425"/>
      <c r="G213" s="425">
        <f t="shared" ref="G213:G215" si="91">G214</f>
        <v>1192000</v>
      </c>
    </row>
    <row r="214" spans="1:7" s="400" customFormat="1" ht="12.75">
      <c r="A214" s="380" t="s">
        <v>1476</v>
      </c>
      <c r="B214" s="426"/>
      <c r="C214" s="427" t="s">
        <v>3550</v>
      </c>
      <c r="D214" s="426">
        <v>1</v>
      </c>
      <c r="E214" s="426" t="s">
        <v>153</v>
      </c>
      <c r="F214" s="429">
        <v>1192000</v>
      </c>
      <c r="G214" s="429">
        <f>ROUNDDOWN(D214*F214,-3)</f>
        <v>1192000</v>
      </c>
    </row>
    <row r="215" spans="1:7" s="400" customFormat="1" ht="12.75">
      <c r="A215" s="380" t="s">
        <v>4826</v>
      </c>
      <c r="B215" s="422">
        <v>521811</v>
      </c>
      <c r="C215" s="423" t="s">
        <v>64</v>
      </c>
      <c r="D215" s="422"/>
      <c r="E215" s="422"/>
      <c r="F215" s="425"/>
      <c r="G215" s="425">
        <f t="shared" si="91"/>
        <v>266494000</v>
      </c>
    </row>
    <row r="216" spans="1:7" s="400" customFormat="1" ht="12.75">
      <c r="A216" s="380" t="s">
        <v>4846</v>
      </c>
      <c r="B216" s="426"/>
      <c r="C216" s="427" t="s">
        <v>4845</v>
      </c>
      <c r="D216" s="426">
        <v>1</v>
      </c>
      <c r="E216" s="426" t="s">
        <v>23</v>
      </c>
      <c r="F216" s="429">
        <v>266494000</v>
      </c>
      <c r="G216" s="429">
        <f>ROUNDDOWN(D216*F216,-3)</f>
        <v>266494000</v>
      </c>
    </row>
    <row r="217" spans="1:7" s="400" customFormat="1" ht="12.75">
      <c r="A217" s="380" t="s">
        <v>1477</v>
      </c>
      <c r="B217" s="422">
        <v>522151</v>
      </c>
      <c r="C217" s="423" t="s">
        <v>11</v>
      </c>
      <c r="D217" s="422"/>
      <c r="E217" s="422"/>
      <c r="F217" s="425"/>
      <c r="G217" s="425">
        <f t="shared" ref="G217" si="92">G218</f>
        <v>9000000</v>
      </c>
    </row>
    <row r="218" spans="1:7" s="400" customFormat="1" ht="12.75">
      <c r="A218" s="380" t="s">
        <v>1478</v>
      </c>
      <c r="B218" s="426"/>
      <c r="C218" s="427" t="s">
        <v>3586</v>
      </c>
      <c r="D218" s="426">
        <v>9</v>
      </c>
      <c r="E218" s="426" t="s">
        <v>12</v>
      </c>
      <c r="F218" s="429">
        <v>1000000</v>
      </c>
      <c r="G218" s="429">
        <f>ROUNDDOWN(D218*F218,-3)</f>
        <v>9000000</v>
      </c>
    </row>
    <row r="219" spans="1:7" s="400" customFormat="1" ht="12.75">
      <c r="A219" s="380" t="s">
        <v>1480</v>
      </c>
      <c r="B219" s="422">
        <v>524111</v>
      </c>
      <c r="C219" s="423" t="s">
        <v>19</v>
      </c>
      <c r="D219" s="422"/>
      <c r="E219" s="422"/>
      <c r="F219" s="425"/>
      <c r="G219" s="425">
        <f t="shared" ref="G219" si="93">G220</f>
        <v>60764000</v>
      </c>
    </row>
    <row r="220" spans="1:7" s="400" customFormat="1" ht="12.75">
      <c r="A220" s="380" t="s">
        <v>1481</v>
      </c>
      <c r="B220" s="426"/>
      <c r="C220" s="427" t="s">
        <v>3587</v>
      </c>
      <c r="D220" s="426">
        <v>10</v>
      </c>
      <c r="E220" s="426" t="s">
        <v>10</v>
      </c>
      <c r="F220" s="429">
        <v>6076400</v>
      </c>
      <c r="G220" s="429">
        <f>ROUNDDOWN(D220*F220,-3)</f>
        <v>60764000</v>
      </c>
    </row>
    <row r="221" spans="1:7" s="400" customFormat="1" ht="25.5">
      <c r="A221" s="380" t="s">
        <v>1483</v>
      </c>
      <c r="B221" s="419" t="s">
        <v>568</v>
      </c>
      <c r="C221" s="420" t="s">
        <v>1484</v>
      </c>
      <c r="D221" s="419"/>
      <c r="E221" s="419"/>
      <c r="F221" s="421"/>
      <c r="G221" s="421">
        <f t="shared" ref="G221" si="94">SUM(G222,G232,G235,G239)</f>
        <v>639737000</v>
      </c>
    </row>
    <row r="222" spans="1:7" s="400" customFormat="1" ht="12.75">
      <c r="A222" s="380" t="s">
        <v>1485</v>
      </c>
      <c r="B222" s="422">
        <v>521211</v>
      </c>
      <c r="C222" s="423" t="s">
        <v>7</v>
      </c>
      <c r="D222" s="422"/>
      <c r="E222" s="422"/>
      <c r="F222" s="425"/>
      <c r="G222" s="425">
        <f t="shared" ref="G222" si="95">SUM(G223:G231)</f>
        <v>118575000</v>
      </c>
    </row>
    <row r="223" spans="1:7" s="400" customFormat="1" ht="12.75">
      <c r="A223" s="380" t="s">
        <v>1486</v>
      </c>
      <c r="B223" s="426"/>
      <c r="C223" s="427" t="s">
        <v>3541</v>
      </c>
      <c r="D223" s="426">
        <v>569</v>
      </c>
      <c r="E223" s="426" t="s">
        <v>10</v>
      </c>
      <c r="F223" s="429">
        <v>75000</v>
      </c>
      <c r="G223" s="429">
        <f t="shared" ref="G223:G231" si="96">ROUNDDOWN(D223*F223,-3)</f>
        <v>42675000</v>
      </c>
    </row>
    <row r="224" spans="1:7" s="400" customFormat="1" ht="12.75">
      <c r="A224" s="380" t="s">
        <v>1487</v>
      </c>
      <c r="B224" s="426"/>
      <c r="C224" s="427" t="s">
        <v>3542</v>
      </c>
      <c r="D224" s="426">
        <v>2</v>
      </c>
      <c r="E224" s="426" t="s">
        <v>23</v>
      </c>
      <c r="F224" s="429">
        <v>1000000</v>
      </c>
      <c r="G224" s="429">
        <f t="shared" si="96"/>
        <v>2000000</v>
      </c>
    </row>
    <row r="225" spans="1:7" s="400" customFormat="1" ht="12.75">
      <c r="A225" s="380" t="s">
        <v>1488</v>
      </c>
      <c r="B225" s="426"/>
      <c r="C225" s="427" t="s">
        <v>3530</v>
      </c>
      <c r="D225" s="426">
        <v>2</v>
      </c>
      <c r="E225" s="426" t="s">
        <v>9</v>
      </c>
      <c r="F225" s="429">
        <v>1000000</v>
      </c>
      <c r="G225" s="429">
        <f t="shared" si="96"/>
        <v>2000000</v>
      </c>
    </row>
    <row r="226" spans="1:7" s="400" customFormat="1" ht="12.75">
      <c r="A226" s="380" t="s">
        <v>1489</v>
      </c>
      <c r="B226" s="426"/>
      <c r="C226" s="427" t="s">
        <v>3531</v>
      </c>
      <c r="D226" s="426">
        <v>2</v>
      </c>
      <c r="E226" s="426" t="s">
        <v>9</v>
      </c>
      <c r="F226" s="429">
        <v>1500000</v>
      </c>
      <c r="G226" s="429">
        <f t="shared" si="96"/>
        <v>3000000</v>
      </c>
    </row>
    <row r="227" spans="1:7" s="400" customFormat="1" ht="12.75">
      <c r="A227" s="380" t="s">
        <v>1490</v>
      </c>
      <c r="B227" s="426"/>
      <c r="C227" s="427" t="s">
        <v>3588</v>
      </c>
      <c r="D227" s="426">
        <v>20</v>
      </c>
      <c r="E227" s="426" t="s">
        <v>58</v>
      </c>
      <c r="F227" s="429">
        <v>450000</v>
      </c>
      <c r="G227" s="429">
        <f t="shared" si="96"/>
        <v>9000000</v>
      </c>
    </row>
    <row r="228" spans="1:7" s="400" customFormat="1" ht="12.75">
      <c r="A228" s="380" t="s">
        <v>1492</v>
      </c>
      <c r="B228" s="426"/>
      <c r="C228" s="427" t="s">
        <v>3589</v>
      </c>
      <c r="D228" s="426">
        <v>20</v>
      </c>
      <c r="E228" s="426" t="s">
        <v>58</v>
      </c>
      <c r="F228" s="429">
        <v>450000</v>
      </c>
      <c r="G228" s="429">
        <f t="shared" si="96"/>
        <v>9000000</v>
      </c>
    </row>
    <row r="229" spans="1:7" s="400" customFormat="1" ht="12.75">
      <c r="A229" s="380" t="s">
        <v>1494</v>
      </c>
      <c r="B229" s="426"/>
      <c r="C229" s="427" t="s">
        <v>3590</v>
      </c>
      <c r="D229" s="426">
        <v>1</v>
      </c>
      <c r="E229" s="426" t="s">
        <v>23</v>
      </c>
      <c r="F229" s="429">
        <v>25000000</v>
      </c>
      <c r="G229" s="429">
        <f t="shared" si="96"/>
        <v>25000000</v>
      </c>
    </row>
    <row r="230" spans="1:7" s="400" customFormat="1" ht="12.75">
      <c r="A230" s="380" t="s">
        <v>1496</v>
      </c>
      <c r="B230" s="426"/>
      <c r="C230" s="427" t="s">
        <v>3591</v>
      </c>
      <c r="D230" s="426">
        <v>1</v>
      </c>
      <c r="E230" s="426" t="s">
        <v>23</v>
      </c>
      <c r="F230" s="429">
        <v>25000000</v>
      </c>
      <c r="G230" s="429">
        <f t="shared" si="96"/>
        <v>25000000</v>
      </c>
    </row>
    <row r="231" spans="1:7" s="400" customFormat="1" ht="12.75">
      <c r="A231" s="380" t="s">
        <v>1498</v>
      </c>
      <c r="B231" s="426"/>
      <c r="C231" s="427" t="s">
        <v>3592</v>
      </c>
      <c r="D231" s="426">
        <v>3</v>
      </c>
      <c r="E231" s="426" t="s">
        <v>58</v>
      </c>
      <c r="F231" s="429">
        <v>300000</v>
      </c>
      <c r="G231" s="429">
        <f t="shared" si="96"/>
        <v>900000</v>
      </c>
    </row>
    <row r="232" spans="1:7" s="400" customFormat="1" ht="12.75">
      <c r="A232" s="380" t="s">
        <v>1500</v>
      </c>
      <c r="B232" s="422">
        <v>521219</v>
      </c>
      <c r="C232" s="423" t="s">
        <v>53</v>
      </c>
      <c r="D232" s="422"/>
      <c r="E232" s="422"/>
      <c r="F232" s="425"/>
      <c r="G232" s="425">
        <f t="shared" ref="G232" si="97">SUM(G233:G234)</f>
        <v>393200000</v>
      </c>
    </row>
    <row r="233" spans="1:7" s="400" customFormat="1" ht="12.75">
      <c r="A233" s="380" t="s">
        <v>1501</v>
      </c>
      <c r="B233" s="426"/>
      <c r="C233" s="427" t="s">
        <v>3593</v>
      </c>
      <c r="D233" s="426">
        <v>1</v>
      </c>
      <c r="E233" s="426" t="s">
        <v>23</v>
      </c>
      <c r="F233" s="429">
        <v>196600000</v>
      </c>
      <c r="G233" s="429">
        <f t="shared" ref="G233:G234" si="98">ROUNDDOWN(D233*F233,-3)</f>
        <v>196600000</v>
      </c>
    </row>
    <row r="234" spans="1:7" s="400" customFormat="1" ht="12.75">
      <c r="A234" s="380" t="s">
        <v>1503</v>
      </c>
      <c r="B234" s="426"/>
      <c r="C234" s="427" t="s">
        <v>3594</v>
      </c>
      <c r="D234" s="426">
        <v>1</v>
      </c>
      <c r="E234" s="426" t="s">
        <v>23</v>
      </c>
      <c r="F234" s="429">
        <v>196600000</v>
      </c>
      <c r="G234" s="429">
        <f t="shared" si="98"/>
        <v>196600000</v>
      </c>
    </row>
    <row r="235" spans="1:7" s="400" customFormat="1" ht="12.75">
      <c r="A235" s="380" t="s">
        <v>1505</v>
      </c>
      <c r="B235" s="422">
        <v>522141</v>
      </c>
      <c r="C235" s="423" t="s">
        <v>95</v>
      </c>
      <c r="D235" s="422"/>
      <c r="E235" s="422"/>
      <c r="F235" s="425"/>
      <c r="G235" s="425">
        <f t="shared" ref="G235" si="99">SUM(G236:G238)</f>
        <v>120000000</v>
      </c>
    </row>
    <row r="236" spans="1:7" s="400" customFormat="1" ht="12.75">
      <c r="A236" s="380" t="s">
        <v>1506</v>
      </c>
      <c r="B236" s="426"/>
      <c r="C236" s="427" t="s">
        <v>3595</v>
      </c>
      <c r="D236" s="426">
        <v>2</v>
      </c>
      <c r="E236" s="426" t="s">
        <v>23</v>
      </c>
      <c r="F236" s="429">
        <v>40000000</v>
      </c>
      <c r="G236" s="429">
        <f t="shared" ref="G236:G238" si="100">ROUNDDOWN(D236*F236,-3)</f>
        <v>80000000</v>
      </c>
    </row>
    <row r="237" spans="1:7" s="400" customFormat="1" ht="12.75">
      <c r="A237" s="380" t="s">
        <v>1508</v>
      </c>
      <c r="B237" s="426"/>
      <c r="C237" s="427" t="s">
        <v>3596</v>
      </c>
      <c r="D237" s="426">
        <v>2</v>
      </c>
      <c r="E237" s="426" t="s">
        <v>23</v>
      </c>
      <c r="F237" s="429">
        <v>10000000</v>
      </c>
      <c r="G237" s="429">
        <f t="shared" si="100"/>
        <v>20000000</v>
      </c>
    </row>
    <row r="238" spans="1:7" s="400" customFormat="1" ht="12.75">
      <c r="A238" s="380" t="s">
        <v>1510</v>
      </c>
      <c r="B238" s="426"/>
      <c r="C238" s="427" t="s">
        <v>3597</v>
      </c>
      <c r="D238" s="426">
        <v>2</v>
      </c>
      <c r="E238" s="426" t="s">
        <v>23</v>
      </c>
      <c r="F238" s="429">
        <v>10000000</v>
      </c>
      <c r="G238" s="429">
        <f t="shared" si="100"/>
        <v>20000000</v>
      </c>
    </row>
    <row r="239" spans="1:7" s="400" customFormat="1" ht="12.75">
      <c r="A239" s="380" t="s">
        <v>1512</v>
      </c>
      <c r="B239" s="422">
        <v>524111</v>
      </c>
      <c r="C239" s="423" t="s">
        <v>19</v>
      </c>
      <c r="D239" s="422"/>
      <c r="E239" s="422"/>
      <c r="F239" s="425"/>
      <c r="G239" s="425">
        <f t="shared" ref="G239" si="101">G240</f>
        <v>7962000</v>
      </c>
    </row>
    <row r="240" spans="1:7" s="400" customFormat="1" ht="25.5">
      <c r="A240" s="380" t="s">
        <v>1513</v>
      </c>
      <c r="B240" s="426"/>
      <c r="C240" s="427" t="s">
        <v>3598</v>
      </c>
      <c r="D240" s="426">
        <v>4</v>
      </c>
      <c r="E240" s="426" t="s">
        <v>10</v>
      </c>
      <c r="F240" s="429">
        <v>1990500</v>
      </c>
      <c r="G240" s="429">
        <f>ROUNDDOWN(D240*F240,-3)</f>
        <v>7962000</v>
      </c>
    </row>
    <row r="241" spans="1:7" s="400" customFormat="1" ht="25.5">
      <c r="A241" s="380" t="s">
        <v>1515</v>
      </c>
      <c r="B241" s="419" t="s">
        <v>569</v>
      </c>
      <c r="C241" s="420" t="s">
        <v>1516</v>
      </c>
      <c r="D241" s="419"/>
      <c r="E241" s="419"/>
      <c r="F241" s="421"/>
      <c r="G241" s="421">
        <f>SUM(G242,G250,G253,G255)</f>
        <v>110263000</v>
      </c>
    </row>
    <row r="242" spans="1:7" s="400" customFormat="1" ht="12.75">
      <c r="A242" s="380" t="s">
        <v>1517</v>
      </c>
      <c r="B242" s="422">
        <v>521211</v>
      </c>
      <c r="C242" s="423" t="s">
        <v>7</v>
      </c>
      <c r="D242" s="422"/>
      <c r="E242" s="422"/>
      <c r="F242" s="425"/>
      <c r="G242" s="425">
        <f t="shared" ref="G242" si="102">SUM(G243:G249)</f>
        <v>17550000</v>
      </c>
    </row>
    <row r="243" spans="1:7" s="400" customFormat="1" ht="12.75">
      <c r="A243" s="380" t="s">
        <v>1518</v>
      </c>
      <c r="B243" s="426"/>
      <c r="C243" s="427" t="s">
        <v>3541</v>
      </c>
      <c r="D243" s="426">
        <v>20</v>
      </c>
      <c r="E243" s="426" t="s">
        <v>10</v>
      </c>
      <c r="F243" s="429">
        <v>75000</v>
      </c>
      <c r="G243" s="429">
        <f t="shared" ref="G243:G249" si="103">ROUNDDOWN(D243*F243,-3)</f>
        <v>1500000</v>
      </c>
    </row>
    <row r="244" spans="1:7" s="400" customFormat="1" ht="12.75">
      <c r="A244" s="380" t="s">
        <v>1519</v>
      </c>
      <c r="B244" s="426"/>
      <c r="C244" s="427" t="s">
        <v>3542</v>
      </c>
      <c r="D244" s="426">
        <v>2</v>
      </c>
      <c r="E244" s="426" t="s">
        <v>23</v>
      </c>
      <c r="F244" s="429">
        <v>1000000</v>
      </c>
      <c r="G244" s="429">
        <f t="shared" si="103"/>
        <v>2000000</v>
      </c>
    </row>
    <row r="245" spans="1:7" s="400" customFormat="1" ht="12.75">
      <c r="A245" s="380" t="s">
        <v>1520</v>
      </c>
      <c r="B245" s="426"/>
      <c r="C245" s="427" t="s">
        <v>3530</v>
      </c>
      <c r="D245" s="426">
        <v>2</v>
      </c>
      <c r="E245" s="426" t="s">
        <v>9</v>
      </c>
      <c r="F245" s="429">
        <v>1000000</v>
      </c>
      <c r="G245" s="429">
        <f t="shared" si="103"/>
        <v>2000000</v>
      </c>
    </row>
    <row r="246" spans="1:7" s="400" customFormat="1" ht="12.75">
      <c r="A246" s="380" t="s">
        <v>1521</v>
      </c>
      <c r="B246" s="426"/>
      <c r="C246" s="427" t="s">
        <v>3531</v>
      </c>
      <c r="D246" s="426">
        <v>2</v>
      </c>
      <c r="E246" s="426" t="s">
        <v>9</v>
      </c>
      <c r="F246" s="429">
        <v>1500000</v>
      </c>
      <c r="G246" s="429">
        <f t="shared" si="103"/>
        <v>3000000</v>
      </c>
    </row>
    <row r="247" spans="1:7" s="400" customFormat="1" ht="12.75">
      <c r="A247" s="380" t="s">
        <v>1522</v>
      </c>
      <c r="B247" s="426"/>
      <c r="C247" s="427" t="s">
        <v>3599</v>
      </c>
      <c r="D247" s="426">
        <v>10</v>
      </c>
      <c r="E247" s="426" t="s">
        <v>58</v>
      </c>
      <c r="F247" s="429">
        <v>250000</v>
      </c>
      <c r="G247" s="429">
        <f t="shared" si="103"/>
        <v>2500000</v>
      </c>
    </row>
    <row r="248" spans="1:7" s="400" customFormat="1" ht="12.75">
      <c r="A248" s="380" t="s">
        <v>1524</v>
      </c>
      <c r="B248" s="426"/>
      <c r="C248" s="427" t="s">
        <v>3600</v>
      </c>
      <c r="D248" s="426">
        <v>500</v>
      </c>
      <c r="E248" s="426" t="s">
        <v>58</v>
      </c>
      <c r="F248" s="429">
        <v>6000</v>
      </c>
      <c r="G248" s="429">
        <f t="shared" si="103"/>
        <v>3000000</v>
      </c>
    </row>
    <row r="249" spans="1:7" s="400" customFormat="1" ht="25.5">
      <c r="A249" s="380" t="s">
        <v>1526</v>
      </c>
      <c r="B249" s="426"/>
      <c r="C249" s="427" t="s">
        <v>3601</v>
      </c>
      <c r="D249" s="426">
        <v>100</v>
      </c>
      <c r="E249" s="426" t="s">
        <v>58</v>
      </c>
      <c r="F249" s="429">
        <v>35500</v>
      </c>
      <c r="G249" s="429">
        <f t="shared" si="103"/>
        <v>3550000</v>
      </c>
    </row>
    <row r="250" spans="1:7" s="400" customFormat="1" ht="12.75">
      <c r="A250" s="380" t="s">
        <v>1528</v>
      </c>
      <c r="B250" s="422">
        <v>521219</v>
      </c>
      <c r="C250" s="423" t="s">
        <v>53</v>
      </c>
      <c r="D250" s="422"/>
      <c r="E250" s="422"/>
      <c r="F250" s="425"/>
      <c r="G250" s="425">
        <f>SUM(G251:G252)</f>
        <v>27651000</v>
      </c>
    </row>
    <row r="251" spans="1:7" s="400" customFormat="1" ht="12.75">
      <c r="A251" s="380" t="s">
        <v>1529</v>
      </c>
      <c r="B251" s="426"/>
      <c r="C251" s="427" t="s">
        <v>3550</v>
      </c>
      <c r="D251" s="426">
        <v>12</v>
      </c>
      <c r="E251" s="426" t="s">
        <v>66</v>
      </c>
      <c r="F251" s="429">
        <v>250000</v>
      </c>
      <c r="G251" s="429">
        <f>ROUNDDOWN(D251*F251,-3)</f>
        <v>3000000</v>
      </c>
    </row>
    <row r="252" spans="1:7" s="400" customFormat="1" ht="25.5">
      <c r="A252" s="380" t="s">
        <v>4847</v>
      </c>
      <c r="B252" s="426"/>
      <c r="C252" s="427" t="s">
        <v>4848</v>
      </c>
      <c r="D252" s="426">
        <v>1</v>
      </c>
      <c r="E252" s="426" t="s">
        <v>66</v>
      </c>
      <c r="F252" s="429">
        <v>24651000</v>
      </c>
      <c r="G252" s="429">
        <f>ROUNDDOWN(D252*F252,-3)</f>
        <v>24651000</v>
      </c>
    </row>
    <row r="253" spans="1:7" s="400" customFormat="1" ht="12.75">
      <c r="A253" s="380" t="s">
        <v>1530</v>
      </c>
      <c r="B253" s="422">
        <v>522151</v>
      </c>
      <c r="C253" s="423" t="s">
        <v>11</v>
      </c>
      <c r="D253" s="422"/>
      <c r="E253" s="422"/>
      <c r="F253" s="425"/>
      <c r="G253" s="425">
        <f t="shared" ref="G253" si="104">G254</f>
        <v>40000000</v>
      </c>
    </row>
    <row r="254" spans="1:7" s="400" customFormat="1" ht="12.75">
      <c r="A254" s="380" t="s">
        <v>1531</v>
      </c>
      <c r="B254" s="426"/>
      <c r="C254" s="427" t="s">
        <v>3586</v>
      </c>
      <c r="D254" s="426">
        <v>40</v>
      </c>
      <c r="E254" s="426" t="s">
        <v>54</v>
      </c>
      <c r="F254" s="429">
        <v>1000000</v>
      </c>
      <c r="G254" s="429">
        <f>ROUNDDOWN(D254*F254,-3)</f>
        <v>40000000</v>
      </c>
    </row>
    <row r="255" spans="1:7" s="400" customFormat="1" ht="12.75">
      <c r="A255" s="380" t="s">
        <v>1532</v>
      </c>
      <c r="B255" s="422">
        <v>524111</v>
      </c>
      <c r="C255" s="423" t="s">
        <v>19</v>
      </c>
      <c r="D255" s="422"/>
      <c r="E255" s="422"/>
      <c r="F255" s="425"/>
      <c r="G255" s="425">
        <f t="shared" ref="G255" si="105">G256</f>
        <v>25062000</v>
      </c>
    </row>
    <row r="256" spans="1:7" s="400" customFormat="1" ht="25.5">
      <c r="A256" s="380" t="s">
        <v>1533</v>
      </c>
      <c r="B256" s="426"/>
      <c r="C256" s="427" t="s">
        <v>3602</v>
      </c>
      <c r="D256" s="426">
        <v>10</v>
      </c>
      <c r="E256" s="426" t="s">
        <v>10</v>
      </c>
      <c r="F256" s="429">
        <v>2506200</v>
      </c>
      <c r="G256" s="429">
        <f>ROUNDDOWN(D256*F256,-3)</f>
        <v>25062000</v>
      </c>
    </row>
    <row r="257" spans="1:7" s="400" customFormat="1" ht="12.75">
      <c r="A257" s="380" t="s">
        <v>1678</v>
      </c>
      <c r="B257" s="412" t="s">
        <v>3603</v>
      </c>
      <c r="C257" s="413" t="s">
        <v>1680</v>
      </c>
      <c r="D257" s="412">
        <v>1</v>
      </c>
      <c r="E257" s="412" t="s">
        <v>3565</v>
      </c>
      <c r="F257" s="414"/>
      <c r="G257" s="414">
        <f>G258</f>
        <v>2195658000</v>
      </c>
    </row>
    <row r="258" spans="1:7" s="400" customFormat="1" ht="12.75">
      <c r="A258" s="380" t="s">
        <v>1826</v>
      </c>
      <c r="B258" s="415" t="s">
        <v>546</v>
      </c>
      <c r="C258" s="416" t="s">
        <v>89</v>
      </c>
      <c r="D258" s="415"/>
      <c r="E258" s="415"/>
      <c r="F258" s="418"/>
      <c r="G258" s="418">
        <f t="shared" ref="G258" si="106">SUM(G259,G280,G286,G299,G314)</f>
        <v>2195658000</v>
      </c>
    </row>
    <row r="259" spans="1:7" s="400" customFormat="1" ht="25.5">
      <c r="A259" s="380" t="s">
        <v>2149</v>
      </c>
      <c r="B259" s="419" t="s">
        <v>1786</v>
      </c>
      <c r="C259" s="420" t="s">
        <v>2150</v>
      </c>
      <c r="D259" s="419"/>
      <c r="E259" s="419"/>
      <c r="F259" s="421"/>
      <c r="G259" s="421">
        <f t="shared" ref="G259" si="107">SUM(G260,G270)</f>
        <v>1254380000</v>
      </c>
    </row>
    <row r="260" spans="1:7" s="400" customFormat="1" ht="12.75">
      <c r="A260" s="380" t="s">
        <v>2151</v>
      </c>
      <c r="B260" s="422">
        <v>521111</v>
      </c>
      <c r="C260" s="423" t="s">
        <v>90</v>
      </c>
      <c r="D260" s="422"/>
      <c r="E260" s="422"/>
      <c r="F260" s="425"/>
      <c r="G260" s="425">
        <f t="shared" ref="G260" si="108">SUM(G261:G269)</f>
        <v>1076220000</v>
      </c>
    </row>
    <row r="261" spans="1:7" s="400" customFormat="1" ht="12.75">
      <c r="A261" s="380" t="s">
        <v>2152</v>
      </c>
      <c r="B261" s="426"/>
      <c r="C261" s="427" t="s">
        <v>3606</v>
      </c>
      <c r="D261" s="426">
        <v>60</v>
      </c>
      <c r="E261" s="426" t="s">
        <v>116</v>
      </c>
      <c r="F261" s="429">
        <v>1265000</v>
      </c>
      <c r="G261" s="429">
        <f t="shared" ref="G261:G269" si="109">ROUNDDOWN(D261*F261,-3)</f>
        <v>75900000</v>
      </c>
    </row>
    <row r="262" spans="1:7" s="400" customFormat="1" ht="12.75">
      <c r="A262" s="380" t="s">
        <v>2153</v>
      </c>
      <c r="B262" s="426"/>
      <c r="C262" s="427" t="s">
        <v>3607</v>
      </c>
      <c r="D262" s="426">
        <v>1</v>
      </c>
      <c r="E262" s="426" t="s">
        <v>60</v>
      </c>
      <c r="F262" s="429">
        <v>40000000</v>
      </c>
      <c r="G262" s="429">
        <f t="shared" si="109"/>
        <v>40000000</v>
      </c>
    </row>
    <row r="263" spans="1:7" s="400" customFormat="1" ht="12.75">
      <c r="A263" s="380" t="s">
        <v>2155</v>
      </c>
      <c r="B263" s="426"/>
      <c r="C263" s="427" t="s">
        <v>3608</v>
      </c>
      <c r="D263" s="426">
        <v>156</v>
      </c>
      <c r="E263" s="426" t="s">
        <v>21</v>
      </c>
      <c r="F263" s="429">
        <v>4858000</v>
      </c>
      <c r="G263" s="429">
        <f t="shared" si="109"/>
        <v>757848000</v>
      </c>
    </row>
    <row r="264" spans="1:7" s="400" customFormat="1" ht="12.75">
      <c r="A264" s="380" t="s">
        <v>2157</v>
      </c>
      <c r="B264" s="426"/>
      <c r="C264" s="427" t="s">
        <v>3609</v>
      </c>
      <c r="D264" s="426">
        <v>13</v>
      </c>
      <c r="E264" s="426" t="s">
        <v>32</v>
      </c>
      <c r="F264" s="429">
        <v>5344000</v>
      </c>
      <c r="G264" s="429">
        <f t="shared" si="109"/>
        <v>69472000</v>
      </c>
    </row>
    <row r="265" spans="1:7" s="400" customFormat="1" ht="25.5">
      <c r="A265" s="380" t="s">
        <v>2158</v>
      </c>
      <c r="B265" s="426"/>
      <c r="C265" s="427" t="s">
        <v>3610</v>
      </c>
      <c r="D265" s="426">
        <v>12</v>
      </c>
      <c r="E265" s="426" t="s">
        <v>78</v>
      </c>
      <c r="F265" s="429">
        <v>400000</v>
      </c>
      <c r="G265" s="429">
        <f t="shared" si="109"/>
        <v>4800000</v>
      </c>
    </row>
    <row r="266" spans="1:7" s="400" customFormat="1" ht="12.75">
      <c r="A266" s="380" t="s">
        <v>2160</v>
      </c>
      <c r="B266" s="426"/>
      <c r="C266" s="427" t="s">
        <v>3611</v>
      </c>
      <c r="D266" s="426">
        <v>1</v>
      </c>
      <c r="E266" s="426" t="s">
        <v>60</v>
      </c>
      <c r="F266" s="429">
        <v>67000000</v>
      </c>
      <c r="G266" s="429">
        <f t="shared" si="109"/>
        <v>67000000</v>
      </c>
    </row>
    <row r="267" spans="1:7" s="400" customFormat="1" ht="12.75">
      <c r="A267" s="380" t="s">
        <v>2162</v>
      </c>
      <c r="B267" s="426"/>
      <c r="C267" s="427" t="s">
        <v>3612</v>
      </c>
      <c r="D267" s="426">
        <v>12</v>
      </c>
      <c r="E267" s="426" t="s">
        <v>115</v>
      </c>
      <c r="F267" s="429">
        <v>750000</v>
      </c>
      <c r="G267" s="429">
        <f t="shared" si="109"/>
        <v>9000000</v>
      </c>
    </row>
    <row r="268" spans="1:7" s="400" customFormat="1" ht="12.75">
      <c r="A268" s="380" t="s">
        <v>2164</v>
      </c>
      <c r="B268" s="426"/>
      <c r="C268" s="427" t="s">
        <v>3613</v>
      </c>
      <c r="D268" s="426">
        <v>12</v>
      </c>
      <c r="E268" s="426" t="s">
        <v>115</v>
      </c>
      <c r="F268" s="429">
        <v>1600000</v>
      </c>
      <c r="G268" s="429">
        <f t="shared" si="109"/>
        <v>19200000</v>
      </c>
    </row>
    <row r="269" spans="1:7" s="400" customFormat="1" ht="12.75">
      <c r="A269" s="380" t="s">
        <v>2166</v>
      </c>
      <c r="B269" s="426"/>
      <c r="C269" s="427" t="s">
        <v>3614</v>
      </c>
      <c r="D269" s="426">
        <v>12</v>
      </c>
      <c r="E269" s="426" t="s">
        <v>78</v>
      </c>
      <c r="F269" s="429">
        <v>2750000</v>
      </c>
      <c r="G269" s="429">
        <f t="shared" si="109"/>
        <v>33000000</v>
      </c>
    </row>
    <row r="270" spans="1:7" s="400" customFormat="1" ht="12.75">
      <c r="A270" s="380" t="s">
        <v>2168</v>
      </c>
      <c r="B270" s="422">
        <v>521811</v>
      </c>
      <c r="C270" s="423" t="s">
        <v>64</v>
      </c>
      <c r="D270" s="422"/>
      <c r="E270" s="422"/>
      <c r="F270" s="425"/>
      <c r="G270" s="425">
        <f t="shared" ref="G270" si="110">SUM(G271:G279)</f>
        <v>178160000</v>
      </c>
    </row>
    <row r="271" spans="1:7" s="400" customFormat="1" ht="12.75">
      <c r="A271" s="380" t="s">
        <v>2169</v>
      </c>
      <c r="B271" s="426"/>
      <c r="C271" s="427" t="s">
        <v>3535</v>
      </c>
      <c r="D271" s="426">
        <v>40</v>
      </c>
      <c r="E271" s="426" t="s">
        <v>9</v>
      </c>
      <c r="F271" s="429">
        <v>1000000</v>
      </c>
      <c r="G271" s="429">
        <f t="shared" ref="G271:G279" si="111">ROUNDDOWN(D271*F271,-3)</f>
        <v>40000000</v>
      </c>
    </row>
    <row r="272" spans="1:7" s="400" customFormat="1" ht="12.75">
      <c r="A272" s="380" t="s">
        <v>2170</v>
      </c>
      <c r="B272" s="426"/>
      <c r="C272" s="427" t="s">
        <v>3536</v>
      </c>
      <c r="D272" s="426">
        <v>40</v>
      </c>
      <c r="E272" s="426" t="s">
        <v>9</v>
      </c>
      <c r="F272" s="429">
        <v>1500000</v>
      </c>
      <c r="G272" s="429">
        <f t="shared" si="111"/>
        <v>60000000</v>
      </c>
    </row>
    <row r="273" spans="1:7" s="400" customFormat="1" ht="12.75">
      <c r="A273" s="380" t="s">
        <v>2171</v>
      </c>
      <c r="B273" s="426"/>
      <c r="C273" s="427" t="s">
        <v>3615</v>
      </c>
      <c r="D273" s="426">
        <v>192</v>
      </c>
      <c r="E273" s="426" t="s">
        <v>9</v>
      </c>
      <c r="F273" s="429">
        <v>50000</v>
      </c>
      <c r="G273" s="429">
        <f t="shared" si="111"/>
        <v>9600000</v>
      </c>
    </row>
    <row r="274" spans="1:7" s="400" customFormat="1" ht="12.75">
      <c r="A274" s="380" t="s">
        <v>2173</v>
      </c>
      <c r="B274" s="426"/>
      <c r="C274" s="427" t="s">
        <v>3616</v>
      </c>
      <c r="D274" s="426">
        <v>192</v>
      </c>
      <c r="E274" s="426" t="s">
        <v>9</v>
      </c>
      <c r="F274" s="429">
        <v>55000</v>
      </c>
      <c r="G274" s="429">
        <f t="shared" si="111"/>
        <v>10560000</v>
      </c>
    </row>
    <row r="275" spans="1:7" s="400" customFormat="1" ht="12.75">
      <c r="A275" s="380" t="s">
        <v>2175</v>
      </c>
      <c r="B275" s="426"/>
      <c r="C275" s="427" t="s">
        <v>3617</v>
      </c>
      <c r="D275" s="426">
        <v>50</v>
      </c>
      <c r="E275" s="426" t="s">
        <v>2177</v>
      </c>
      <c r="F275" s="429">
        <v>220000</v>
      </c>
      <c r="G275" s="429">
        <f t="shared" si="111"/>
        <v>11000000</v>
      </c>
    </row>
    <row r="276" spans="1:7" s="400" customFormat="1" ht="12.75">
      <c r="A276" s="380" t="s">
        <v>2178</v>
      </c>
      <c r="B276" s="426"/>
      <c r="C276" s="427" t="s">
        <v>3618</v>
      </c>
      <c r="D276" s="426">
        <v>50</v>
      </c>
      <c r="E276" s="426" t="s">
        <v>2177</v>
      </c>
      <c r="F276" s="429">
        <v>240000</v>
      </c>
      <c r="G276" s="429">
        <f t="shared" si="111"/>
        <v>12000000</v>
      </c>
    </row>
    <row r="277" spans="1:7" s="400" customFormat="1" ht="12.75">
      <c r="A277" s="380" t="s">
        <v>2180</v>
      </c>
      <c r="B277" s="426"/>
      <c r="C277" s="427" t="s">
        <v>3619</v>
      </c>
      <c r="D277" s="426">
        <v>800</v>
      </c>
      <c r="E277" s="426" t="s">
        <v>120</v>
      </c>
      <c r="F277" s="429">
        <v>5000</v>
      </c>
      <c r="G277" s="429">
        <f t="shared" si="111"/>
        <v>4000000</v>
      </c>
    </row>
    <row r="278" spans="1:7" s="400" customFormat="1" ht="12.75">
      <c r="A278" s="380" t="s">
        <v>2182</v>
      </c>
      <c r="B278" s="426"/>
      <c r="C278" s="427" t="s">
        <v>3620</v>
      </c>
      <c r="D278" s="426">
        <v>50</v>
      </c>
      <c r="E278" s="426" t="s">
        <v>1401</v>
      </c>
      <c r="F278" s="429">
        <v>220000</v>
      </c>
      <c r="G278" s="429">
        <f t="shared" si="111"/>
        <v>11000000</v>
      </c>
    </row>
    <row r="279" spans="1:7" s="400" customFormat="1" ht="12.75">
      <c r="A279" s="380" t="s">
        <v>2184</v>
      </c>
      <c r="B279" s="426"/>
      <c r="C279" s="427" t="s">
        <v>3621</v>
      </c>
      <c r="D279" s="426">
        <v>800</v>
      </c>
      <c r="E279" s="426" t="s">
        <v>120</v>
      </c>
      <c r="F279" s="429">
        <v>25000</v>
      </c>
      <c r="G279" s="429">
        <f t="shared" si="111"/>
        <v>20000000</v>
      </c>
    </row>
    <row r="280" spans="1:7" s="400" customFormat="1" ht="12.75">
      <c r="A280" s="380" t="s">
        <v>2186</v>
      </c>
      <c r="B280" s="419" t="s">
        <v>2187</v>
      </c>
      <c r="C280" s="420" t="s">
        <v>2188</v>
      </c>
      <c r="D280" s="419"/>
      <c r="E280" s="419"/>
      <c r="F280" s="421"/>
      <c r="G280" s="421">
        <f t="shared" ref="G280" si="112">SUM(G281,G283)</f>
        <v>148852000</v>
      </c>
    </row>
    <row r="281" spans="1:7" s="400" customFormat="1" ht="12.75">
      <c r="A281" s="380" t="s">
        <v>2189</v>
      </c>
      <c r="B281" s="422">
        <v>521114</v>
      </c>
      <c r="C281" s="423" t="s">
        <v>94</v>
      </c>
      <c r="D281" s="422"/>
      <c r="E281" s="422"/>
      <c r="F281" s="425"/>
      <c r="G281" s="425">
        <f t="shared" ref="G281" si="113">G282</f>
        <v>30000000</v>
      </c>
    </row>
    <row r="282" spans="1:7" s="400" customFormat="1" ht="12.75">
      <c r="A282" s="380" t="s">
        <v>2190</v>
      </c>
      <c r="B282" s="426"/>
      <c r="C282" s="427" t="s">
        <v>3622</v>
      </c>
      <c r="D282" s="426">
        <v>12</v>
      </c>
      <c r="E282" s="426" t="s">
        <v>78</v>
      </c>
      <c r="F282" s="429">
        <v>2500000</v>
      </c>
      <c r="G282" s="429">
        <f>ROUNDDOWN(D282*F282,-3)</f>
        <v>30000000</v>
      </c>
    </row>
    <row r="283" spans="1:7" s="400" customFormat="1" ht="12.75">
      <c r="A283" s="380" t="s">
        <v>2192</v>
      </c>
      <c r="B283" s="422">
        <v>522141</v>
      </c>
      <c r="C283" s="423" t="s">
        <v>95</v>
      </c>
      <c r="D283" s="422"/>
      <c r="E283" s="422"/>
      <c r="F283" s="425"/>
      <c r="G283" s="425">
        <f t="shared" ref="G283" si="114">SUM(G284:G285)</f>
        <v>118852000</v>
      </c>
    </row>
    <row r="284" spans="1:7" s="400" customFormat="1" ht="12.75">
      <c r="A284" s="380" t="s">
        <v>2193</v>
      </c>
      <c r="B284" s="426"/>
      <c r="C284" s="427" t="s">
        <v>3623</v>
      </c>
      <c r="D284" s="426">
        <v>12</v>
      </c>
      <c r="E284" s="426" t="s">
        <v>78</v>
      </c>
      <c r="F284" s="429">
        <v>5000000</v>
      </c>
      <c r="G284" s="429">
        <f t="shared" ref="G284:G285" si="115">ROUNDDOWN(D284*F284,-3)</f>
        <v>60000000</v>
      </c>
    </row>
    <row r="285" spans="1:7" s="400" customFormat="1" ht="12.75">
      <c r="A285" s="380" t="s">
        <v>2195</v>
      </c>
      <c r="B285" s="426"/>
      <c r="C285" s="427" t="s">
        <v>3624</v>
      </c>
      <c r="D285" s="426">
        <v>1</v>
      </c>
      <c r="E285" s="426" t="s">
        <v>60</v>
      </c>
      <c r="F285" s="429">
        <v>58852000</v>
      </c>
      <c r="G285" s="429">
        <f t="shared" si="115"/>
        <v>58852000</v>
      </c>
    </row>
    <row r="286" spans="1:7" s="400" customFormat="1" ht="12.75">
      <c r="A286" s="380" t="s">
        <v>2197</v>
      </c>
      <c r="B286" s="419" t="s">
        <v>2198</v>
      </c>
      <c r="C286" s="420" t="s">
        <v>2199</v>
      </c>
      <c r="D286" s="419"/>
      <c r="E286" s="419"/>
      <c r="F286" s="421"/>
      <c r="G286" s="421">
        <f t="shared" ref="G286" si="116">SUM(G287,G297)</f>
        <v>533050000</v>
      </c>
    </row>
    <row r="287" spans="1:7" s="400" customFormat="1" ht="12.75">
      <c r="A287" s="380" t="s">
        <v>2200</v>
      </c>
      <c r="B287" s="422">
        <v>523121</v>
      </c>
      <c r="C287" s="423" t="s">
        <v>99</v>
      </c>
      <c r="D287" s="422"/>
      <c r="E287" s="422"/>
      <c r="F287" s="425"/>
      <c r="G287" s="425">
        <f t="shared" ref="G287" si="117">SUM(G288:G296)</f>
        <v>497050000</v>
      </c>
    </row>
    <row r="288" spans="1:7" s="400" customFormat="1" ht="25.5">
      <c r="A288" s="380" t="s">
        <v>2201</v>
      </c>
      <c r="B288" s="426"/>
      <c r="C288" s="427" t="s">
        <v>3625</v>
      </c>
      <c r="D288" s="426">
        <v>1</v>
      </c>
      <c r="E288" s="426" t="s">
        <v>44</v>
      </c>
      <c r="F288" s="429">
        <v>38730000</v>
      </c>
      <c r="G288" s="429">
        <f t="shared" ref="G288:G296" si="118">ROUNDDOWN(D288*F288,-3)</f>
        <v>38730000</v>
      </c>
    </row>
    <row r="289" spans="1:7" s="400" customFormat="1" ht="25.5">
      <c r="A289" s="380" t="s">
        <v>2203</v>
      </c>
      <c r="B289" s="426"/>
      <c r="C289" s="427" t="s">
        <v>3626</v>
      </c>
      <c r="D289" s="426">
        <v>9</v>
      </c>
      <c r="E289" s="426" t="s">
        <v>3627</v>
      </c>
      <c r="F289" s="429">
        <v>32850000</v>
      </c>
      <c r="G289" s="429">
        <f t="shared" si="118"/>
        <v>295650000</v>
      </c>
    </row>
    <row r="290" spans="1:7" s="400" customFormat="1" ht="25.5">
      <c r="A290" s="380" t="s">
        <v>2205</v>
      </c>
      <c r="B290" s="426"/>
      <c r="C290" s="427" t="s">
        <v>3628</v>
      </c>
      <c r="D290" s="426">
        <v>5</v>
      </c>
      <c r="E290" s="426" t="s">
        <v>42</v>
      </c>
      <c r="F290" s="429">
        <v>3640000</v>
      </c>
      <c r="G290" s="429">
        <f t="shared" si="118"/>
        <v>18200000</v>
      </c>
    </row>
    <row r="291" spans="1:7" s="400" customFormat="1" ht="12.75">
      <c r="A291" s="380" t="s">
        <v>2207</v>
      </c>
      <c r="B291" s="426"/>
      <c r="C291" s="427" t="s">
        <v>3629</v>
      </c>
      <c r="D291" s="426">
        <v>40</v>
      </c>
      <c r="E291" s="426" t="s">
        <v>42</v>
      </c>
      <c r="F291" s="429">
        <v>730000</v>
      </c>
      <c r="G291" s="429">
        <f t="shared" si="118"/>
        <v>29200000</v>
      </c>
    </row>
    <row r="292" spans="1:7" s="400" customFormat="1" ht="12.75">
      <c r="A292" s="380" t="s">
        <v>2208</v>
      </c>
      <c r="B292" s="426"/>
      <c r="C292" s="427" t="s">
        <v>3630</v>
      </c>
      <c r="D292" s="426">
        <v>35</v>
      </c>
      <c r="E292" s="426" t="s">
        <v>44</v>
      </c>
      <c r="F292" s="429">
        <v>730000</v>
      </c>
      <c r="G292" s="429">
        <f t="shared" si="118"/>
        <v>25550000</v>
      </c>
    </row>
    <row r="293" spans="1:7" s="400" customFormat="1" ht="12.75">
      <c r="A293" s="380" t="s">
        <v>2209</v>
      </c>
      <c r="B293" s="426"/>
      <c r="C293" s="427" t="s">
        <v>3631</v>
      </c>
      <c r="D293" s="426">
        <v>35</v>
      </c>
      <c r="E293" s="426" t="s">
        <v>44</v>
      </c>
      <c r="F293" s="429">
        <v>690000</v>
      </c>
      <c r="G293" s="429">
        <f t="shared" si="118"/>
        <v>24150000</v>
      </c>
    </row>
    <row r="294" spans="1:7" s="400" customFormat="1" ht="12.75">
      <c r="A294" s="380" t="s">
        <v>2210</v>
      </c>
      <c r="B294" s="426"/>
      <c r="C294" s="427" t="s">
        <v>3632</v>
      </c>
      <c r="D294" s="426">
        <v>3</v>
      </c>
      <c r="E294" s="426" t="s">
        <v>44</v>
      </c>
      <c r="F294" s="429">
        <v>3500000</v>
      </c>
      <c r="G294" s="429">
        <f t="shared" si="118"/>
        <v>10500000</v>
      </c>
    </row>
    <row r="295" spans="1:7" s="400" customFormat="1" ht="12.75">
      <c r="A295" s="380" t="s">
        <v>2211</v>
      </c>
      <c r="B295" s="426"/>
      <c r="C295" s="427" t="s">
        <v>3633</v>
      </c>
      <c r="D295" s="426">
        <v>6</v>
      </c>
      <c r="E295" s="426" t="s">
        <v>44</v>
      </c>
      <c r="F295" s="429">
        <v>470000</v>
      </c>
      <c r="G295" s="429">
        <f t="shared" si="118"/>
        <v>2820000</v>
      </c>
    </row>
    <row r="296" spans="1:7" s="400" customFormat="1" ht="12.75">
      <c r="A296" s="380" t="s">
        <v>2213</v>
      </c>
      <c r="B296" s="426"/>
      <c r="C296" s="427" t="s">
        <v>3634</v>
      </c>
      <c r="D296" s="426">
        <v>1</v>
      </c>
      <c r="E296" s="426" t="s">
        <v>60</v>
      </c>
      <c r="F296" s="429">
        <v>52250000</v>
      </c>
      <c r="G296" s="429">
        <f t="shared" si="118"/>
        <v>52250000</v>
      </c>
    </row>
    <row r="297" spans="1:7" s="400" customFormat="1" ht="12.75">
      <c r="A297" s="380" t="s">
        <v>2214</v>
      </c>
      <c r="B297" s="422">
        <v>523199</v>
      </c>
      <c r="C297" s="423" t="s">
        <v>102</v>
      </c>
      <c r="D297" s="422"/>
      <c r="E297" s="422"/>
      <c r="F297" s="425"/>
      <c r="G297" s="425">
        <f t="shared" ref="G297" si="119">G298</f>
        <v>36000000</v>
      </c>
    </row>
    <row r="298" spans="1:7" s="400" customFormat="1" ht="12.75">
      <c r="A298" s="380" t="s">
        <v>2215</v>
      </c>
      <c r="B298" s="426"/>
      <c r="C298" s="427" t="s">
        <v>3635</v>
      </c>
      <c r="D298" s="426">
        <v>24</v>
      </c>
      <c r="E298" s="426" t="s">
        <v>96</v>
      </c>
      <c r="F298" s="429">
        <v>1500000</v>
      </c>
      <c r="G298" s="429">
        <f>ROUNDDOWN(D298*F298,-3)</f>
        <v>36000000</v>
      </c>
    </row>
    <row r="299" spans="1:7" s="400" customFormat="1" ht="25.5">
      <c r="A299" s="380" t="s">
        <v>2217</v>
      </c>
      <c r="B299" s="419" t="s">
        <v>2218</v>
      </c>
      <c r="C299" s="420" t="s">
        <v>2219</v>
      </c>
      <c r="D299" s="419"/>
      <c r="E299" s="419"/>
      <c r="F299" s="421"/>
      <c r="G299" s="421">
        <f t="shared" ref="G299" si="120">SUM(G300,G303)</f>
        <v>159376000</v>
      </c>
    </row>
    <row r="300" spans="1:7" s="400" customFormat="1" ht="12.75">
      <c r="A300" s="380" t="s">
        <v>2220</v>
      </c>
      <c r="B300" s="422">
        <v>521111</v>
      </c>
      <c r="C300" s="423" t="s">
        <v>90</v>
      </c>
      <c r="D300" s="422"/>
      <c r="E300" s="422"/>
      <c r="F300" s="425"/>
      <c r="G300" s="425">
        <f t="shared" ref="G300" si="121">SUM(G301:G302)</f>
        <v>101016000</v>
      </c>
    </row>
    <row r="301" spans="1:7" s="400" customFormat="1" ht="12.75">
      <c r="A301" s="380" t="s">
        <v>2221</v>
      </c>
      <c r="B301" s="426"/>
      <c r="C301" s="427" t="s">
        <v>3636</v>
      </c>
      <c r="D301" s="426">
        <v>100</v>
      </c>
      <c r="E301" s="426" t="s">
        <v>2223</v>
      </c>
      <c r="F301" s="429">
        <v>856760</v>
      </c>
      <c r="G301" s="429">
        <f t="shared" ref="G301:G302" si="122">ROUNDDOWN(D301*F301,-3)</f>
        <v>85676000</v>
      </c>
    </row>
    <row r="302" spans="1:7" s="400" customFormat="1" ht="12.75">
      <c r="A302" s="380" t="s">
        <v>2224</v>
      </c>
      <c r="B302" s="426"/>
      <c r="C302" s="427" t="s">
        <v>3637</v>
      </c>
      <c r="D302" s="426">
        <v>26</v>
      </c>
      <c r="E302" s="426" t="s">
        <v>121</v>
      </c>
      <c r="F302" s="429">
        <v>590000</v>
      </c>
      <c r="G302" s="429">
        <f t="shared" si="122"/>
        <v>15340000</v>
      </c>
    </row>
    <row r="303" spans="1:7" s="400" customFormat="1" ht="12.75">
      <c r="A303" s="380" t="s">
        <v>2226</v>
      </c>
      <c r="B303" s="422">
        <v>521115</v>
      </c>
      <c r="C303" s="423" t="s">
        <v>104</v>
      </c>
      <c r="D303" s="422"/>
      <c r="E303" s="422"/>
      <c r="F303" s="425"/>
      <c r="G303" s="425">
        <f t="shared" ref="G303" si="123">SUM(G304:G313)</f>
        <v>58360000</v>
      </c>
    </row>
    <row r="304" spans="1:7" s="400" customFormat="1" ht="12.75">
      <c r="A304" s="380" t="s">
        <v>2227</v>
      </c>
      <c r="B304" s="426"/>
      <c r="C304" s="427" t="s">
        <v>3638</v>
      </c>
      <c r="D304" s="426">
        <v>12</v>
      </c>
      <c r="E304" s="426" t="s">
        <v>32</v>
      </c>
      <c r="F304" s="429">
        <v>2920000</v>
      </c>
      <c r="G304" s="429">
        <f t="shared" ref="G304:G313" si="124">ROUNDDOWN(D304*F304,-3)</f>
        <v>35040000</v>
      </c>
    </row>
    <row r="305" spans="1:7" s="400" customFormat="1" ht="25.5">
      <c r="A305" s="380" t="s">
        <v>2229</v>
      </c>
      <c r="B305" s="426"/>
      <c r="C305" s="427" t="s">
        <v>3639</v>
      </c>
      <c r="D305" s="426">
        <v>12</v>
      </c>
      <c r="E305" s="426" t="s">
        <v>32</v>
      </c>
      <c r="F305" s="429">
        <v>326000</v>
      </c>
      <c r="G305" s="429">
        <f t="shared" si="124"/>
        <v>3912000</v>
      </c>
    </row>
    <row r="306" spans="1:7" s="400" customFormat="1" ht="25.5">
      <c r="A306" s="380" t="s">
        <v>2231</v>
      </c>
      <c r="B306" s="426"/>
      <c r="C306" s="427" t="s">
        <v>3640</v>
      </c>
      <c r="D306" s="426">
        <v>12</v>
      </c>
      <c r="E306" s="426" t="s">
        <v>32</v>
      </c>
      <c r="F306" s="429">
        <v>324000</v>
      </c>
      <c r="G306" s="429">
        <f t="shared" si="124"/>
        <v>3888000</v>
      </c>
    </row>
    <row r="307" spans="1:7" s="400" customFormat="1" ht="25.5">
      <c r="A307" s="380" t="s">
        <v>2233</v>
      </c>
      <c r="B307" s="426"/>
      <c r="C307" s="427" t="s">
        <v>3641</v>
      </c>
      <c r="D307" s="426">
        <v>12</v>
      </c>
      <c r="E307" s="426" t="s">
        <v>32</v>
      </c>
      <c r="F307" s="429">
        <v>680000</v>
      </c>
      <c r="G307" s="429">
        <f t="shared" si="124"/>
        <v>8160000</v>
      </c>
    </row>
    <row r="308" spans="1:7" s="400" customFormat="1" ht="12.75">
      <c r="A308" s="380" t="s">
        <v>2235</v>
      </c>
      <c r="B308" s="426"/>
      <c r="C308" s="427" t="s">
        <v>3642</v>
      </c>
      <c r="D308" s="426">
        <v>12</v>
      </c>
      <c r="E308" s="426" t="s">
        <v>32</v>
      </c>
      <c r="F308" s="429">
        <v>200000</v>
      </c>
      <c r="G308" s="429">
        <f t="shared" si="124"/>
        <v>2400000</v>
      </c>
    </row>
    <row r="309" spans="1:7" s="400" customFormat="1" ht="12.75">
      <c r="A309" s="380" t="s">
        <v>2237</v>
      </c>
      <c r="B309" s="426"/>
      <c r="C309" s="427" t="s">
        <v>3643</v>
      </c>
      <c r="D309" s="426">
        <v>12</v>
      </c>
      <c r="E309" s="426" t="s">
        <v>32</v>
      </c>
      <c r="F309" s="429">
        <v>80000</v>
      </c>
      <c r="G309" s="429">
        <f t="shared" si="124"/>
        <v>960000</v>
      </c>
    </row>
    <row r="310" spans="1:7" s="400" customFormat="1" ht="12.75">
      <c r="A310" s="380" t="s">
        <v>2239</v>
      </c>
      <c r="B310" s="426"/>
      <c r="C310" s="427" t="s">
        <v>3644</v>
      </c>
      <c r="D310" s="426">
        <v>12</v>
      </c>
      <c r="E310" s="426" t="s">
        <v>32</v>
      </c>
      <c r="F310" s="429">
        <v>200000</v>
      </c>
      <c r="G310" s="429">
        <f t="shared" si="124"/>
        <v>2400000</v>
      </c>
    </row>
    <row r="311" spans="1:7" s="400" customFormat="1" ht="12.75">
      <c r="A311" s="380" t="s">
        <v>2241</v>
      </c>
      <c r="B311" s="426"/>
      <c r="C311" s="427" t="s">
        <v>3645</v>
      </c>
      <c r="D311" s="426">
        <v>1</v>
      </c>
      <c r="E311" s="426" t="s">
        <v>755</v>
      </c>
      <c r="F311" s="429">
        <v>400000</v>
      </c>
      <c r="G311" s="429">
        <f t="shared" si="124"/>
        <v>400000</v>
      </c>
    </row>
    <row r="312" spans="1:7" s="400" customFormat="1" ht="12.75">
      <c r="A312" s="380" t="s">
        <v>2243</v>
      </c>
      <c r="B312" s="426"/>
      <c r="C312" s="427" t="s">
        <v>3646</v>
      </c>
      <c r="D312" s="426">
        <v>1</v>
      </c>
      <c r="E312" s="426" t="s">
        <v>25</v>
      </c>
      <c r="F312" s="429">
        <v>300000</v>
      </c>
      <c r="G312" s="429">
        <f t="shared" si="124"/>
        <v>300000</v>
      </c>
    </row>
    <row r="313" spans="1:7" s="400" customFormat="1" ht="25.5">
      <c r="A313" s="380" t="s">
        <v>2245</v>
      </c>
      <c r="B313" s="426"/>
      <c r="C313" s="427" t="s">
        <v>3647</v>
      </c>
      <c r="D313" s="426">
        <v>3</v>
      </c>
      <c r="E313" s="426" t="s">
        <v>25</v>
      </c>
      <c r="F313" s="429">
        <v>300000</v>
      </c>
      <c r="G313" s="429">
        <f t="shared" si="124"/>
        <v>900000</v>
      </c>
    </row>
    <row r="314" spans="1:7" s="400" customFormat="1" ht="12.75">
      <c r="A314" s="380" t="s">
        <v>3648</v>
      </c>
      <c r="B314" s="419" t="s">
        <v>3649</v>
      </c>
      <c r="C314" s="420" t="s">
        <v>3650</v>
      </c>
      <c r="D314" s="419"/>
      <c r="E314" s="419"/>
      <c r="F314" s="421"/>
      <c r="G314" s="421">
        <f t="shared" ref="G314" si="125">SUM(G315,G320,G325)</f>
        <v>100000000</v>
      </c>
    </row>
    <row r="315" spans="1:7" s="400" customFormat="1" ht="12.75">
      <c r="A315" s="380" t="s">
        <v>3651</v>
      </c>
      <c r="B315" s="422">
        <v>521111</v>
      </c>
      <c r="C315" s="423" t="s">
        <v>90</v>
      </c>
      <c r="D315" s="422"/>
      <c r="E315" s="422"/>
      <c r="F315" s="425"/>
      <c r="G315" s="425">
        <f t="shared" ref="G315" si="126">SUM(G316:G319)</f>
        <v>45000000</v>
      </c>
    </row>
    <row r="316" spans="1:7" s="400" customFormat="1" ht="12.75">
      <c r="A316" s="380" t="s">
        <v>3652</v>
      </c>
      <c r="B316" s="426"/>
      <c r="C316" s="427" t="s">
        <v>3653</v>
      </c>
      <c r="D316" s="426">
        <v>1</v>
      </c>
      <c r="E316" s="426" t="s">
        <v>60</v>
      </c>
      <c r="F316" s="429">
        <v>3000000</v>
      </c>
      <c r="G316" s="429">
        <f t="shared" ref="G316:G319" si="127">ROUNDDOWN(D316*F316,-3)</f>
        <v>3000000</v>
      </c>
    </row>
    <row r="317" spans="1:7" s="400" customFormat="1" ht="12.75">
      <c r="A317" s="380" t="s">
        <v>3654</v>
      </c>
      <c r="B317" s="426"/>
      <c r="C317" s="427" t="s">
        <v>3655</v>
      </c>
      <c r="D317" s="426">
        <v>48</v>
      </c>
      <c r="E317" s="426" t="s">
        <v>58</v>
      </c>
      <c r="F317" s="429">
        <v>500000</v>
      </c>
      <c r="G317" s="429">
        <f t="shared" si="127"/>
        <v>24000000</v>
      </c>
    </row>
    <row r="318" spans="1:7" s="400" customFormat="1" ht="12.75">
      <c r="A318" s="380" t="s">
        <v>3656</v>
      </c>
      <c r="B318" s="426"/>
      <c r="C318" s="427" t="s">
        <v>3657</v>
      </c>
      <c r="D318" s="426">
        <v>12</v>
      </c>
      <c r="E318" s="426" t="s">
        <v>78</v>
      </c>
      <c r="F318" s="429">
        <v>500000</v>
      </c>
      <c r="G318" s="429">
        <f t="shared" si="127"/>
        <v>6000000</v>
      </c>
    </row>
    <row r="319" spans="1:7" s="400" customFormat="1" ht="12.75">
      <c r="A319" s="380" t="s">
        <v>3658</v>
      </c>
      <c r="B319" s="426"/>
      <c r="C319" s="427" t="s">
        <v>3659</v>
      </c>
      <c r="D319" s="426">
        <v>60</v>
      </c>
      <c r="E319" s="426" t="s">
        <v>116</v>
      </c>
      <c r="F319" s="429">
        <v>200000</v>
      </c>
      <c r="G319" s="429">
        <f t="shared" si="127"/>
        <v>12000000</v>
      </c>
    </row>
    <row r="320" spans="1:7" s="400" customFormat="1" ht="12.75">
      <c r="A320" s="380" t="s">
        <v>3660</v>
      </c>
      <c r="B320" s="422">
        <v>521811</v>
      </c>
      <c r="C320" s="423" t="s">
        <v>64</v>
      </c>
      <c r="D320" s="422"/>
      <c r="E320" s="422"/>
      <c r="F320" s="425"/>
      <c r="G320" s="425">
        <f t="shared" ref="G320" si="128">SUM(G321:G324)</f>
        <v>26000000</v>
      </c>
    </row>
    <row r="321" spans="1:7" s="400" customFormat="1" ht="12.75">
      <c r="A321" s="380" t="s">
        <v>3661</v>
      </c>
      <c r="B321" s="426"/>
      <c r="C321" s="427" t="s">
        <v>3535</v>
      </c>
      <c r="D321" s="426">
        <v>8</v>
      </c>
      <c r="E321" s="426" t="s">
        <v>9</v>
      </c>
      <c r="F321" s="429">
        <v>1000000</v>
      </c>
      <c r="G321" s="429">
        <f t="shared" ref="G321:G324" si="129">ROUNDDOWN(D321*F321,-3)</f>
        <v>8000000</v>
      </c>
    </row>
    <row r="322" spans="1:7" s="400" customFormat="1" ht="12.75">
      <c r="A322" s="380" t="s">
        <v>3662</v>
      </c>
      <c r="B322" s="426"/>
      <c r="C322" s="427" t="s">
        <v>3536</v>
      </c>
      <c r="D322" s="426">
        <v>8</v>
      </c>
      <c r="E322" s="426" t="s">
        <v>9</v>
      </c>
      <c r="F322" s="429">
        <v>1500000</v>
      </c>
      <c r="G322" s="429">
        <f t="shared" si="129"/>
        <v>12000000</v>
      </c>
    </row>
    <row r="323" spans="1:7" s="400" customFormat="1" ht="12.75">
      <c r="A323" s="380" t="s">
        <v>3663</v>
      </c>
      <c r="B323" s="426"/>
      <c r="C323" s="427" t="s">
        <v>3664</v>
      </c>
      <c r="D323" s="426">
        <v>200</v>
      </c>
      <c r="E323" s="426" t="s">
        <v>120</v>
      </c>
      <c r="F323" s="429">
        <v>5000</v>
      </c>
      <c r="G323" s="429">
        <f t="shared" si="129"/>
        <v>1000000</v>
      </c>
    </row>
    <row r="324" spans="1:7" s="400" customFormat="1" ht="12.75">
      <c r="A324" s="380" t="s">
        <v>3665</v>
      </c>
      <c r="B324" s="426"/>
      <c r="C324" s="427" t="s">
        <v>3666</v>
      </c>
      <c r="D324" s="426">
        <v>200</v>
      </c>
      <c r="E324" s="426" t="s">
        <v>120</v>
      </c>
      <c r="F324" s="429">
        <v>25000</v>
      </c>
      <c r="G324" s="429">
        <f t="shared" si="129"/>
        <v>5000000</v>
      </c>
    </row>
    <row r="325" spans="1:7" s="400" customFormat="1" ht="12.75">
      <c r="A325" s="380" t="s">
        <v>3667</v>
      </c>
      <c r="B325" s="422">
        <v>523121</v>
      </c>
      <c r="C325" s="423" t="s">
        <v>99</v>
      </c>
      <c r="D325" s="422"/>
      <c r="E325" s="422"/>
      <c r="F325" s="425"/>
      <c r="G325" s="425">
        <f t="shared" ref="G325" si="130">SUM(G326:G330)</f>
        <v>29000000</v>
      </c>
    </row>
    <row r="326" spans="1:7" s="400" customFormat="1" ht="25.5">
      <c r="A326" s="380" t="s">
        <v>3668</v>
      </c>
      <c r="B326" s="426"/>
      <c r="C326" s="427" t="s">
        <v>3669</v>
      </c>
      <c r="D326" s="426">
        <v>1</v>
      </c>
      <c r="E326" s="426" t="s">
        <v>42</v>
      </c>
      <c r="F326" s="429">
        <v>7200000</v>
      </c>
      <c r="G326" s="429">
        <f t="shared" ref="G326:G330" si="131">ROUNDDOWN(D326*F326,-3)</f>
        <v>7200000</v>
      </c>
    </row>
    <row r="327" spans="1:7" s="400" customFormat="1" ht="12.75">
      <c r="A327" s="380" t="s">
        <v>3670</v>
      </c>
      <c r="B327" s="426"/>
      <c r="C327" s="427" t="s">
        <v>3671</v>
      </c>
      <c r="D327" s="426">
        <v>10</v>
      </c>
      <c r="E327" s="426" t="s">
        <v>42</v>
      </c>
      <c r="F327" s="429">
        <v>730000</v>
      </c>
      <c r="G327" s="429">
        <f t="shared" si="131"/>
        <v>7300000</v>
      </c>
    </row>
    <row r="328" spans="1:7" s="400" customFormat="1" ht="12.75">
      <c r="A328" s="380" t="s">
        <v>3672</v>
      </c>
      <c r="B328" s="426"/>
      <c r="C328" s="427" t="s">
        <v>3673</v>
      </c>
      <c r="D328" s="426">
        <v>10</v>
      </c>
      <c r="E328" s="426" t="s">
        <v>44</v>
      </c>
      <c r="F328" s="429">
        <v>730000</v>
      </c>
      <c r="G328" s="429">
        <f t="shared" si="131"/>
        <v>7300000</v>
      </c>
    </row>
    <row r="329" spans="1:7" s="400" customFormat="1" ht="12.75">
      <c r="A329" s="380" t="s">
        <v>3674</v>
      </c>
      <c r="B329" s="426"/>
      <c r="C329" s="427" t="s">
        <v>3675</v>
      </c>
      <c r="D329" s="426">
        <v>10</v>
      </c>
      <c r="E329" s="426" t="s">
        <v>44</v>
      </c>
      <c r="F329" s="429">
        <v>690000</v>
      </c>
      <c r="G329" s="429">
        <f t="shared" si="131"/>
        <v>6900000</v>
      </c>
    </row>
    <row r="330" spans="1:7" s="400" customFormat="1" ht="12.75">
      <c r="A330" s="380" t="s">
        <v>3676</v>
      </c>
      <c r="B330" s="426"/>
      <c r="C330" s="427" t="s">
        <v>3677</v>
      </c>
      <c r="D330" s="426">
        <v>1</v>
      </c>
      <c r="E330" s="426" t="s">
        <v>60</v>
      </c>
      <c r="F330" s="429">
        <v>300000</v>
      </c>
      <c r="G330" s="429">
        <f t="shared" si="131"/>
        <v>300000</v>
      </c>
    </row>
    <row r="331" spans="1:7" s="400" customFormat="1" ht="12.75">
      <c r="A331" s="380" t="s">
        <v>2247</v>
      </c>
      <c r="B331" s="408" t="s">
        <v>2248</v>
      </c>
      <c r="C331" s="409" t="s">
        <v>2249</v>
      </c>
      <c r="D331" s="408">
        <v>1</v>
      </c>
      <c r="E331" s="408" t="s">
        <v>42</v>
      </c>
      <c r="F331" s="411"/>
      <c r="G331" s="411">
        <f t="shared" ref="G331:G338" si="132">G332</f>
        <v>540934000</v>
      </c>
    </row>
    <row r="332" spans="1:7" s="400" customFormat="1" ht="12.75">
      <c r="A332" s="380" t="s">
        <v>2250</v>
      </c>
      <c r="B332" s="412" t="s">
        <v>3678</v>
      </c>
      <c r="C332" s="413" t="s">
        <v>2252</v>
      </c>
      <c r="D332" s="412">
        <v>1</v>
      </c>
      <c r="E332" s="412" t="s">
        <v>42</v>
      </c>
      <c r="F332" s="414"/>
      <c r="G332" s="414">
        <f t="shared" si="132"/>
        <v>540934000</v>
      </c>
    </row>
    <row r="333" spans="1:7" s="400" customFormat="1" ht="25.5">
      <c r="A333" s="380" t="s">
        <v>2268</v>
      </c>
      <c r="B333" s="415">
        <v>301</v>
      </c>
      <c r="C333" s="416" t="s">
        <v>2269</v>
      </c>
      <c r="D333" s="415"/>
      <c r="E333" s="415"/>
      <c r="F333" s="418"/>
      <c r="G333" s="418">
        <f>SUM(G334,G337)</f>
        <v>540934000</v>
      </c>
    </row>
    <row r="334" spans="1:7" s="400" customFormat="1" ht="12.75">
      <c r="A334" s="380" t="s">
        <v>2270</v>
      </c>
      <c r="B334" s="419" t="s">
        <v>8</v>
      </c>
      <c r="C334" s="420" t="s">
        <v>2271</v>
      </c>
      <c r="D334" s="419"/>
      <c r="E334" s="419"/>
      <c r="F334" s="421"/>
      <c r="G334" s="421">
        <f t="shared" si="132"/>
        <v>540000000</v>
      </c>
    </row>
    <row r="335" spans="1:7" s="400" customFormat="1" ht="12.75">
      <c r="A335" s="380" t="s">
        <v>2272</v>
      </c>
      <c r="B335" s="422">
        <v>532111</v>
      </c>
      <c r="C335" s="423" t="s">
        <v>43</v>
      </c>
      <c r="D335" s="422"/>
      <c r="E335" s="422"/>
      <c r="F335" s="425"/>
      <c r="G335" s="425">
        <f t="shared" si="132"/>
        <v>540000000</v>
      </c>
    </row>
    <row r="336" spans="1:7" s="400" customFormat="1" ht="12.75">
      <c r="A336" s="380" t="s">
        <v>2273</v>
      </c>
      <c r="B336" s="426"/>
      <c r="C336" s="427" t="s">
        <v>3679</v>
      </c>
      <c r="D336" s="426">
        <v>1</v>
      </c>
      <c r="E336" s="426" t="s">
        <v>42</v>
      </c>
      <c r="F336" s="429">
        <v>540000000</v>
      </c>
      <c r="G336" s="429">
        <f>ROUNDDOWN(D336*F336,-3)</f>
        <v>540000000</v>
      </c>
    </row>
    <row r="337" spans="1:7" s="400" customFormat="1" ht="12.75">
      <c r="A337" s="380" t="s">
        <v>4849</v>
      </c>
      <c r="B337" s="419" t="s">
        <v>508</v>
      </c>
      <c r="C337" s="420" t="s">
        <v>4820</v>
      </c>
      <c r="D337" s="419"/>
      <c r="E337" s="419"/>
      <c r="F337" s="421"/>
      <c r="G337" s="421">
        <f t="shared" si="132"/>
        <v>934000</v>
      </c>
    </row>
    <row r="338" spans="1:7" s="400" customFormat="1" ht="12.75">
      <c r="A338" s="380" t="s">
        <v>4827</v>
      </c>
      <c r="B338" s="422">
        <v>532111</v>
      </c>
      <c r="C338" s="423" t="s">
        <v>43</v>
      </c>
      <c r="D338" s="422"/>
      <c r="E338" s="422"/>
      <c r="F338" s="425"/>
      <c r="G338" s="425">
        <f t="shared" si="132"/>
        <v>934000</v>
      </c>
    </row>
    <row r="339" spans="1:7" s="400" customFormat="1" ht="12.75">
      <c r="A339" s="380" t="s">
        <v>4850</v>
      </c>
      <c r="B339" s="426"/>
      <c r="C339" s="427" t="s">
        <v>4845</v>
      </c>
      <c r="D339" s="426">
        <v>1</v>
      </c>
      <c r="E339" s="426" t="s">
        <v>9</v>
      </c>
      <c r="F339" s="429">
        <v>934000</v>
      </c>
      <c r="G339" s="429">
        <f>ROUNDDOWN(D339*F339,-3)</f>
        <v>934000</v>
      </c>
    </row>
    <row r="340" spans="1:7" s="400" customFormat="1" ht="12.75">
      <c r="A340" s="380" t="s">
        <v>2444</v>
      </c>
      <c r="B340" s="408" t="s">
        <v>2445</v>
      </c>
      <c r="C340" s="409" t="s">
        <v>2446</v>
      </c>
      <c r="D340" s="408">
        <v>1</v>
      </c>
      <c r="E340" s="408" t="s">
        <v>3681</v>
      </c>
      <c r="F340" s="411"/>
      <c r="G340" s="411">
        <f>SUM(G341,G375,G416)</f>
        <v>1538790000</v>
      </c>
    </row>
    <row r="341" spans="1:7" s="400" customFormat="1" ht="12.75">
      <c r="A341" s="380" t="s">
        <v>2447</v>
      </c>
      <c r="B341" s="412" t="s">
        <v>3682</v>
      </c>
      <c r="C341" s="413" t="s">
        <v>2449</v>
      </c>
      <c r="D341" s="412">
        <v>1</v>
      </c>
      <c r="E341" s="412" t="s">
        <v>3681</v>
      </c>
      <c r="F341" s="414"/>
      <c r="G341" s="414">
        <f t="shared" ref="G341" si="133">G342</f>
        <v>615138000</v>
      </c>
    </row>
    <row r="342" spans="1:7" s="400" customFormat="1" ht="25.5">
      <c r="A342" s="380" t="s">
        <v>2718</v>
      </c>
      <c r="B342" s="415">
        <v>301</v>
      </c>
      <c r="C342" s="416" t="s">
        <v>2719</v>
      </c>
      <c r="D342" s="415"/>
      <c r="E342" s="415"/>
      <c r="F342" s="418"/>
      <c r="G342" s="418">
        <f>SUM(G343,G353,G363,G372)</f>
        <v>615138000</v>
      </c>
    </row>
    <row r="343" spans="1:7" s="400" customFormat="1" ht="12.75">
      <c r="A343" s="380" t="s">
        <v>2720</v>
      </c>
      <c r="B343" s="419" t="s">
        <v>8</v>
      </c>
      <c r="C343" s="420" t="s">
        <v>129</v>
      </c>
      <c r="D343" s="419"/>
      <c r="E343" s="419"/>
      <c r="F343" s="421"/>
      <c r="G343" s="421">
        <f>SUM(G344,G346,G348,G351)</f>
        <v>22164000</v>
      </c>
    </row>
    <row r="344" spans="1:7" s="400" customFormat="1" ht="12.75">
      <c r="A344" s="380" t="s">
        <v>2721</v>
      </c>
      <c r="B344" s="422">
        <v>521211</v>
      </c>
      <c r="C344" s="423" t="s">
        <v>7</v>
      </c>
      <c r="D344" s="422"/>
      <c r="E344" s="422"/>
      <c r="F344" s="425"/>
      <c r="G344" s="425">
        <f>SUM(G345:G345)</f>
        <v>6000000</v>
      </c>
    </row>
    <row r="345" spans="1:7" s="400" customFormat="1" ht="12.75">
      <c r="A345" s="380" t="s">
        <v>2722</v>
      </c>
      <c r="B345" s="426"/>
      <c r="C345" s="427" t="s">
        <v>3529</v>
      </c>
      <c r="D345" s="426">
        <v>4</v>
      </c>
      <c r="E345" s="426" t="s">
        <v>9</v>
      </c>
      <c r="F345" s="429">
        <v>1500000</v>
      </c>
      <c r="G345" s="429">
        <f t="shared" ref="G345" si="134">ROUNDDOWN(D345*F345,-3)</f>
        <v>6000000</v>
      </c>
    </row>
    <row r="346" spans="1:7" s="400" customFormat="1" ht="12.75">
      <c r="A346" s="380" t="s">
        <v>2726</v>
      </c>
      <c r="B346" s="422">
        <v>521219</v>
      </c>
      <c r="C346" s="423" t="s">
        <v>53</v>
      </c>
      <c r="D346" s="422"/>
      <c r="E346" s="422"/>
      <c r="F346" s="425"/>
      <c r="G346" s="425">
        <f t="shared" ref="G346" si="135">G347</f>
        <v>1000000</v>
      </c>
    </row>
    <row r="347" spans="1:7" s="400" customFormat="1" ht="12.75">
      <c r="A347" s="380" t="s">
        <v>2727</v>
      </c>
      <c r="B347" s="426"/>
      <c r="C347" s="427" t="s">
        <v>3550</v>
      </c>
      <c r="D347" s="426">
        <v>4</v>
      </c>
      <c r="E347" s="426" t="s">
        <v>2728</v>
      </c>
      <c r="F347" s="429">
        <v>250000</v>
      </c>
      <c r="G347" s="429">
        <f>ROUNDDOWN(D347*F347,-3)</f>
        <v>1000000</v>
      </c>
    </row>
    <row r="348" spans="1:7" s="400" customFormat="1" ht="12.75">
      <c r="A348" s="380" t="s">
        <v>2729</v>
      </c>
      <c r="B348" s="422">
        <v>521811</v>
      </c>
      <c r="C348" s="423" t="s">
        <v>64</v>
      </c>
      <c r="D348" s="422"/>
      <c r="E348" s="422"/>
      <c r="F348" s="425"/>
      <c r="G348" s="425">
        <f t="shared" ref="G348" si="136">SUM(G349:G350)</f>
        <v>10000000</v>
      </c>
    </row>
    <row r="349" spans="1:7" s="400" customFormat="1" ht="12.75">
      <c r="A349" s="380" t="s">
        <v>2730</v>
      </c>
      <c r="B349" s="426"/>
      <c r="C349" s="427" t="s">
        <v>3535</v>
      </c>
      <c r="D349" s="426">
        <v>4</v>
      </c>
      <c r="E349" s="426" t="s">
        <v>106</v>
      </c>
      <c r="F349" s="429">
        <v>1000000</v>
      </c>
      <c r="G349" s="429">
        <f t="shared" ref="G349:G350" si="137">ROUNDDOWN(D349*F349,-3)</f>
        <v>4000000</v>
      </c>
    </row>
    <row r="350" spans="1:7" s="400" customFormat="1" ht="12.75">
      <c r="A350" s="380" t="s">
        <v>2731</v>
      </c>
      <c r="B350" s="426"/>
      <c r="C350" s="427" t="s">
        <v>3536</v>
      </c>
      <c r="D350" s="426">
        <v>4</v>
      </c>
      <c r="E350" s="426" t="s">
        <v>106</v>
      </c>
      <c r="F350" s="429">
        <v>1500000</v>
      </c>
      <c r="G350" s="429">
        <f t="shared" si="137"/>
        <v>6000000</v>
      </c>
    </row>
    <row r="351" spans="1:7" s="400" customFormat="1" ht="12.75">
      <c r="A351" s="380" t="s">
        <v>2732</v>
      </c>
      <c r="B351" s="422">
        <v>524111</v>
      </c>
      <c r="C351" s="423" t="s">
        <v>19</v>
      </c>
      <c r="D351" s="422"/>
      <c r="E351" s="422"/>
      <c r="F351" s="425"/>
      <c r="G351" s="425">
        <f t="shared" ref="G351" si="138">G352</f>
        <v>5164000</v>
      </c>
    </row>
    <row r="352" spans="1:7" s="400" customFormat="1" ht="25.5">
      <c r="A352" s="380" t="s">
        <v>2733</v>
      </c>
      <c r="B352" s="426"/>
      <c r="C352" s="427" t="s">
        <v>3684</v>
      </c>
      <c r="D352" s="426">
        <v>1</v>
      </c>
      <c r="E352" s="426" t="s">
        <v>10</v>
      </c>
      <c r="F352" s="429">
        <v>5164000</v>
      </c>
      <c r="G352" s="429">
        <f>ROUNDDOWN(D352*F352,-3)</f>
        <v>5164000</v>
      </c>
    </row>
    <row r="353" spans="1:7" s="400" customFormat="1" ht="12.75">
      <c r="A353" s="380" t="s">
        <v>2735</v>
      </c>
      <c r="B353" s="419" t="s">
        <v>508</v>
      </c>
      <c r="C353" s="420" t="s">
        <v>130</v>
      </c>
      <c r="D353" s="419"/>
      <c r="E353" s="419"/>
      <c r="F353" s="421"/>
      <c r="G353" s="421">
        <f>SUM(G354,G356,G358,G361)</f>
        <v>78000000</v>
      </c>
    </row>
    <row r="354" spans="1:7" s="400" customFormat="1" ht="12.75">
      <c r="A354" s="380" t="s">
        <v>2736</v>
      </c>
      <c r="B354" s="422">
        <v>521211</v>
      </c>
      <c r="C354" s="423" t="s">
        <v>7</v>
      </c>
      <c r="D354" s="422"/>
      <c r="E354" s="422"/>
      <c r="F354" s="425"/>
      <c r="G354" s="425">
        <f>SUM(G355:G355)</f>
        <v>12000000</v>
      </c>
    </row>
    <row r="355" spans="1:7" s="400" customFormat="1" ht="12.75">
      <c r="A355" s="380" t="s">
        <v>2737</v>
      </c>
      <c r="B355" s="426"/>
      <c r="C355" s="427" t="s">
        <v>3529</v>
      </c>
      <c r="D355" s="426">
        <v>8</v>
      </c>
      <c r="E355" s="426" t="s">
        <v>9</v>
      </c>
      <c r="F355" s="429">
        <v>1500000</v>
      </c>
      <c r="G355" s="429">
        <f t="shared" ref="G355" si="139">ROUNDDOWN(D355*F355,-3)</f>
        <v>12000000</v>
      </c>
    </row>
    <row r="356" spans="1:7" s="400" customFormat="1" ht="12.75">
      <c r="A356" s="380" t="s">
        <v>2740</v>
      </c>
      <c r="B356" s="422">
        <v>521219</v>
      </c>
      <c r="C356" s="423" t="s">
        <v>53</v>
      </c>
      <c r="D356" s="422"/>
      <c r="E356" s="422"/>
      <c r="F356" s="425"/>
      <c r="G356" s="425">
        <f t="shared" ref="G356" si="140">G357</f>
        <v>1000000</v>
      </c>
    </row>
    <row r="357" spans="1:7" s="400" customFormat="1" ht="12.75">
      <c r="A357" s="380" t="s">
        <v>2741</v>
      </c>
      <c r="B357" s="426"/>
      <c r="C357" s="427" t="s">
        <v>3550</v>
      </c>
      <c r="D357" s="426">
        <v>4</v>
      </c>
      <c r="E357" s="426" t="s">
        <v>9</v>
      </c>
      <c r="F357" s="429">
        <v>250000</v>
      </c>
      <c r="G357" s="429">
        <f>ROUNDDOWN(D357*F357,-3)</f>
        <v>1000000</v>
      </c>
    </row>
    <row r="358" spans="1:7" s="400" customFormat="1" ht="12.75">
      <c r="A358" s="380" t="s">
        <v>2742</v>
      </c>
      <c r="B358" s="422">
        <v>521811</v>
      </c>
      <c r="C358" s="423" t="s">
        <v>64</v>
      </c>
      <c r="D358" s="422"/>
      <c r="E358" s="422"/>
      <c r="F358" s="425"/>
      <c r="G358" s="425">
        <f t="shared" ref="G358" si="141">SUM(G359:G360)</f>
        <v>20000000</v>
      </c>
    </row>
    <row r="359" spans="1:7" s="400" customFormat="1" ht="12.75">
      <c r="A359" s="380" t="s">
        <v>2743</v>
      </c>
      <c r="B359" s="426"/>
      <c r="C359" s="427" t="s">
        <v>3535</v>
      </c>
      <c r="D359" s="426">
        <v>8</v>
      </c>
      <c r="E359" s="426" t="s">
        <v>106</v>
      </c>
      <c r="F359" s="429">
        <v>1000000</v>
      </c>
      <c r="G359" s="429">
        <f t="shared" ref="G359:G360" si="142">ROUNDDOWN(D359*F359,-3)</f>
        <v>8000000</v>
      </c>
    </row>
    <row r="360" spans="1:7" s="400" customFormat="1" ht="12.75">
      <c r="A360" s="380" t="s">
        <v>2744</v>
      </c>
      <c r="B360" s="426"/>
      <c r="C360" s="427" t="s">
        <v>3536</v>
      </c>
      <c r="D360" s="426">
        <v>8</v>
      </c>
      <c r="E360" s="426" t="s">
        <v>106</v>
      </c>
      <c r="F360" s="429">
        <v>1500000</v>
      </c>
      <c r="G360" s="429">
        <f t="shared" si="142"/>
        <v>12000000</v>
      </c>
    </row>
    <row r="361" spans="1:7" s="400" customFormat="1" ht="12.75">
      <c r="A361" s="380" t="s">
        <v>2747</v>
      </c>
      <c r="B361" s="422">
        <v>524111</v>
      </c>
      <c r="C361" s="423" t="s">
        <v>19</v>
      </c>
      <c r="D361" s="422"/>
      <c r="E361" s="422"/>
      <c r="F361" s="425"/>
      <c r="G361" s="425">
        <f t="shared" ref="G361" si="143">G362</f>
        <v>45000000</v>
      </c>
    </row>
    <row r="362" spans="1:7" s="400" customFormat="1" ht="12.75">
      <c r="A362" s="380" t="s">
        <v>2748</v>
      </c>
      <c r="B362" s="426"/>
      <c r="C362" s="427" t="s">
        <v>3685</v>
      </c>
      <c r="D362" s="426">
        <v>10</v>
      </c>
      <c r="E362" s="426" t="s">
        <v>10</v>
      </c>
      <c r="F362" s="429">
        <v>4500000</v>
      </c>
      <c r="G362" s="429">
        <f>ROUNDDOWN(D362*F362,-3)</f>
        <v>45000000</v>
      </c>
    </row>
    <row r="363" spans="1:7" s="400" customFormat="1" ht="12.75">
      <c r="A363" s="380" t="s">
        <v>2750</v>
      </c>
      <c r="B363" s="419" t="s">
        <v>509</v>
      </c>
      <c r="C363" s="420" t="s">
        <v>131</v>
      </c>
      <c r="D363" s="419"/>
      <c r="E363" s="419"/>
      <c r="F363" s="421"/>
      <c r="G363" s="421">
        <f>SUM(G364,G367,G370)</f>
        <v>80408000</v>
      </c>
    </row>
    <row r="364" spans="1:7" s="400" customFormat="1" ht="12.75">
      <c r="A364" s="380" t="s">
        <v>2751</v>
      </c>
      <c r="B364" s="422">
        <v>521211</v>
      </c>
      <c r="C364" s="423" t="s">
        <v>7</v>
      </c>
      <c r="D364" s="422"/>
      <c r="E364" s="422"/>
      <c r="F364" s="425"/>
      <c r="G364" s="425">
        <f>SUM(G365:G366)</f>
        <v>21000000</v>
      </c>
    </row>
    <row r="365" spans="1:7" s="400" customFormat="1" ht="12.75">
      <c r="A365" s="380" t="s">
        <v>2752</v>
      </c>
      <c r="B365" s="426"/>
      <c r="C365" s="427" t="s">
        <v>3529</v>
      </c>
      <c r="D365" s="426">
        <v>7</v>
      </c>
      <c r="E365" s="426" t="s">
        <v>9</v>
      </c>
      <c r="F365" s="429">
        <v>1500000</v>
      </c>
      <c r="G365" s="429">
        <f t="shared" ref="G365:G366" si="144">ROUNDDOWN(D365*F365,-3)</f>
        <v>10500000</v>
      </c>
    </row>
    <row r="366" spans="1:7" s="400" customFormat="1" ht="12.75">
      <c r="A366" s="380" t="s">
        <v>2753</v>
      </c>
      <c r="B366" s="426"/>
      <c r="C366" s="427" t="s">
        <v>3683</v>
      </c>
      <c r="D366" s="426">
        <v>150</v>
      </c>
      <c r="E366" s="426" t="s">
        <v>10</v>
      </c>
      <c r="F366" s="429">
        <v>70000</v>
      </c>
      <c r="G366" s="429">
        <f t="shared" si="144"/>
        <v>10500000</v>
      </c>
    </row>
    <row r="367" spans="1:7" s="400" customFormat="1" ht="12.75">
      <c r="A367" s="380" t="s">
        <v>2755</v>
      </c>
      <c r="B367" s="422">
        <v>521811</v>
      </c>
      <c r="C367" s="423" t="s">
        <v>64</v>
      </c>
      <c r="D367" s="422"/>
      <c r="E367" s="422"/>
      <c r="F367" s="425"/>
      <c r="G367" s="425">
        <f t="shared" ref="G367" si="145">SUM(G368:G369)</f>
        <v>17500000</v>
      </c>
    </row>
    <row r="368" spans="1:7" s="400" customFormat="1" ht="12.75">
      <c r="A368" s="380" t="s">
        <v>2756</v>
      </c>
      <c r="B368" s="426"/>
      <c r="C368" s="427" t="s">
        <v>3535</v>
      </c>
      <c r="D368" s="426">
        <v>7</v>
      </c>
      <c r="E368" s="426" t="s">
        <v>106</v>
      </c>
      <c r="F368" s="429">
        <v>1000000</v>
      </c>
      <c r="G368" s="429">
        <f t="shared" ref="G368:G369" si="146">ROUNDDOWN(D368*F368,-3)</f>
        <v>7000000</v>
      </c>
    </row>
    <row r="369" spans="1:7" s="400" customFormat="1" ht="12.75">
      <c r="A369" s="380" t="s">
        <v>2757</v>
      </c>
      <c r="B369" s="426"/>
      <c r="C369" s="427" t="s">
        <v>3536</v>
      </c>
      <c r="D369" s="426">
        <v>7</v>
      </c>
      <c r="E369" s="426" t="s">
        <v>106</v>
      </c>
      <c r="F369" s="429">
        <v>1500000</v>
      </c>
      <c r="G369" s="429">
        <f t="shared" si="146"/>
        <v>10500000</v>
      </c>
    </row>
    <row r="370" spans="1:7" s="400" customFormat="1" ht="12.75">
      <c r="A370" s="380" t="s">
        <v>2760</v>
      </c>
      <c r="B370" s="422">
        <v>524111</v>
      </c>
      <c r="C370" s="423" t="s">
        <v>19</v>
      </c>
      <c r="D370" s="422"/>
      <c r="E370" s="422"/>
      <c r="F370" s="425"/>
      <c r="G370" s="425">
        <f t="shared" ref="G370" si="147">G371</f>
        <v>41908000</v>
      </c>
    </row>
    <row r="371" spans="1:7" s="400" customFormat="1" ht="25.5">
      <c r="A371" s="380" t="s">
        <v>2761</v>
      </c>
      <c r="B371" s="426"/>
      <c r="C371" s="427" t="s">
        <v>3686</v>
      </c>
      <c r="D371" s="426">
        <v>8</v>
      </c>
      <c r="E371" s="426" t="s">
        <v>10</v>
      </c>
      <c r="F371" s="429">
        <v>5238500</v>
      </c>
      <c r="G371" s="429">
        <f>ROUNDDOWN(D371*F371,-3)</f>
        <v>41908000</v>
      </c>
    </row>
    <row r="372" spans="1:7" s="400" customFormat="1" ht="12.75">
      <c r="A372" s="380" t="s">
        <v>4851</v>
      </c>
      <c r="B372" s="419" t="s">
        <v>511</v>
      </c>
      <c r="C372" s="420" t="s">
        <v>4820</v>
      </c>
      <c r="D372" s="419"/>
      <c r="E372" s="419"/>
      <c r="F372" s="421"/>
      <c r="G372" s="421">
        <f>G373</f>
        <v>434566000</v>
      </c>
    </row>
    <row r="373" spans="1:7" s="400" customFormat="1" ht="12.75">
      <c r="A373" s="380" t="s">
        <v>4825</v>
      </c>
      <c r="B373" s="422">
        <v>524111</v>
      </c>
      <c r="C373" s="423" t="s">
        <v>19</v>
      </c>
      <c r="D373" s="422"/>
      <c r="E373" s="422"/>
      <c r="F373" s="425"/>
      <c r="G373" s="425">
        <f>G374</f>
        <v>434566000</v>
      </c>
    </row>
    <row r="374" spans="1:7" s="400" customFormat="1" ht="12.75">
      <c r="A374" s="380" t="s">
        <v>4852</v>
      </c>
      <c r="B374" s="426"/>
      <c r="C374" s="427" t="s">
        <v>4837</v>
      </c>
      <c r="D374" s="426">
        <v>1</v>
      </c>
      <c r="E374" s="426" t="s">
        <v>23</v>
      </c>
      <c r="F374" s="429">
        <v>434566000</v>
      </c>
      <c r="G374" s="429">
        <f t="shared" ref="G374" si="148">ROUNDDOWN(D374*F374,-3)</f>
        <v>434566000</v>
      </c>
    </row>
    <row r="375" spans="1:7" s="400" customFormat="1" ht="12.75">
      <c r="A375" s="380" t="s">
        <v>2763</v>
      </c>
      <c r="B375" s="412" t="s">
        <v>3687</v>
      </c>
      <c r="C375" s="413" t="s">
        <v>2765</v>
      </c>
      <c r="D375" s="412">
        <v>2</v>
      </c>
      <c r="E375" s="412" t="s">
        <v>3681</v>
      </c>
      <c r="F375" s="414"/>
      <c r="G375" s="414">
        <f>SUM(G376,G401)</f>
        <v>633732000</v>
      </c>
    </row>
    <row r="376" spans="1:7" s="400" customFormat="1" ht="25.5">
      <c r="A376" s="380" t="s">
        <v>3031</v>
      </c>
      <c r="B376" s="415">
        <v>301</v>
      </c>
      <c r="C376" s="416" t="s">
        <v>3032</v>
      </c>
      <c r="D376" s="415"/>
      <c r="E376" s="415"/>
      <c r="F376" s="418"/>
      <c r="G376" s="418">
        <f>SUM(G377,G387,G398)</f>
        <v>507200000</v>
      </c>
    </row>
    <row r="377" spans="1:7" s="400" customFormat="1" ht="25.5">
      <c r="A377" s="380" t="s">
        <v>3033</v>
      </c>
      <c r="B377" s="419" t="s">
        <v>8</v>
      </c>
      <c r="C377" s="420" t="s">
        <v>174</v>
      </c>
      <c r="D377" s="419"/>
      <c r="E377" s="419"/>
      <c r="F377" s="421"/>
      <c r="G377" s="421">
        <f>SUM(G378,G383,G385)</f>
        <v>43789000</v>
      </c>
    </row>
    <row r="378" spans="1:7" s="400" customFormat="1" ht="12.75">
      <c r="A378" s="380" t="s">
        <v>3034</v>
      </c>
      <c r="B378" s="422">
        <v>521211</v>
      </c>
      <c r="C378" s="423" t="s">
        <v>7</v>
      </c>
      <c r="D378" s="422"/>
      <c r="E378" s="422"/>
      <c r="F378" s="425"/>
      <c r="G378" s="425">
        <f>SUM(G379:G382)</f>
        <v>23250000</v>
      </c>
    </row>
    <row r="379" spans="1:7" s="400" customFormat="1" ht="12.75">
      <c r="A379" s="380" t="s">
        <v>3035</v>
      </c>
      <c r="B379" s="426"/>
      <c r="C379" s="427" t="s">
        <v>3529</v>
      </c>
      <c r="D379" s="426">
        <v>3</v>
      </c>
      <c r="E379" s="426" t="s">
        <v>9</v>
      </c>
      <c r="F379" s="429">
        <v>1500000</v>
      </c>
      <c r="G379" s="429">
        <f t="shared" ref="G379:G382" si="149">ROUNDDOWN(D379*F379,-3)</f>
        <v>4500000</v>
      </c>
    </row>
    <row r="380" spans="1:7" s="400" customFormat="1" ht="12.75">
      <c r="A380" s="380" t="s">
        <v>3036</v>
      </c>
      <c r="B380" s="426"/>
      <c r="C380" s="427" t="s">
        <v>3683</v>
      </c>
      <c r="D380" s="426">
        <v>150</v>
      </c>
      <c r="E380" s="426" t="s">
        <v>10</v>
      </c>
      <c r="F380" s="429">
        <v>75000</v>
      </c>
      <c r="G380" s="429">
        <f t="shared" si="149"/>
        <v>11250000</v>
      </c>
    </row>
    <row r="381" spans="1:7" s="400" customFormat="1" ht="12.75">
      <c r="A381" s="380" t="s">
        <v>3037</v>
      </c>
      <c r="B381" s="426"/>
      <c r="C381" s="427" t="s">
        <v>3530</v>
      </c>
      <c r="D381" s="426">
        <v>3</v>
      </c>
      <c r="E381" s="426" t="s">
        <v>106</v>
      </c>
      <c r="F381" s="429">
        <v>1000000</v>
      </c>
      <c r="G381" s="429">
        <f t="shared" si="149"/>
        <v>3000000</v>
      </c>
    </row>
    <row r="382" spans="1:7" s="400" customFormat="1" ht="12.75">
      <c r="A382" s="380" t="s">
        <v>3038</v>
      </c>
      <c r="B382" s="426"/>
      <c r="C382" s="427" t="s">
        <v>3531</v>
      </c>
      <c r="D382" s="426">
        <v>3</v>
      </c>
      <c r="E382" s="426" t="s">
        <v>106</v>
      </c>
      <c r="F382" s="429">
        <v>1500000</v>
      </c>
      <c r="G382" s="429">
        <f t="shared" si="149"/>
        <v>4500000</v>
      </c>
    </row>
    <row r="383" spans="1:7" s="400" customFormat="1" ht="12.75">
      <c r="A383" s="380" t="s">
        <v>3040</v>
      </c>
      <c r="B383" s="422">
        <v>521219</v>
      </c>
      <c r="C383" s="423" t="s">
        <v>53</v>
      </c>
      <c r="D383" s="422"/>
      <c r="E383" s="422"/>
      <c r="F383" s="425"/>
      <c r="G383" s="425">
        <f t="shared" ref="G383" si="150">G384</f>
        <v>2000000</v>
      </c>
    </row>
    <row r="384" spans="1:7" s="400" customFormat="1" ht="25.5">
      <c r="A384" s="380" t="s">
        <v>3041</v>
      </c>
      <c r="B384" s="426"/>
      <c r="C384" s="427" t="s">
        <v>3688</v>
      </c>
      <c r="D384" s="426">
        <v>1</v>
      </c>
      <c r="E384" s="426" t="s">
        <v>153</v>
      </c>
      <c r="F384" s="429">
        <v>2000000</v>
      </c>
      <c r="G384" s="429">
        <f>ROUNDDOWN(D384*F384,-3)</f>
        <v>2000000</v>
      </c>
    </row>
    <row r="385" spans="1:7" s="400" customFormat="1" ht="12.75">
      <c r="A385" s="380" t="s">
        <v>3043</v>
      </c>
      <c r="B385" s="422">
        <v>524111</v>
      </c>
      <c r="C385" s="423" t="s">
        <v>19</v>
      </c>
      <c r="D385" s="422"/>
      <c r="E385" s="422"/>
      <c r="F385" s="425"/>
      <c r="G385" s="425">
        <f t="shared" ref="G385" si="151">G386</f>
        <v>18539000</v>
      </c>
    </row>
    <row r="386" spans="1:7" s="400" customFormat="1" ht="25.5">
      <c r="A386" s="380" t="s">
        <v>3044</v>
      </c>
      <c r="B386" s="426"/>
      <c r="C386" s="427" t="s">
        <v>3689</v>
      </c>
      <c r="D386" s="426">
        <v>3</v>
      </c>
      <c r="E386" s="426" t="s">
        <v>10</v>
      </c>
      <c r="F386" s="429">
        <v>6179667</v>
      </c>
      <c r="G386" s="429">
        <f>ROUNDDOWN(D386*F386,-3)</f>
        <v>18539000</v>
      </c>
    </row>
    <row r="387" spans="1:7" s="400" customFormat="1" ht="12.75">
      <c r="A387" s="380" t="s">
        <v>3046</v>
      </c>
      <c r="B387" s="419" t="s">
        <v>508</v>
      </c>
      <c r="C387" s="420" t="s">
        <v>175</v>
      </c>
      <c r="D387" s="419"/>
      <c r="E387" s="419"/>
      <c r="F387" s="421"/>
      <c r="G387" s="421">
        <f>SUM(G388,G394,G396)</f>
        <v>75940000</v>
      </c>
    </row>
    <row r="388" spans="1:7" s="400" customFormat="1" ht="12.75">
      <c r="A388" s="380" t="s">
        <v>3047</v>
      </c>
      <c r="B388" s="422">
        <v>521211</v>
      </c>
      <c r="C388" s="423" t="s">
        <v>7</v>
      </c>
      <c r="D388" s="422"/>
      <c r="E388" s="422"/>
      <c r="F388" s="425"/>
      <c r="G388" s="425">
        <f>SUM(G389:G393)</f>
        <v>13525000</v>
      </c>
    </row>
    <row r="389" spans="1:7" s="400" customFormat="1" ht="12.75">
      <c r="A389" s="380" t="s">
        <v>3048</v>
      </c>
      <c r="B389" s="426"/>
      <c r="C389" s="427" t="s">
        <v>3529</v>
      </c>
      <c r="D389" s="426">
        <v>2</v>
      </c>
      <c r="E389" s="426" t="s">
        <v>9</v>
      </c>
      <c r="F389" s="429">
        <v>1500000</v>
      </c>
      <c r="G389" s="429">
        <f t="shared" ref="G389:G393" si="152">ROUNDDOWN(D389*F389,-3)</f>
        <v>3000000</v>
      </c>
    </row>
    <row r="390" spans="1:7" s="400" customFormat="1" ht="12.75">
      <c r="A390" s="380" t="s">
        <v>3049</v>
      </c>
      <c r="B390" s="426"/>
      <c r="C390" s="427" t="s">
        <v>3683</v>
      </c>
      <c r="D390" s="426">
        <v>47</v>
      </c>
      <c r="E390" s="426" t="s">
        <v>10</v>
      </c>
      <c r="F390" s="429">
        <v>75000</v>
      </c>
      <c r="G390" s="429">
        <f t="shared" si="152"/>
        <v>3525000</v>
      </c>
    </row>
    <row r="391" spans="1:7" s="400" customFormat="1" ht="12.75">
      <c r="A391" s="380" t="s">
        <v>3050</v>
      </c>
      <c r="B391" s="426"/>
      <c r="C391" s="427" t="s">
        <v>3690</v>
      </c>
      <c r="D391" s="426">
        <v>4</v>
      </c>
      <c r="E391" s="426" t="s">
        <v>176</v>
      </c>
      <c r="F391" s="429">
        <v>500000</v>
      </c>
      <c r="G391" s="429">
        <f t="shared" si="152"/>
        <v>2000000</v>
      </c>
    </row>
    <row r="392" spans="1:7" s="400" customFormat="1" ht="12.75">
      <c r="A392" s="380" t="s">
        <v>3052</v>
      </c>
      <c r="B392" s="426"/>
      <c r="C392" s="427" t="s">
        <v>3532</v>
      </c>
      <c r="D392" s="426">
        <v>2</v>
      </c>
      <c r="E392" s="426" t="s">
        <v>106</v>
      </c>
      <c r="F392" s="429">
        <v>1000000</v>
      </c>
      <c r="G392" s="429">
        <f t="shared" si="152"/>
        <v>2000000</v>
      </c>
    </row>
    <row r="393" spans="1:7" s="400" customFormat="1" ht="12.75">
      <c r="A393" s="380" t="s">
        <v>3053</v>
      </c>
      <c r="B393" s="426"/>
      <c r="C393" s="427" t="s">
        <v>3533</v>
      </c>
      <c r="D393" s="426">
        <v>2</v>
      </c>
      <c r="E393" s="426" t="s">
        <v>106</v>
      </c>
      <c r="F393" s="429">
        <v>1500000</v>
      </c>
      <c r="G393" s="429">
        <f t="shared" si="152"/>
        <v>3000000</v>
      </c>
    </row>
    <row r="394" spans="1:7" s="400" customFormat="1" ht="12.75">
      <c r="A394" s="380" t="s">
        <v>3056</v>
      </c>
      <c r="B394" s="422">
        <v>521219</v>
      </c>
      <c r="C394" s="423" t="s">
        <v>53</v>
      </c>
      <c r="D394" s="422"/>
      <c r="E394" s="422"/>
      <c r="F394" s="425"/>
      <c r="G394" s="425">
        <f>SUM(G395:G395)</f>
        <v>2000000</v>
      </c>
    </row>
    <row r="395" spans="1:7" s="400" customFormat="1" ht="25.5">
      <c r="A395" s="380" t="s">
        <v>3057</v>
      </c>
      <c r="B395" s="426"/>
      <c r="C395" s="427" t="s">
        <v>4853</v>
      </c>
      <c r="D395" s="426">
        <v>1</v>
      </c>
      <c r="E395" s="426" t="s">
        <v>60</v>
      </c>
      <c r="F395" s="429">
        <v>2000000</v>
      </c>
      <c r="G395" s="429">
        <f t="shared" ref="G395" si="153">ROUNDDOWN(D395*F395,-3)</f>
        <v>2000000</v>
      </c>
    </row>
    <row r="396" spans="1:7" s="400" customFormat="1" ht="12.75">
      <c r="A396" s="380" t="s">
        <v>3063</v>
      </c>
      <c r="B396" s="422">
        <v>524111</v>
      </c>
      <c r="C396" s="423" t="s">
        <v>19</v>
      </c>
      <c r="D396" s="422"/>
      <c r="E396" s="422"/>
      <c r="F396" s="425"/>
      <c r="G396" s="425">
        <f t="shared" ref="G396" si="154">G397</f>
        <v>60415000</v>
      </c>
    </row>
    <row r="397" spans="1:7" s="400" customFormat="1" ht="12.75">
      <c r="A397" s="380" t="s">
        <v>3064</v>
      </c>
      <c r="B397" s="426"/>
      <c r="C397" s="427" t="s">
        <v>3691</v>
      </c>
      <c r="D397" s="426">
        <v>12</v>
      </c>
      <c r="E397" s="426" t="s">
        <v>10</v>
      </c>
      <c r="F397" s="429">
        <v>5034585</v>
      </c>
      <c r="G397" s="429">
        <f>ROUNDDOWN(D397*F397,-3)</f>
        <v>60415000</v>
      </c>
    </row>
    <row r="398" spans="1:7" s="400" customFormat="1" ht="12.75">
      <c r="A398" s="380" t="s">
        <v>4854</v>
      </c>
      <c r="B398" s="419" t="s">
        <v>509</v>
      </c>
      <c r="C398" s="420" t="s">
        <v>4820</v>
      </c>
      <c r="D398" s="419"/>
      <c r="E398" s="419"/>
      <c r="F398" s="421"/>
      <c r="G398" s="421">
        <f>G399</f>
        <v>387471000</v>
      </c>
    </row>
    <row r="399" spans="1:7" s="400" customFormat="1" ht="12.75">
      <c r="A399" s="380" t="s">
        <v>4824</v>
      </c>
      <c r="B399" s="422">
        <v>524111</v>
      </c>
      <c r="C399" s="423" t="s">
        <v>19</v>
      </c>
      <c r="D399" s="422"/>
      <c r="E399" s="422"/>
      <c r="F399" s="425"/>
      <c r="G399" s="425">
        <f>G400</f>
        <v>387471000</v>
      </c>
    </row>
    <row r="400" spans="1:7" s="400" customFormat="1" ht="12.75">
      <c r="A400" s="380" t="s">
        <v>4855</v>
      </c>
      <c r="B400" s="426"/>
      <c r="C400" s="427" t="s">
        <v>4837</v>
      </c>
      <c r="D400" s="426">
        <v>1</v>
      </c>
      <c r="E400" s="426" t="s">
        <v>9</v>
      </c>
      <c r="F400" s="429">
        <v>387471000</v>
      </c>
      <c r="G400" s="429">
        <f t="shared" ref="G400" si="155">ROUNDDOWN(D400*F400,-3)</f>
        <v>387471000</v>
      </c>
    </row>
    <row r="401" spans="1:7" s="400" customFormat="1" ht="25.5">
      <c r="A401" s="380" t="s">
        <v>3068</v>
      </c>
      <c r="B401" s="415">
        <v>302</v>
      </c>
      <c r="C401" s="416" t="s">
        <v>3070</v>
      </c>
      <c r="D401" s="415"/>
      <c r="E401" s="415"/>
      <c r="F401" s="418"/>
      <c r="G401" s="418">
        <f>SUM(G402,G413)</f>
        <v>126532000</v>
      </c>
    </row>
    <row r="402" spans="1:7" s="400" customFormat="1" ht="12.75">
      <c r="A402" s="380" t="s">
        <v>3071</v>
      </c>
      <c r="B402" s="419" t="s">
        <v>8</v>
      </c>
      <c r="C402" s="420" t="s">
        <v>178</v>
      </c>
      <c r="D402" s="419"/>
      <c r="E402" s="419"/>
      <c r="F402" s="421"/>
      <c r="G402" s="421">
        <f t="shared" ref="G402" si="156">SUM(G403,G409,G411)</f>
        <v>50069000</v>
      </c>
    </row>
    <row r="403" spans="1:7" s="400" customFormat="1" ht="12.75">
      <c r="A403" s="380" t="s">
        <v>3072</v>
      </c>
      <c r="B403" s="422">
        <v>521211</v>
      </c>
      <c r="C403" s="423" t="s">
        <v>7</v>
      </c>
      <c r="D403" s="422"/>
      <c r="E403" s="422"/>
      <c r="F403" s="425"/>
      <c r="G403" s="425">
        <f t="shared" ref="G403" si="157">SUM(G404:G408)</f>
        <v>17900000</v>
      </c>
    </row>
    <row r="404" spans="1:7" s="400" customFormat="1" ht="12.75">
      <c r="A404" s="380" t="s">
        <v>3073</v>
      </c>
      <c r="B404" s="426"/>
      <c r="C404" s="427" t="s">
        <v>3529</v>
      </c>
      <c r="D404" s="426">
        <v>4</v>
      </c>
      <c r="E404" s="426" t="s">
        <v>9</v>
      </c>
      <c r="F404" s="429">
        <v>1500000</v>
      </c>
      <c r="G404" s="429">
        <f t="shared" ref="G404:G408" si="158">ROUNDDOWN(D404*F404,-3)</f>
        <v>6000000</v>
      </c>
    </row>
    <row r="405" spans="1:7" s="400" customFormat="1" ht="12.75">
      <c r="A405" s="380" t="s">
        <v>3074</v>
      </c>
      <c r="B405" s="426"/>
      <c r="C405" s="427" t="s">
        <v>3683</v>
      </c>
      <c r="D405" s="426">
        <v>12</v>
      </c>
      <c r="E405" s="426" t="s">
        <v>10</v>
      </c>
      <c r="F405" s="429">
        <v>75000</v>
      </c>
      <c r="G405" s="429">
        <f t="shared" si="158"/>
        <v>900000</v>
      </c>
    </row>
    <row r="406" spans="1:7" s="400" customFormat="1" ht="12.75">
      <c r="A406" s="380" t="s">
        <v>3075</v>
      </c>
      <c r="B406" s="426"/>
      <c r="C406" s="427" t="s">
        <v>3530</v>
      </c>
      <c r="D406" s="426">
        <v>4</v>
      </c>
      <c r="E406" s="426" t="s">
        <v>106</v>
      </c>
      <c r="F406" s="429">
        <v>1000000</v>
      </c>
      <c r="G406" s="429">
        <f t="shared" si="158"/>
        <v>4000000</v>
      </c>
    </row>
    <row r="407" spans="1:7" s="400" customFormat="1" ht="12.75">
      <c r="A407" s="380" t="s">
        <v>3076</v>
      </c>
      <c r="B407" s="426"/>
      <c r="C407" s="427" t="s">
        <v>3531</v>
      </c>
      <c r="D407" s="426">
        <v>4</v>
      </c>
      <c r="E407" s="426" t="s">
        <v>106</v>
      </c>
      <c r="F407" s="429">
        <v>1500000</v>
      </c>
      <c r="G407" s="429">
        <f t="shared" si="158"/>
        <v>6000000</v>
      </c>
    </row>
    <row r="408" spans="1:7" s="400" customFormat="1" ht="12.75">
      <c r="A408" s="380" t="s">
        <v>3077</v>
      </c>
      <c r="B408" s="426"/>
      <c r="C408" s="427" t="s">
        <v>3692</v>
      </c>
      <c r="D408" s="426">
        <v>2</v>
      </c>
      <c r="E408" s="426" t="s">
        <v>176</v>
      </c>
      <c r="F408" s="429">
        <v>500000</v>
      </c>
      <c r="G408" s="429">
        <f t="shared" si="158"/>
        <v>1000000</v>
      </c>
    </row>
    <row r="409" spans="1:7" s="400" customFormat="1" ht="12.75">
      <c r="A409" s="380" t="s">
        <v>3079</v>
      </c>
      <c r="B409" s="422">
        <v>521219</v>
      </c>
      <c r="C409" s="423" t="s">
        <v>53</v>
      </c>
      <c r="D409" s="422"/>
      <c r="E409" s="422"/>
      <c r="F409" s="425"/>
      <c r="G409" s="425">
        <f t="shared" ref="G409" si="159">G410</f>
        <v>2000000</v>
      </c>
    </row>
    <row r="410" spans="1:7" s="400" customFormat="1" ht="25.5">
      <c r="A410" s="380" t="s">
        <v>3080</v>
      </c>
      <c r="B410" s="426"/>
      <c r="C410" s="427" t="s">
        <v>3688</v>
      </c>
      <c r="D410" s="426">
        <v>1</v>
      </c>
      <c r="E410" s="426" t="s">
        <v>3605</v>
      </c>
      <c r="F410" s="429">
        <v>2000000</v>
      </c>
      <c r="G410" s="429">
        <f>ROUNDDOWN(D410*F410,-3)</f>
        <v>2000000</v>
      </c>
    </row>
    <row r="411" spans="1:7" s="400" customFormat="1" ht="12.75">
      <c r="A411" s="380" t="s">
        <v>3081</v>
      </c>
      <c r="B411" s="422">
        <v>524111</v>
      </c>
      <c r="C411" s="423" t="s">
        <v>19</v>
      </c>
      <c r="D411" s="422"/>
      <c r="E411" s="422"/>
      <c r="F411" s="425"/>
      <c r="G411" s="425">
        <f t="shared" ref="G411" si="160">G412</f>
        <v>30169000</v>
      </c>
    </row>
    <row r="412" spans="1:7" s="400" customFormat="1" ht="12.75">
      <c r="A412" s="380" t="s">
        <v>3082</v>
      </c>
      <c r="B412" s="426"/>
      <c r="C412" s="427" t="s">
        <v>4856</v>
      </c>
      <c r="D412" s="426">
        <v>6</v>
      </c>
      <c r="E412" s="426" t="s">
        <v>10</v>
      </c>
      <c r="F412" s="429">
        <v>5028317</v>
      </c>
      <c r="G412" s="429">
        <f>ROUNDDOWN(D412*F412,-3)</f>
        <v>30169000</v>
      </c>
    </row>
    <row r="413" spans="1:7" s="400" customFormat="1" ht="12.75">
      <c r="A413" s="380" t="s">
        <v>4857</v>
      </c>
      <c r="B413" s="419" t="s">
        <v>508</v>
      </c>
      <c r="C413" s="420" t="s">
        <v>4820</v>
      </c>
      <c r="D413" s="419"/>
      <c r="E413" s="419"/>
      <c r="F413" s="421"/>
      <c r="G413" s="421">
        <f>G414</f>
        <v>76463000</v>
      </c>
    </row>
    <row r="414" spans="1:7" s="400" customFormat="1" ht="12.75">
      <c r="A414" s="380" t="s">
        <v>4829</v>
      </c>
      <c r="B414" s="422">
        <v>521219</v>
      </c>
      <c r="C414" s="423" t="s">
        <v>53</v>
      </c>
      <c r="D414" s="422"/>
      <c r="E414" s="422"/>
      <c r="F414" s="425"/>
      <c r="G414" s="425">
        <f>G415</f>
        <v>76463000</v>
      </c>
    </row>
    <row r="415" spans="1:7" s="400" customFormat="1" ht="12.75">
      <c r="A415" s="380" t="s">
        <v>4858</v>
      </c>
      <c r="B415" s="426"/>
      <c r="C415" s="427" t="s">
        <v>4837</v>
      </c>
      <c r="D415" s="426">
        <v>1</v>
      </c>
      <c r="E415" s="426" t="s">
        <v>23</v>
      </c>
      <c r="F415" s="429">
        <v>76463900</v>
      </c>
      <c r="G415" s="429">
        <f t="shared" ref="G415" si="161">ROUNDDOWN(D415*F415,-3)</f>
        <v>76463000</v>
      </c>
    </row>
    <row r="416" spans="1:7" s="400" customFormat="1" ht="12.75">
      <c r="A416" s="380" t="s">
        <v>3083</v>
      </c>
      <c r="B416" s="412" t="s">
        <v>3693</v>
      </c>
      <c r="C416" s="413" t="s">
        <v>3085</v>
      </c>
      <c r="D416" s="412">
        <v>1</v>
      </c>
      <c r="E416" s="412" t="s">
        <v>3681</v>
      </c>
      <c r="F416" s="414"/>
      <c r="G416" s="414">
        <f t="shared" ref="G416" si="162">G417</f>
        <v>289920000</v>
      </c>
    </row>
    <row r="417" spans="1:7" s="400" customFormat="1" ht="25.5">
      <c r="A417" s="380" t="s">
        <v>3297</v>
      </c>
      <c r="B417" s="415">
        <v>301</v>
      </c>
      <c r="C417" s="416" t="s">
        <v>3298</v>
      </c>
      <c r="D417" s="415"/>
      <c r="E417" s="415"/>
      <c r="F417" s="418"/>
      <c r="G417" s="418">
        <f>SUM(G418,G426,G432,G436,G443,G447,G455)</f>
        <v>289920000</v>
      </c>
    </row>
    <row r="418" spans="1:7" s="400" customFormat="1" ht="12.75">
      <c r="A418" s="380" t="s">
        <v>3299</v>
      </c>
      <c r="B418" s="419" t="s">
        <v>8</v>
      </c>
      <c r="C418" s="420" t="s">
        <v>143</v>
      </c>
      <c r="D418" s="419"/>
      <c r="E418" s="419"/>
      <c r="F418" s="421"/>
      <c r="G418" s="421">
        <f>SUM(G419,G424)</f>
        <v>27102000</v>
      </c>
    </row>
    <row r="419" spans="1:7" s="400" customFormat="1" ht="12.75">
      <c r="A419" s="380" t="s">
        <v>3300</v>
      </c>
      <c r="B419" s="422">
        <v>521211</v>
      </c>
      <c r="C419" s="423" t="s">
        <v>7</v>
      </c>
      <c r="D419" s="422"/>
      <c r="E419" s="422"/>
      <c r="F419" s="425"/>
      <c r="G419" s="425">
        <f t="shared" ref="G419" si="163">SUM(G420:G423)</f>
        <v>18400000</v>
      </c>
    </row>
    <row r="420" spans="1:7" s="400" customFormat="1" ht="12.75">
      <c r="A420" s="380" t="s">
        <v>3301</v>
      </c>
      <c r="B420" s="426"/>
      <c r="C420" s="427" t="s">
        <v>3529</v>
      </c>
      <c r="D420" s="426">
        <v>2</v>
      </c>
      <c r="E420" s="426" t="s">
        <v>9</v>
      </c>
      <c r="F420" s="429">
        <v>1500000</v>
      </c>
      <c r="G420" s="429">
        <f t="shared" ref="G420:G423" si="164">ROUNDDOWN(D420*F420,-3)</f>
        <v>3000000</v>
      </c>
    </row>
    <row r="421" spans="1:7" s="400" customFormat="1" ht="12.75">
      <c r="A421" s="380" t="s">
        <v>3302</v>
      </c>
      <c r="B421" s="426"/>
      <c r="C421" s="427" t="s">
        <v>3683</v>
      </c>
      <c r="D421" s="426">
        <v>20</v>
      </c>
      <c r="E421" s="426" t="s">
        <v>10</v>
      </c>
      <c r="F421" s="429">
        <v>70000</v>
      </c>
      <c r="G421" s="429">
        <f t="shared" si="164"/>
        <v>1400000</v>
      </c>
    </row>
    <row r="422" spans="1:7" s="400" customFormat="1" ht="12.75">
      <c r="A422" s="380" t="s">
        <v>3303</v>
      </c>
      <c r="B422" s="426"/>
      <c r="C422" s="427" t="s">
        <v>3530</v>
      </c>
      <c r="D422" s="426">
        <v>5</v>
      </c>
      <c r="E422" s="426" t="s">
        <v>106</v>
      </c>
      <c r="F422" s="429">
        <v>1000000</v>
      </c>
      <c r="G422" s="429">
        <f t="shared" si="164"/>
        <v>5000000</v>
      </c>
    </row>
    <row r="423" spans="1:7" s="400" customFormat="1" ht="12.75">
      <c r="A423" s="380" t="s">
        <v>3304</v>
      </c>
      <c r="B423" s="426"/>
      <c r="C423" s="427" t="s">
        <v>3531</v>
      </c>
      <c r="D423" s="426">
        <v>6</v>
      </c>
      <c r="E423" s="426" t="s">
        <v>106</v>
      </c>
      <c r="F423" s="429">
        <v>1500000</v>
      </c>
      <c r="G423" s="429">
        <f t="shared" si="164"/>
        <v>9000000</v>
      </c>
    </row>
    <row r="424" spans="1:7" s="400" customFormat="1" ht="12.75">
      <c r="A424" s="380" t="s">
        <v>3305</v>
      </c>
      <c r="B424" s="422">
        <v>524111</v>
      </c>
      <c r="C424" s="423" t="s">
        <v>19</v>
      </c>
      <c r="D424" s="422"/>
      <c r="E424" s="422"/>
      <c r="F424" s="425"/>
      <c r="G424" s="425">
        <f t="shared" ref="G424" si="165">G425</f>
        <v>8702000</v>
      </c>
    </row>
    <row r="425" spans="1:7" s="400" customFormat="1" ht="12.75">
      <c r="A425" s="380" t="s">
        <v>3306</v>
      </c>
      <c r="B425" s="426"/>
      <c r="C425" s="427" t="s">
        <v>3694</v>
      </c>
      <c r="D425" s="426">
        <v>2</v>
      </c>
      <c r="E425" s="426" t="s">
        <v>10</v>
      </c>
      <c r="F425" s="429">
        <v>4351000</v>
      </c>
      <c r="G425" s="429">
        <f>ROUNDDOWN(D425*F425,-3)</f>
        <v>8702000</v>
      </c>
    </row>
    <row r="426" spans="1:7" s="400" customFormat="1" ht="25.5">
      <c r="A426" s="380" t="s">
        <v>3310</v>
      </c>
      <c r="B426" s="419" t="s">
        <v>508</v>
      </c>
      <c r="C426" s="420" t="s">
        <v>144</v>
      </c>
      <c r="D426" s="419"/>
      <c r="E426" s="419"/>
      <c r="F426" s="421"/>
      <c r="G426" s="421">
        <f>SUM(G427,G430)</f>
        <v>12850000</v>
      </c>
    </row>
    <row r="427" spans="1:7" s="400" customFormat="1" ht="12.75">
      <c r="A427" s="380" t="s">
        <v>3311</v>
      </c>
      <c r="B427" s="422">
        <v>521211</v>
      </c>
      <c r="C427" s="423" t="s">
        <v>7</v>
      </c>
      <c r="D427" s="422"/>
      <c r="E427" s="422"/>
      <c r="F427" s="425"/>
      <c r="G427" s="425">
        <f>SUM(G428:G429)</f>
        <v>7500000</v>
      </c>
    </row>
    <row r="428" spans="1:7" s="400" customFormat="1" ht="12.75">
      <c r="A428" s="380" t="s">
        <v>3312</v>
      </c>
      <c r="B428" s="426"/>
      <c r="C428" s="427" t="s">
        <v>3680</v>
      </c>
      <c r="D428" s="426">
        <v>3</v>
      </c>
      <c r="E428" s="426" t="s">
        <v>9</v>
      </c>
      <c r="F428" s="429">
        <v>1500000</v>
      </c>
      <c r="G428" s="429">
        <f t="shared" ref="G428:G429" si="166">ROUNDDOWN(D428*F428,-3)</f>
        <v>4500000</v>
      </c>
    </row>
    <row r="429" spans="1:7" s="400" customFormat="1" ht="12.75">
      <c r="A429" s="380" t="s">
        <v>3313</v>
      </c>
      <c r="B429" s="426"/>
      <c r="C429" s="427" t="s">
        <v>3538</v>
      </c>
      <c r="D429" s="426">
        <v>3</v>
      </c>
      <c r="E429" s="426" t="s">
        <v>106</v>
      </c>
      <c r="F429" s="429">
        <v>1000000</v>
      </c>
      <c r="G429" s="429">
        <f t="shared" si="166"/>
        <v>3000000</v>
      </c>
    </row>
    <row r="430" spans="1:7" s="400" customFormat="1" ht="12.75">
      <c r="A430" s="380" t="s">
        <v>3315</v>
      </c>
      <c r="B430" s="422">
        <v>524111</v>
      </c>
      <c r="C430" s="423" t="s">
        <v>19</v>
      </c>
      <c r="D430" s="422"/>
      <c r="E430" s="422"/>
      <c r="F430" s="425"/>
      <c r="G430" s="425">
        <f t="shared" ref="G430" si="167">G431</f>
        <v>5350000</v>
      </c>
    </row>
    <row r="431" spans="1:7" s="400" customFormat="1" ht="12.75">
      <c r="A431" s="380" t="s">
        <v>3316</v>
      </c>
      <c r="B431" s="426"/>
      <c r="C431" s="427" t="s">
        <v>3694</v>
      </c>
      <c r="D431" s="426">
        <v>1</v>
      </c>
      <c r="E431" s="426" t="s">
        <v>10</v>
      </c>
      <c r="F431" s="429">
        <v>5350000</v>
      </c>
      <c r="G431" s="429">
        <f>ROUNDDOWN(D431*F431,-3)</f>
        <v>5350000</v>
      </c>
    </row>
    <row r="432" spans="1:7" s="400" customFormat="1" ht="12.75">
      <c r="A432" s="380" t="s">
        <v>3319</v>
      </c>
      <c r="B432" s="419" t="s">
        <v>509</v>
      </c>
      <c r="C432" s="420" t="s">
        <v>145</v>
      </c>
      <c r="D432" s="419"/>
      <c r="E432" s="419"/>
      <c r="F432" s="421"/>
      <c r="G432" s="421">
        <f>SUM(G433)</f>
        <v>7500000</v>
      </c>
    </row>
    <row r="433" spans="1:7" s="400" customFormat="1" ht="12.75">
      <c r="A433" s="380" t="s">
        <v>3320</v>
      </c>
      <c r="B433" s="422">
        <v>521211</v>
      </c>
      <c r="C433" s="423" t="s">
        <v>7</v>
      </c>
      <c r="D433" s="422"/>
      <c r="E433" s="422"/>
      <c r="F433" s="425"/>
      <c r="G433" s="425">
        <f t="shared" ref="G433" si="168">SUM(G434:G435)</f>
        <v>7500000</v>
      </c>
    </row>
    <row r="434" spans="1:7" s="400" customFormat="1" ht="12.75">
      <c r="A434" s="380" t="s">
        <v>3321</v>
      </c>
      <c r="B434" s="426"/>
      <c r="C434" s="427" t="s">
        <v>3680</v>
      </c>
      <c r="D434" s="426">
        <v>3</v>
      </c>
      <c r="E434" s="426" t="s">
        <v>9</v>
      </c>
      <c r="F434" s="429">
        <v>1500000</v>
      </c>
      <c r="G434" s="429">
        <f t="shared" ref="G434:G435" si="169">ROUNDDOWN(D434*F434,-3)</f>
        <v>4500000</v>
      </c>
    </row>
    <row r="435" spans="1:7" s="400" customFormat="1" ht="12.75">
      <c r="A435" s="380" t="s">
        <v>3322</v>
      </c>
      <c r="B435" s="426"/>
      <c r="C435" s="427" t="s">
        <v>3538</v>
      </c>
      <c r="D435" s="426">
        <v>3</v>
      </c>
      <c r="E435" s="426" t="s">
        <v>106</v>
      </c>
      <c r="F435" s="429">
        <v>1000000</v>
      </c>
      <c r="G435" s="429">
        <f t="shared" si="169"/>
        <v>3000000</v>
      </c>
    </row>
    <row r="436" spans="1:7" s="400" customFormat="1" ht="12.75">
      <c r="A436" s="380" t="s">
        <v>3328</v>
      </c>
      <c r="B436" s="419" t="s">
        <v>511</v>
      </c>
      <c r="C436" s="420" t="s">
        <v>3329</v>
      </c>
      <c r="D436" s="419"/>
      <c r="E436" s="419"/>
      <c r="F436" s="421"/>
      <c r="G436" s="421">
        <f>SUM(G437,G441)</f>
        <v>34635000</v>
      </c>
    </row>
    <row r="437" spans="1:7" s="400" customFormat="1" ht="12.75">
      <c r="A437" s="380" t="s">
        <v>3330</v>
      </c>
      <c r="B437" s="422">
        <v>521211</v>
      </c>
      <c r="C437" s="423" t="s">
        <v>7</v>
      </c>
      <c r="D437" s="422"/>
      <c r="E437" s="422"/>
      <c r="F437" s="425"/>
      <c r="G437" s="425">
        <f>SUM(G438:G440)</f>
        <v>14000000</v>
      </c>
    </row>
    <row r="438" spans="1:7" s="400" customFormat="1" ht="12.75">
      <c r="A438" s="380" t="s">
        <v>3331</v>
      </c>
      <c r="B438" s="426"/>
      <c r="C438" s="427" t="s">
        <v>3680</v>
      </c>
      <c r="D438" s="426">
        <v>5</v>
      </c>
      <c r="E438" s="426" t="s">
        <v>9</v>
      </c>
      <c r="F438" s="429">
        <v>1500000</v>
      </c>
      <c r="G438" s="429">
        <f t="shared" ref="G438:G440" si="170">ROUNDDOWN(D438*F438,-3)</f>
        <v>7500000</v>
      </c>
    </row>
    <row r="439" spans="1:7" s="400" customFormat="1" ht="12.75">
      <c r="A439" s="380" t="s">
        <v>3332</v>
      </c>
      <c r="B439" s="426"/>
      <c r="C439" s="427" t="s">
        <v>4859</v>
      </c>
      <c r="D439" s="426">
        <v>7</v>
      </c>
      <c r="E439" s="426" t="s">
        <v>176</v>
      </c>
      <c r="F439" s="429">
        <v>500000</v>
      </c>
      <c r="G439" s="429">
        <f t="shared" si="170"/>
        <v>3500000</v>
      </c>
    </row>
    <row r="440" spans="1:7" s="400" customFormat="1" ht="12.75">
      <c r="A440" s="380" t="s">
        <v>3333</v>
      </c>
      <c r="B440" s="426"/>
      <c r="C440" s="427" t="s">
        <v>3530</v>
      </c>
      <c r="D440" s="426">
        <v>3</v>
      </c>
      <c r="E440" s="426" t="s">
        <v>106</v>
      </c>
      <c r="F440" s="429">
        <v>1000000</v>
      </c>
      <c r="G440" s="429">
        <f t="shared" si="170"/>
        <v>3000000</v>
      </c>
    </row>
    <row r="441" spans="1:7" s="400" customFormat="1" ht="12.75">
      <c r="A441" s="380" t="s">
        <v>3340</v>
      </c>
      <c r="B441" s="422">
        <v>524111</v>
      </c>
      <c r="C441" s="423" t="s">
        <v>19</v>
      </c>
      <c r="D441" s="422"/>
      <c r="E441" s="422"/>
      <c r="F441" s="425"/>
      <c r="G441" s="425">
        <f t="shared" ref="G441" si="171">G442</f>
        <v>20635000</v>
      </c>
    </row>
    <row r="442" spans="1:7" s="400" customFormat="1" ht="25.5">
      <c r="A442" s="380" t="s">
        <v>3341</v>
      </c>
      <c r="B442" s="426"/>
      <c r="C442" s="427" t="s">
        <v>3695</v>
      </c>
      <c r="D442" s="426">
        <v>5</v>
      </c>
      <c r="E442" s="426" t="s">
        <v>10</v>
      </c>
      <c r="F442" s="429">
        <v>4127000</v>
      </c>
      <c r="G442" s="429">
        <f>ROUNDDOWN(D442*F442,-3)</f>
        <v>20635000</v>
      </c>
    </row>
    <row r="443" spans="1:7" s="400" customFormat="1" ht="12.75">
      <c r="A443" s="380" t="s">
        <v>3346</v>
      </c>
      <c r="B443" s="419" t="s">
        <v>516</v>
      </c>
      <c r="C443" s="420" t="s">
        <v>146</v>
      </c>
      <c r="D443" s="419"/>
      <c r="E443" s="419"/>
      <c r="F443" s="421"/>
      <c r="G443" s="421">
        <f>SUM(G444)</f>
        <v>7500000</v>
      </c>
    </row>
    <row r="444" spans="1:7" s="400" customFormat="1" ht="12.75">
      <c r="A444" s="380" t="s">
        <v>3347</v>
      </c>
      <c r="B444" s="422">
        <v>521211</v>
      </c>
      <c r="C444" s="423" t="s">
        <v>7</v>
      </c>
      <c r="D444" s="422"/>
      <c r="E444" s="422"/>
      <c r="F444" s="425"/>
      <c r="G444" s="425">
        <f t="shared" ref="G444" si="172">SUM(G445:G446)</f>
        <v>7500000</v>
      </c>
    </row>
    <row r="445" spans="1:7" s="400" customFormat="1" ht="12.75">
      <c r="A445" s="380" t="s">
        <v>3348</v>
      </c>
      <c r="B445" s="426"/>
      <c r="C445" s="427" t="s">
        <v>3680</v>
      </c>
      <c r="D445" s="426">
        <v>3</v>
      </c>
      <c r="E445" s="426" t="s">
        <v>9</v>
      </c>
      <c r="F445" s="429">
        <v>1500000</v>
      </c>
      <c r="G445" s="429">
        <f t="shared" ref="G445:G446" si="173">ROUNDDOWN(D445*F445,-3)</f>
        <v>4500000</v>
      </c>
    </row>
    <row r="446" spans="1:7" s="400" customFormat="1" ht="12.75">
      <c r="A446" s="380" t="s">
        <v>3349</v>
      </c>
      <c r="B446" s="426"/>
      <c r="C446" s="427" t="s">
        <v>3538</v>
      </c>
      <c r="D446" s="426">
        <v>3</v>
      </c>
      <c r="E446" s="426" t="s">
        <v>106</v>
      </c>
      <c r="F446" s="429">
        <v>1000000</v>
      </c>
      <c r="G446" s="429">
        <f t="shared" si="173"/>
        <v>3000000</v>
      </c>
    </row>
    <row r="447" spans="1:7" s="400" customFormat="1" ht="25.5">
      <c r="A447" s="380" t="s">
        <v>3356</v>
      </c>
      <c r="B447" s="419" t="s">
        <v>566</v>
      </c>
      <c r="C447" s="420" t="s">
        <v>147</v>
      </c>
      <c r="D447" s="419"/>
      <c r="E447" s="419"/>
      <c r="F447" s="421"/>
      <c r="G447" s="421">
        <f>SUM(G448,G450,G453)</f>
        <v>108333000</v>
      </c>
    </row>
    <row r="448" spans="1:7" s="400" customFormat="1" ht="12.75">
      <c r="A448" s="380" t="s">
        <v>3357</v>
      </c>
      <c r="B448" s="422">
        <v>521211</v>
      </c>
      <c r="C448" s="423" t="s">
        <v>7</v>
      </c>
      <c r="D448" s="422"/>
      <c r="E448" s="422"/>
      <c r="F448" s="425"/>
      <c r="G448" s="425">
        <f t="shared" ref="G448" si="174">G449</f>
        <v>4800000</v>
      </c>
    </row>
    <row r="449" spans="1:7" s="400" customFormat="1" ht="12.75">
      <c r="A449" s="380" t="s">
        <v>3358</v>
      </c>
      <c r="B449" s="426"/>
      <c r="C449" s="427" t="s">
        <v>3696</v>
      </c>
      <c r="D449" s="426">
        <v>24</v>
      </c>
      <c r="E449" s="426" t="s">
        <v>176</v>
      </c>
      <c r="F449" s="429">
        <v>200000</v>
      </c>
      <c r="G449" s="429">
        <f>ROUNDDOWN(D449*F449,-3)</f>
        <v>4800000</v>
      </c>
    </row>
    <row r="450" spans="1:7" s="400" customFormat="1" ht="12.75">
      <c r="A450" s="380" t="s">
        <v>3360</v>
      </c>
      <c r="B450" s="422">
        <v>521811</v>
      </c>
      <c r="C450" s="423" t="s">
        <v>64</v>
      </c>
      <c r="D450" s="422"/>
      <c r="E450" s="422"/>
      <c r="F450" s="425"/>
      <c r="G450" s="425">
        <f t="shared" ref="G450" si="175">SUM(G451:G452)</f>
        <v>27500000</v>
      </c>
    </row>
    <row r="451" spans="1:7" s="400" customFormat="1" ht="12.75">
      <c r="A451" s="380" t="s">
        <v>3361</v>
      </c>
      <c r="B451" s="426"/>
      <c r="C451" s="427" t="s">
        <v>3680</v>
      </c>
      <c r="D451" s="426">
        <v>11</v>
      </c>
      <c r="E451" s="426" t="s">
        <v>9</v>
      </c>
      <c r="F451" s="429">
        <v>1500000</v>
      </c>
      <c r="G451" s="429">
        <f t="shared" ref="G451:G452" si="176">ROUNDDOWN(D451*F451,-3)</f>
        <v>16500000</v>
      </c>
    </row>
    <row r="452" spans="1:7" s="400" customFormat="1" ht="12.75">
      <c r="A452" s="380" t="s">
        <v>3362</v>
      </c>
      <c r="B452" s="426"/>
      <c r="C452" s="427" t="s">
        <v>3538</v>
      </c>
      <c r="D452" s="426">
        <v>11</v>
      </c>
      <c r="E452" s="426" t="s">
        <v>2728</v>
      </c>
      <c r="F452" s="429">
        <v>1000000</v>
      </c>
      <c r="G452" s="429">
        <f t="shared" si="176"/>
        <v>11000000</v>
      </c>
    </row>
    <row r="453" spans="1:7" s="400" customFormat="1" ht="12.75">
      <c r="A453" s="380" t="s">
        <v>3363</v>
      </c>
      <c r="B453" s="422">
        <v>524111</v>
      </c>
      <c r="C453" s="423" t="s">
        <v>19</v>
      </c>
      <c r="D453" s="422"/>
      <c r="E453" s="422"/>
      <c r="F453" s="425"/>
      <c r="G453" s="425">
        <f t="shared" ref="G453" si="177">G454</f>
        <v>76033000</v>
      </c>
    </row>
    <row r="454" spans="1:7" s="400" customFormat="1" ht="12.75">
      <c r="A454" s="380" t="s">
        <v>3364</v>
      </c>
      <c r="B454" s="426"/>
      <c r="C454" s="427" t="s">
        <v>3697</v>
      </c>
      <c r="D454" s="426">
        <v>12</v>
      </c>
      <c r="E454" s="426" t="s">
        <v>10</v>
      </c>
      <c r="F454" s="429">
        <v>6336085</v>
      </c>
      <c r="G454" s="429">
        <f>ROUNDDOWN(D454*F454,-3)</f>
        <v>76033000</v>
      </c>
    </row>
    <row r="455" spans="1:7" s="400" customFormat="1" ht="12.75">
      <c r="A455" s="380" t="s">
        <v>4860</v>
      </c>
      <c r="B455" s="419" t="s">
        <v>567</v>
      </c>
      <c r="C455" s="420" t="s">
        <v>4820</v>
      </c>
      <c r="D455" s="419"/>
      <c r="E455" s="419"/>
      <c r="F455" s="421"/>
      <c r="G455" s="421">
        <f>G456</f>
        <v>92000000</v>
      </c>
    </row>
    <row r="456" spans="1:7" s="400" customFormat="1" ht="12.75">
      <c r="A456" s="380" t="s">
        <v>4823</v>
      </c>
      <c r="B456" s="422">
        <v>521219</v>
      </c>
      <c r="C456" s="423" t="s">
        <v>53</v>
      </c>
      <c r="D456" s="422"/>
      <c r="E456" s="422"/>
      <c r="F456" s="425"/>
      <c r="G456" s="425">
        <f t="shared" ref="G456" si="178">G457</f>
        <v>92000000</v>
      </c>
    </row>
    <row r="457" spans="1:7" s="400" customFormat="1" ht="12.75">
      <c r="A457" s="380" t="s">
        <v>4861</v>
      </c>
      <c r="B457" s="426"/>
      <c r="C457" s="427" t="s">
        <v>4837</v>
      </c>
      <c r="D457" s="426">
        <v>1</v>
      </c>
      <c r="E457" s="426" t="s">
        <v>23</v>
      </c>
      <c r="F457" s="429">
        <v>92000000</v>
      </c>
      <c r="G457" s="429">
        <f>ROUNDDOWN(D457*F457,-3)</f>
        <v>92000000</v>
      </c>
    </row>
    <row r="458" spans="1:7" s="400" customFormat="1" ht="12.75">
      <c r="A458" s="380" t="s">
        <v>495</v>
      </c>
      <c r="B458" s="404">
        <v>4345</v>
      </c>
      <c r="C458" s="405" t="s">
        <v>188</v>
      </c>
      <c r="D458" s="404"/>
      <c r="E458" s="404"/>
      <c r="F458" s="407"/>
      <c r="G458" s="407">
        <f t="shared" ref="G458:G459" si="179">G459</f>
        <v>8582500000</v>
      </c>
    </row>
    <row r="459" spans="1:7" s="400" customFormat="1" ht="12.75">
      <c r="A459" s="380" t="s">
        <v>3452</v>
      </c>
      <c r="B459" s="408" t="s">
        <v>3453</v>
      </c>
      <c r="C459" s="409" t="s">
        <v>2291</v>
      </c>
      <c r="D459" s="408">
        <v>235</v>
      </c>
      <c r="E459" s="408" t="s">
        <v>155</v>
      </c>
      <c r="F459" s="411"/>
      <c r="G459" s="411">
        <f t="shared" si="179"/>
        <v>8582500000</v>
      </c>
    </row>
    <row r="460" spans="1:7" s="400" customFormat="1" ht="12.75">
      <c r="A460" s="380" t="s">
        <v>3454</v>
      </c>
      <c r="B460" s="412" t="s">
        <v>3698</v>
      </c>
      <c r="C460" s="413" t="s">
        <v>3456</v>
      </c>
      <c r="D460" s="412">
        <v>235</v>
      </c>
      <c r="E460" s="412" t="s">
        <v>155</v>
      </c>
      <c r="F460" s="414"/>
      <c r="G460" s="414">
        <f>SUM(G461,G506)</f>
        <v>8582500000</v>
      </c>
    </row>
    <row r="461" spans="1:7" s="400" customFormat="1" ht="12.75">
      <c r="A461" s="380" t="s">
        <v>3457</v>
      </c>
      <c r="B461" s="415">
        <v>301</v>
      </c>
      <c r="C461" s="416" t="s">
        <v>189</v>
      </c>
      <c r="D461" s="415"/>
      <c r="E461" s="415"/>
      <c r="F461" s="418"/>
      <c r="G461" s="418">
        <f>SUM(G462,G481,G497)</f>
        <v>8473300000</v>
      </c>
    </row>
    <row r="462" spans="1:7" s="400" customFormat="1" ht="12.75">
      <c r="A462" s="380" t="s">
        <v>3458</v>
      </c>
      <c r="B462" s="419" t="s">
        <v>8</v>
      </c>
      <c r="C462" s="420" t="s">
        <v>190</v>
      </c>
      <c r="D462" s="419"/>
      <c r="E462" s="419"/>
      <c r="F462" s="421"/>
      <c r="G462" s="421">
        <f t="shared" ref="G462" si="180">SUM(G463,G468,G471,G474,G476,G478)</f>
        <v>1713564000</v>
      </c>
    </row>
    <row r="463" spans="1:7" s="400" customFormat="1" ht="12.75">
      <c r="A463" s="380" t="s">
        <v>3459</v>
      </c>
      <c r="B463" s="422">
        <v>521211</v>
      </c>
      <c r="C463" s="423" t="s">
        <v>7</v>
      </c>
      <c r="D463" s="422"/>
      <c r="E463" s="422"/>
      <c r="F463" s="425"/>
      <c r="G463" s="425">
        <f t="shared" ref="G463" si="181">SUM(G464:G467)</f>
        <v>99100000</v>
      </c>
    </row>
    <row r="464" spans="1:7" s="400" customFormat="1" ht="12.75">
      <c r="A464" s="380" t="s">
        <v>3460</v>
      </c>
      <c r="B464" s="426"/>
      <c r="C464" s="427" t="s">
        <v>3699</v>
      </c>
      <c r="D464" s="426">
        <v>400</v>
      </c>
      <c r="E464" s="426" t="s">
        <v>10</v>
      </c>
      <c r="F464" s="429">
        <v>70000</v>
      </c>
      <c r="G464" s="429">
        <f t="shared" ref="G464:G467" si="182">ROUNDDOWN(D464*F464,-3)</f>
        <v>28000000</v>
      </c>
    </row>
    <row r="465" spans="1:7" s="400" customFormat="1" ht="12.75">
      <c r="A465" s="380" t="s">
        <v>3461</v>
      </c>
      <c r="B465" s="426"/>
      <c r="C465" s="427" t="s">
        <v>3700</v>
      </c>
      <c r="D465" s="426">
        <v>10</v>
      </c>
      <c r="E465" s="426" t="s">
        <v>9</v>
      </c>
      <c r="F465" s="429">
        <v>1500000</v>
      </c>
      <c r="G465" s="429">
        <f t="shared" si="182"/>
        <v>15000000</v>
      </c>
    </row>
    <row r="466" spans="1:7" s="400" customFormat="1" ht="12.75">
      <c r="A466" s="380" t="s">
        <v>3463</v>
      </c>
      <c r="B466" s="426"/>
      <c r="C466" s="427" t="s">
        <v>3701</v>
      </c>
      <c r="D466" s="426">
        <v>120</v>
      </c>
      <c r="E466" s="426" t="s">
        <v>25</v>
      </c>
      <c r="F466" s="429">
        <v>280000</v>
      </c>
      <c r="G466" s="429">
        <f t="shared" si="182"/>
        <v>33600000</v>
      </c>
    </row>
    <row r="467" spans="1:7" s="400" customFormat="1" ht="12.75">
      <c r="A467" s="380" t="s">
        <v>3465</v>
      </c>
      <c r="B467" s="426"/>
      <c r="C467" s="427" t="s">
        <v>3702</v>
      </c>
      <c r="D467" s="426">
        <v>150</v>
      </c>
      <c r="E467" s="426" t="s">
        <v>25</v>
      </c>
      <c r="F467" s="429">
        <v>150000</v>
      </c>
      <c r="G467" s="429">
        <f t="shared" si="182"/>
        <v>22500000</v>
      </c>
    </row>
    <row r="468" spans="1:7" s="400" customFormat="1" ht="12.75">
      <c r="A468" s="380" t="s">
        <v>3467</v>
      </c>
      <c r="B468" s="422">
        <v>521219</v>
      </c>
      <c r="C468" s="423" t="s">
        <v>53</v>
      </c>
      <c r="D468" s="422"/>
      <c r="E468" s="422"/>
      <c r="F468" s="425"/>
      <c r="G468" s="425">
        <f t="shared" ref="G468" si="183">SUM(G469:G470)</f>
        <v>1333864000</v>
      </c>
    </row>
    <row r="469" spans="1:7" s="400" customFormat="1" ht="12.75">
      <c r="A469" s="380" t="s">
        <v>3468</v>
      </c>
      <c r="B469" s="426"/>
      <c r="C469" s="427" t="s">
        <v>3703</v>
      </c>
      <c r="D469" s="426">
        <v>50</v>
      </c>
      <c r="E469" s="426" t="s">
        <v>4862</v>
      </c>
      <c r="F469" s="429">
        <v>26672280</v>
      </c>
      <c r="G469" s="429">
        <f t="shared" ref="G469:G470" si="184">ROUNDDOWN(D469*F469,-3)</f>
        <v>1333614000</v>
      </c>
    </row>
    <row r="470" spans="1:7" s="400" customFormat="1" ht="12.75">
      <c r="A470" s="380" t="s">
        <v>3470</v>
      </c>
      <c r="B470" s="426"/>
      <c r="C470" s="427" t="s">
        <v>3704</v>
      </c>
      <c r="D470" s="426">
        <v>1</v>
      </c>
      <c r="E470" s="426" t="s">
        <v>23</v>
      </c>
      <c r="F470" s="429">
        <v>250000</v>
      </c>
      <c r="G470" s="429">
        <f t="shared" si="184"/>
        <v>250000</v>
      </c>
    </row>
    <row r="471" spans="1:7" s="400" customFormat="1" ht="12.75">
      <c r="A471" s="380" t="s">
        <v>3471</v>
      </c>
      <c r="B471" s="422">
        <v>521811</v>
      </c>
      <c r="C471" s="423" t="s">
        <v>64</v>
      </c>
      <c r="D471" s="422"/>
      <c r="E471" s="422"/>
      <c r="F471" s="425"/>
      <c r="G471" s="425">
        <f t="shared" ref="G471" si="185">SUM(G472:G473)</f>
        <v>25000000</v>
      </c>
    </row>
    <row r="472" spans="1:7" s="400" customFormat="1" ht="12.75">
      <c r="A472" s="380" t="s">
        <v>3472</v>
      </c>
      <c r="B472" s="426"/>
      <c r="C472" s="427" t="s">
        <v>3680</v>
      </c>
      <c r="D472" s="426">
        <v>10</v>
      </c>
      <c r="E472" s="426" t="s">
        <v>9</v>
      </c>
      <c r="F472" s="429">
        <v>1000000</v>
      </c>
      <c r="G472" s="429">
        <f t="shared" ref="G472:G473" si="186">ROUNDDOWN(D472*F472,-3)</f>
        <v>10000000</v>
      </c>
    </row>
    <row r="473" spans="1:7" s="400" customFormat="1" ht="12.75">
      <c r="A473" s="380" t="s">
        <v>3473</v>
      </c>
      <c r="B473" s="426"/>
      <c r="C473" s="427" t="s">
        <v>3538</v>
      </c>
      <c r="D473" s="426">
        <v>10</v>
      </c>
      <c r="E473" s="426" t="s">
        <v>9</v>
      </c>
      <c r="F473" s="429">
        <v>1500000</v>
      </c>
      <c r="G473" s="429">
        <f t="shared" si="186"/>
        <v>15000000</v>
      </c>
    </row>
    <row r="474" spans="1:7" s="400" customFormat="1" ht="12.75">
      <c r="A474" s="380" t="s">
        <v>3474</v>
      </c>
      <c r="B474" s="422">
        <v>522151</v>
      </c>
      <c r="C474" s="423" t="s">
        <v>11</v>
      </c>
      <c r="D474" s="422"/>
      <c r="E474" s="422"/>
      <c r="F474" s="425"/>
      <c r="G474" s="425">
        <f t="shared" ref="G474" si="187">G475</f>
        <v>15000000</v>
      </c>
    </row>
    <row r="475" spans="1:7" s="400" customFormat="1" ht="12.75">
      <c r="A475" s="380" t="s">
        <v>3475</v>
      </c>
      <c r="B475" s="426"/>
      <c r="C475" s="427" t="s">
        <v>3543</v>
      </c>
      <c r="D475" s="426">
        <v>15</v>
      </c>
      <c r="E475" s="426" t="s">
        <v>54</v>
      </c>
      <c r="F475" s="429">
        <v>1000000</v>
      </c>
      <c r="G475" s="429">
        <f>ROUNDDOWN(D475*F475,-3)</f>
        <v>15000000</v>
      </c>
    </row>
    <row r="476" spans="1:7" s="400" customFormat="1" ht="12.75">
      <c r="A476" s="380" t="s">
        <v>3476</v>
      </c>
      <c r="B476" s="422">
        <v>522191</v>
      </c>
      <c r="C476" s="423" t="s">
        <v>22</v>
      </c>
      <c r="D476" s="422"/>
      <c r="E476" s="422"/>
      <c r="F476" s="425"/>
      <c r="G476" s="425">
        <f t="shared" ref="G476" si="188">G477</f>
        <v>102600000</v>
      </c>
    </row>
    <row r="477" spans="1:7" s="400" customFormat="1" ht="12.75">
      <c r="A477" s="380" t="s">
        <v>3477</v>
      </c>
      <c r="B477" s="426"/>
      <c r="C477" s="427" t="s">
        <v>3705</v>
      </c>
      <c r="D477" s="426">
        <v>120</v>
      </c>
      <c r="E477" s="426" t="s">
        <v>155</v>
      </c>
      <c r="F477" s="429">
        <v>855000</v>
      </c>
      <c r="G477" s="429">
        <f>ROUNDDOWN(D477*F477,-3)</f>
        <v>102600000</v>
      </c>
    </row>
    <row r="478" spans="1:7" s="400" customFormat="1" ht="12.75">
      <c r="A478" s="380" t="s">
        <v>3479</v>
      </c>
      <c r="B478" s="422">
        <v>524111</v>
      </c>
      <c r="C478" s="423" t="s">
        <v>19</v>
      </c>
      <c r="D478" s="422"/>
      <c r="E478" s="422"/>
      <c r="F478" s="425"/>
      <c r="G478" s="425">
        <f t="shared" ref="G478" si="189">SUM(G479:G480)</f>
        <v>138000000</v>
      </c>
    </row>
    <row r="479" spans="1:7" s="400" customFormat="1" ht="25.5">
      <c r="A479" s="380" t="s">
        <v>3480</v>
      </c>
      <c r="B479" s="426"/>
      <c r="C479" s="427" t="s">
        <v>4863</v>
      </c>
      <c r="D479" s="426">
        <v>12</v>
      </c>
      <c r="E479" s="426" t="s">
        <v>10</v>
      </c>
      <c r="F479" s="429">
        <v>6500000</v>
      </c>
      <c r="G479" s="429">
        <f t="shared" ref="G479:G480" si="190">ROUNDDOWN(D479*F479,-3)</f>
        <v>78000000</v>
      </c>
    </row>
    <row r="480" spans="1:7" s="400" customFormat="1" ht="12.75">
      <c r="A480" s="380" t="s">
        <v>3482</v>
      </c>
      <c r="B480" s="426"/>
      <c r="C480" s="427" t="s">
        <v>4864</v>
      </c>
      <c r="D480" s="426">
        <v>50</v>
      </c>
      <c r="E480" s="426" t="s">
        <v>10</v>
      </c>
      <c r="F480" s="429">
        <v>1200000</v>
      </c>
      <c r="G480" s="429">
        <f t="shared" si="190"/>
        <v>60000000</v>
      </c>
    </row>
    <row r="481" spans="1:7" s="400" customFormat="1" ht="12.75">
      <c r="A481" s="380" t="s">
        <v>3484</v>
      </c>
      <c r="B481" s="419" t="s">
        <v>508</v>
      </c>
      <c r="C481" s="420" t="s">
        <v>191</v>
      </c>
      <c r="D481" s="419"/>
      <c r="E481" s="419"/>
      <c r="F481" s="421"/>
      <c r="G481" s="421">
        <f t="shared" ref="G481" si="191">SUM(G482,G485,G489,G492,G494)</f>
        <v>6585695000</v>
      </c>
    </row>
    <row r="482" spans="1:7" s="400" customFormat="1" ht="12.75">
      <c r="A482" s="380" t="s">
        <v>3485</v>
      </c>
      <c r="B482" s="422">
        <v>521211</v>
      </c>
      <c r="C482" s="423" t="s">
        <v>7</v>
      </c>
      <c r="D482" s="422"/>
      <c r="E482" s="422"/>
      <c r="F482" s="425"/>
      <c r="G482" s="425">
        <f t="shared" ref="G482" si="192">SUM(G483:G484)</f>
        <v>25000000</v>
      </c>
    </row>
    <row r="483" spans="1:7" s="400" customFormat="1" ht="12.75">
      <c r="A483" s="380" t="s">
        <v>3486</v>
      </c>
      <c r="B483" s="426"/>
      <c r="C483" s="427" t="s">
        <v>3699</v>
      </c>
      <c r="D483" s="426">
        <v>100</v>
      </c>
      <c r="E483" s="426" t="s">
        <v>10</v>
      </c>
      <c r="F483" s="429">
        <v>70000</v>
      </c>
      <c r="G483" s="429">
        <f t="shared" ref="G483:G484" si="193">ROUNDDOWN(D483*F483,-3)</f>
        <v>7000000</v>
      </c>
    </row>
    <row r="484" spans="1:7" s="400" customFormat="1" ht="12.75">
      <c r="A484" s="380" t="s">
        <v>3487</v>
      </c>
      <c r="B484" s="426"/>
      <c r="C484" s="427" t="s">
        <v>3700</v>
      </c>
      <c r="D484" s="426">
        <v>12</v>
      </c>
      <c r="E484" s="426" t="s">
        <v>9</v>
      </c>
      <c r="F484" s="429">
        <v>1500000</v>
      </c>
      <c r="G484" s="429">
        <f t="shared" si="193"/>
        <v>18000000</v>
      </c>
    </row>
    <row r="485" spans="1:7" s="400" customFormat="1" ht="12.75">
      <c r="A485" s="380" t="s">
        <v>3488</v>
      </c>
      <c r="B485" s="422">
        <v>521219</v>
      </c>
      <c r="C485" s="423" t="s">
        <v>53</v>
      </c>
      <c r="D485" s="422"/>
      <c r="E485" s="422"/>
      <c r="F485" s="425"/>
      <c r="G485" s="425">
        <f t="shared" ref="G485" si="194">SUM(G486:G488)</f>
        <v>6308695000</v>
      </c>
    </row>
    <row r="486" spans="1:7" s="400" customFormat="1" ht="12.75">
      <c r="A486" s="380" t="s">
        <v>3489</v>
      </c>
      <c r="B486" s="426"/>
      <c r="C486" s="427" t="s">
        <v>3703</v>
      </c>
      <c r="D486" s="426">
        <v>140</v>
      </c>
      <c r="E486" s="426" t="s">
        <v>155</v>
      </c>
      <c r="F486" s="429">
        <v>45003179</v>
      </c>
      <c r="G486" s="429">
        <f t="shared" ref="G486:G488" si="195">ROUNDDOWN(D486*F486,-3)</f>
        <v>6300445000</v>
      </c>
    </row>
    <row r="487" spans="1:7" s="400" customFormat="1" ht="12.75">
      <c r="A487" s="380" t="s">
        <v>3490</v>
      </c>
      <c r="B487" s="426"/>
      <c r="C487" s="427" t="s">
        <v>3704</v>
      </c>
      <c r="D487" s="426">
        <v>3</v>
      </c>
      <c r="E487" s="426" t="s">
        <v>4865</v>
      </c>
      <c r="F487" s="429">
        <v>250000</v>
      </c>
      <c r="G487" s="429">
        <f t="shared" si="195"/>
        <v>750000</v>
      </c>
    </row>
    <row r="488" spans="1:7" s="400" customFormat="1" ht="12.75">
      <c r="A488" s="380" t="s">
        <v>3491</v>
      </c>
      <c r="B488" s="426"/>
      <c r="C488" s="427" t="s">
        <v>3706</v>
      </c>
      <c r="D488" s="426">
        <v>15</v>
      </c>
      <c r="E488" s="426" t="s">
        <v>23</v>
      </c>
      <c r="F488" s="429">
        <v>500000</v>
      </c>
      <c r="G488" s="429">
        <f t="shared" si="195"/>
        <v>7500000</v>
      </c>
    </row>
    <row r="489" spans="1:7" s="400" customFormat="1" ht="12.75">
      <c r="A489" s="380" t="s">
        <v>3493</v>
      </c>
      <c r="B489" s="422">
        <v>521811</v>
      </c>
      <c r="C489" s="423" t="s">
        <v>64</v>
      </c>
      <c r="D489" s="422"/>
      <c r="E489" s="422"/>
      <c r="F489" s="425"/>
      <c r="G489" s="425">
        <f t="shared" ref="G489" si="196">SUM(G490:G491)</f>
        <v>30000000</v>
      </c>
    </row>
    <row r="490" spans="1:7" s="400" customFormat="1" ht="12.75">
      <c r="A490" s="380" t="s">
        <v>3494</v>
      </c>
      <c r="B490" s="426"/>
      <c r="C490" s="427" t="s">
        <v>3680</v>
      </c>
      <c r="D490" s="426">
        <v>12</v>
      </c>
      <c r="E490" s="426" t="s">
        <v>9</v>
      </c>
      <c r="F490" s="429">
        <v>1000000</v>
      </c>
      <c r="G490" s="429">
        <f t="shared" ref="G490:G491" si="197">ROUNDDOWN(D490*F490,-3)</f>
        <v>12000000</v>
      </c>
    </row>
    <row r="491" spans="1:7" s="400" customFormat="1" ht="12.75">
      <c r="A491" s="380" t="s">
        <v>3495</v>
      </c>
      <c r="B491" s="426"/>
      <c r="C491" s="427" t="s">
        <v>3538</v>
      </c>
      <c r="D491" s="426">
        <v>12</v>
      </c>
      <c r="E491" s="426" t="s">
        <v>9</v>
      </c>
      <c r="F491" s="429">
        <v>1500000</v>
      </c>
      <c r="G491" s="429">
        <f t="shared" si="197"/>
        <v>18000000</v>
      </c>
    </row>
    <row r="492" spans="1:7" s="400" customFormat="1" ht="12.75">
      <c r="A492" s="380" t="s">
        <v>3496</v>
      </c>
      <c r="B492" s="422">
        <v>522151</v>
      </c>
      <c r="C492" s="423" t="s">
        <v>11</v>
      </c>
      <c r="D492" s="422"/>
      <c r="E492" s="422"/>
      <c r="F492" s="425"/>
      <c r="G492" s="425">
        <f t="shared" ref="G492" si="198">G493</f>
        <v>6000000</v>
      </c>
    </row>
    <row r="493" spans="1:7" s="400" customFormat="1" ht="12.75">
      <c r="A493" s="380" t="s">
        <v>3497</v>
      </c>
      <c r="B493" s="426"/>
      <c r="C493" s="427" t="s">
        <v>3543</v>
      </c>
      <c r="D493" s="426">
        <v>6</v>
      </c>
      <c r="E493" s="426" t="s">
        <v>54</v>
      </c>
      <c r="F493" s="429">
        <v>1000000</v>
      </c>
      <c r="G493" s="429">
        <f>ROUNDDOWN(D493*F493,-3)</f>
        <v>6000000</v>
      </c>
    </row>
    <row r="494" spans="1:7" s="400" customFormat="1" ht="12.75">
      <c r="A494" s="380" t="s">
        <v>3498</v>
      </c>
      <c r="B494" s="422">
        <v>524111</v>
      </c>
      <c r="C494" s="423" t="s">
        <v>19</v>
      </c>
      <c r="D494" s="422"/>
      <c r="E494" s="422"/>
      <c r="F494" s="425"/>
      <c r="G494" s="425">
        <f t="shared" ref="G494" si="199">SUM(G495:G496)</f>
        <v>216000000</v>
      </c>
    </row>
    <row r="495" spans="1:7" s="400" customFormat="1" ht="25.5">
      <c r="A495" s="380" t="s">
        <v>3499</v>
      </c>
      <c r="B495" s="426"/>
      <c r="C495" s="427" t="s">
        <v>4863</v>
      </c>
      <c r="D495" s="426">
        <v>24</v>
      </c>
      <c r="E495" s="426" t="s">
        <v>10</v>
      </c>
      <c r="F495" s="429">
        <v>6500000</v>
      </c>
      <c r="G495" s="429">
        <f t="shared" ref="G495:G496" si="200">ROUNDDOWN(D495*F495,-3)</f>
        <v>156000000</v>
      </c>
    </row>
    <row r="496" spans="1:7" s="400" customFormat="1" ht="12.75">
      <c r="A496" s="380" t="s">
        <v>3500</v>
      </c>
      <c r="B496" s="426"/>
      <c r="C496" s="427" t="s">
        <v>4864</v>
      </c>
      <c r="D496" s="426">
        <v>12</v>
      </c>
      <c r="E496" s="426" t="s">
        <v>10</v>
      </c>
      <c r="F496" s="429">
        <v>5000000</v>
      </c>
      <c r="G496" s="429">
        <f t="shared" si="200"/>
        <v>60000000</v>
      </c>
    </row>
    <row r="497" spans="1:7" s="400" customFormat="1" ht="12.75">
      <c r="A497" s="380" t="s">
        <v>3501</v>
      </c>
      <c r="B497" s="419" t="s">
        <v>509</v>
      </c>
      <c r="C497" s="420" t="s">
        <v>192</v>
      </c>
      <c r="D497" s="419"/>
      <c r="E497" s="419"/>
      <c r="F497" s="421"/>
      <c r="G497" s="421">
        <f t="shared" ref="G497" si="201">SUM(G498,G502,G504)</f>
        <v>174041000</v>
      </c>
    </row>
    <row r="498" spans="1:7" s="400" customFormat="1" ht="12.75">
      <c r="A498" s="380" t="s">
        <v>3502</v>
      </c>
      <c r="B498" s="422">
        <v>521211</v>
      </c>
      <c r="C498" s="423" t="s">
        <v>7</v>
      </c>
      <c r="D498" s="422"/>
      <c r="E498" s="422"/>
      <c r="F498" s="425"/>
      <c r="G498" s="425">
        <f t="shared" ref="G498" si="202">SUM(G499:G501)</f>
        <v>12000000</v>
      </c>
    </row>
    <row r="499" spans="1:7" s="400" customFormat="1" ht="12.75">
      <c r="A499" s="380" t="s">
        <v>3503</v>
      </c>
      <c r="B499" s="426"/>
      <c r="C499" s="427" t="s">
        <v>3707</v>
      </c>
      <c r="D499" s="426">
        <v>3</v>
      </c>
      <c r="E499" s="426" t="s">
        <v>23</v>
      </c>
      <c r="F499" s="429">
        <v>1500000</v>
      </c>
      <c r="G499" s="429">
        <f t="shared" ref="G499:G501" si="203">ROUNDDOWN(D499*F499,-3)</f>
        <v>4500000</v>
      </c>
    </row>
    <row r="500" spans="1:7" s="400" customFormat="1" ht="12.75">
      <c r="A500" s="380" t="s">
        <v>3504</v>
      </c>
      <c r="B500" s="426"/>
      <c r="C500" s="427" t="s">
        <v>3536</v>
      </c>
      <c r="D500" s="426">
        <v>3</v>
      </c>
      <c r="E500" s="426" t="s">
        <v>23</v>
      </c>
      <c r="F500" s="429">
        <v>1000000</v>
      </c>
      <c r="G500" s="429">
        <f t="shared" si="203"/>
        <v>3000000</v>
      </c>
    </row>
    <row r="501" spans="1:7" s="400" customFormat="1" ht="12.75">
      <c r="A501" s="380" t="s">
        <v>3505</v>
      </c>
      <c r="B501" s="426"/>
      <c r="C501" s="427" t="s">
        <v>3530</v>
      </c>
      <c r="D501" s="426">
        <v>3</v>
      </c>
      <c r="E501" s="426" t="s">
        <v>23</v>
      </c>
      <c r="F501" s="429">
        <v>1500000</v>
      </c>
      <c r="G501" s="429">
        <f t="shared" si="203"/>
        <v>4500000</v>
      </c>
    </row>
    <row r="502" spans="1:7" s="400" customFormat="1" ht="12.75">
      <c r="A502" s="380" t="s">
        <v>3506</v>
      </c>
      <c r="B502" s="422">
        <v>521219</v>
      </c>
      <c r="C502" s="423" t="s">
        <v>53</v>
      </c>
      <c r="D502" s="422"/>
      <c r="E502" s="422"/>
      <c r="F502" s="425"/>
      <c r="G502" s="425">
        <f t="shared" ref="G502" si="204">G503</f>
        <v>20000000</v>
      </c>
    </row>
    <row r="503" spans="1:7" s="400" customFormat="1" ht="25.5">
      <c r="A503" s="380" t="s">
        <v>3507</v>
      </c>
      <c r="B503" s="426"/>
      <c r="C503" s="427" t="s">
        <v>3708</v>
      </c>
      <c r="D503" s="426">
        <v>2</v>
      </c>
      <c r="E503" s="426" t="s">
        <v>25</v>
      </c>
      <c r="F503" s="429">
        <v>10000000</v>
      </c>
      <c r="G503" s="429">
        <f>ROUNDDOWN(D503*F503,-3)</f>
        <v>20000000</v>
      </c>
    </row>
    <row r="504" spans="1:7" s="400" customFormat="1" ht="12.75">
      <c r="A504" s="380" t="s">
        <v>3509</v>
      </c>
      <c r="B504" s="422">
        <v>524211</v>
      </c>
      <c r="C504" s="423" t="s">
        <v>1130</v>
      </c>
      <c r="D504" s="422"/>
      <c r="E504" s="422"/>
      <c r="F504" s="425"/>
      <c r="G504" s="425">
        <f t="shared" ref="G504" si="205">G505</f>
        <v>142041000</v>
      </c>
    </row>
    <row r="505" spans="1:7" s="400" customFormat="1" ht="25.5">
      <c r="A505" s="380" t="s">
        <v>3510</v>
      </c>
      <c r="B505" s="426"/>
      <c r="C505" s="427" t="s">
        <v>3709</v>
      </c>
      <c r="D505" s="426">
        <v>3</v>
      </c>
      <c r="E505" s="426" t="s">
        <v>25</v>
      </c>
      <c r="F505" s="429">
        <v>47347000</v>
      </c>
      <c r="G505" s="429">
        <f>ROUNDDOWN(D505*F505,-3)</f>
        <v>142041000</v>
      </c>
    </row>
    <row r="506" spans="1:7" s="400" customFormat="1" ht="12.75">
      <c r="A506" s="380" t="s">
        <v>3517</v>
      </c>
      <c r="B506" s="415">
        <v>302</v>
      </c>
      <c r="C506" s="416" t="s">
        <v>193</v>
      </c>
      <c r="D506" s="415"/>
      <c r="E506" s="415"/>
      <c r="F506" s="418"/>
      <c r="G506" s="418">
        <f t="shared" ref="G506" si="206">G507</f>
        <v>109200000</v>
      </c>
    </row>
    <row r="507" spans="1:7" s="400" customFormat="1" ht="12.75">
      <c r="A507" s="380" t="s">
        <v>3518</v>
      </c>
      <c r="B507" s="419" t="s">
        <v>8</v>
      </c>
      <c r="C507" s="420" t="s">
        <v>193</v>
      </c>
      <c r="D507" s="419"/>
      <c r="E507" s="419"/>
      <c r="F507" s="421"/>
      <c r="G507" s="421">
        <f t="shared" ref="G507" si="207">SUM(G508,G511,G514)</f>
        <v>109200000</v>
      </c>
    </row>
    <row r="508" spans="1:7" s="400" customFormat="1" ht="12.75">
      <c r="A508" s="380" t="s">
        <v>3519</v>
      </c>
      <c r="B508" s="422">
        <v>521211</v>
      </c>
      <c r="C508" s="423" t="s">
        <v>7</v>
      </c>
      <c r="D508" s="422"/>
      <c r="E508" s="422"/>
      <c r="F508" s="425"/>
      <c r="G508" s="425">
        <f t="shared" ref="G508" si="208">SUM(G509:G510)</f>
        <v>25000000</v>
      </c>
    </row>
    <row r="509" spans="1:7" s="400" customFormat="1" ht="12.75">
      <c r="A509" s="380" t="s">
        <v>3520</v>
      </c>
      <c r="B509" s="426"/>
      <c r="C509" s="427" t="s">
        <v>3707</v>
      </c>
      <c r="D509" s="426">
        <v>12</v>
      </c>
      <c r="E509" s="426" t="s">
        <v>9</v>
      </c>
      <c r="F509" s="429">
        <v>1500000</v>
      </c>
      <c r="G509" s="429">
        <f t="shared" ref="G509:G510" si="209">ROUNDDOWN(D509*F509,-3)</f>
        <v>18000000</v>
      </c>
    </row>
    <row r="510" spans="1:7" s="400" customFormat="1" ht="12.75">
      <c r="A510" s="380" t="s">
        <v>3521</v>
      </c>
      <c r="B510" s="426"/>
      <c r="C510" s="427" t="s">
        <v>3683</v>
      </c>
      <c r="D510" s="426">
        <v>100</v>
      </c>
      <c r="E510" s="426" t="s">
        <v>25</v>
      </c>
      <c r="F510" s="429">
        <v>70000</v>
      </c>
      <c r="G510" s="429">
        <f t="shared" si="209"/>
        <v>7000000</v>
      </c>
    </row>
    <row r="511" spans="1:7" s="400" customFormat="1" ht="12.75">
      <c r="A511" s="380" t="s">
        <v>3522</v>
      </c>
      <c r="B511" s="422">
        <v>521811</v>
      </c>
      <c r="C511" s="423" t="s">
        <v>64</v>
      </c>
      <c r="D511" s="422"/>
      <c r="E511" s="422"/>
      <c r="F511" s="425"/>
      <c r="G511" s="425">
        <f t="shared" ref="G511" si="210">SUM(G512:G513)</f>
        <v>30000000</v>
      </c>
    </row>
    <row r="512" spans="1:7" s="400" customFormat="1" ht="12.75">
      <c r="A512" s="380" t="s">
        <v>3523</v>
      </c>
      <c r="B512" s="426"/>
      <c r="C512" s="427" t="s">
        <v>3680</v>
      </c>
      <c r="D512" s="426">
        <v>12</v>
      </c>
      <c r="E512" s="426" t="s">
        <v>9</v>
      </c>
      <c r="F512" s="429">
        <v>1000000</v>
      </c>
      <c r="G512" s="429">
        <f t="shared" ref="G512:G513" si="211">ROUNDDOWN(D512*F512,-3)</f>
        <v>12000000</v>
      </c>
    </row>
    <row r="513" spans="1:7" s="400" customFormat="1" ht="12.75">
      <c r="A513" s="380" t="s">
        <v>3524</v>
      </c>
      <c r="B513" s="426"/>
      <c r="C513" s="427" t="s">
        <v>3538</v>
      </c>
      <c r="D513" s="426">
        <v>12</v>
      </c>
      <c r="E513" s="426" t="s">
        <v>9</v>
      </c>
      <c r="F513" s="429">
        <v>1500000</v>
      </c>
      <c r="G513" s="429">
        <f t="shared" si="211"/>
        <v>18000000</v>
      </c>
    </row>
    <row r="514" spans="1:7" s="400" customFormat="1" ht="12.75">
      <c r="A514" s="380" t="s">
        <v>3525</v>
      </c>
      <c r="B514" s="422">
        <v>524111</v>
      </c>
      <c r="C514" s="423" t="s">
        <v>19</v>
      </c>
      <c r="D514" s="422"/>
      <c r="E514" s="422"/>
      <c r="F514" s="425"/>
      <c r="G514" s="425">
        <f t="shared" ref="G514" si="212">G515</f>
        <v>54200000</v>
      </c>
    </row>
    <row r="515" spans="1:7" s="400" customFormat="1" ht="25.5">
      <c r="A515" s="380" t="s">
        <v>3526</v>
      </c>
      <c r="B515" s="426"/>
      <c r="C515" s="427" t="s">
        <v>3710</v>
      </c>
      <c r="D515" s="426">
        <v>10</v>
      </c>
      <c r="E515" s="426" t="s">
        <v>10</v>
      </c>
      <c r="F515" s="429">
        <v>5420000</v>
      </c>
      <c r="G515" s="429">
        <f>ROUNDDOWN(D515*F515,-3)</f>
        <v>54200000</v>
      </c>
    </row>
    <row r="516" spans="1:7">
      <c r="A516" s="380"/>
      <c r="B516" s="380"/>
      <c r="C516" s="432"/>
      <c r="D516" s="433"/>
      <c r="E516" s="433"/>
      <c r="F516" s="434"/>
      <c r="G516" s="434"/>
    </row>
    <row r="517" spans="1:7" ht="15">
      <c r="A517" s="380"/>
      <c r="B517" s="380"/>
      <c r="C517" s="432"/>
      <c r="D517" s="433"/>
      <c r="E517" s="384" t="s">
        <v>4866</v>
      </c>
      <c r="F517" s="434"/>
      <c r="G517" s="434"/>
    </row>
    <row r="518" spans="1:7" ht="15">
      <c r="A518" s="380"/>
      <c r="B518" s="380"/>
      <c r="C518" s="432"/>
      <c r="D518" s="433"/>
      <c r="E518" s="384" t="s">
        <v>4867</v>
      </c>
      <c r="F518" s="434"/>
      <c r="G518" s="434"/>
    </row>
    <row r="519" spans="1:7" ht="15">
      <c r="A519" s="380"/>
      <c r="B519" s="380"/>
      <c r="C519" s="432"/>
      <c r="D519" s="433"/>
      <c r="E519" s="384"/>
      <c r="F519" s="434"/>
      <c r="G519" s="434"/>
    </row>
    <row r="520" spans="1:7" ht="15">
      <c r="A520" s="380"/>
      <c r="B520" s="380"/>
      <c r="C520" s="432"/>
      <c r="D520" s="433"/>
      <c r="E520" s="384"/>
      <c r="F520" s="434"/>
      <c r="G520" s="434"/>
    </row>
    <row r="521" spans="1:7" ht="15">
      <c r="A521" s="380"/>
      <c r="B521" s="380"/>
      <c r="C521" s="432"/>
      <c r="D521" s="433"/>
      <c r="E521" s="384"/>
      <c r="F521" s="434"/>
      <c r="G521" s="434"/>
    </row>
    <row r="522" spans="1:7" ht="15">
      <c r="A522" s="380"/>
      <c r="B522" s="380"/>
      <c r="C522" s="432"/>
      <c r="D522" s="433"/>
      <c r="E522" s="384"/>
      <c r="F522" s="434"/>
      <c r="G522" s="434"/>
    </row>
    <row r="523" spans="1:7" ht="15">
      <c r="A523" s="380"/>
      <c r="B523" s="380"/>
      <c r="C523" s="432"/>
      <c r="D523" s="433"/>
      <c r="E523" s="384"/>
      <c r="F523" s="434"/>
      <c r="G523" s="434"/>
    </row>
    <row r="524" spans="1:7" ht="15.75">
      <c r="A524" s="380"/>
      <c r="B524" s="380"/>
      <c r="C524" s="432"/>
      <c r="D524" s="433"/>
      <c r="E524" s="387" t="s">
        <v>4868</v>
      </c>
      <c r="F524" s="434"/>
      <c r="G524" s="434"/>
    </row>
    <row r="525" spans="1:7" ht="15">
      <c r="A525" s="380"/>
      <c r="B525" s="380"/>
      <c r="C525" s="432"/>
      <c r="D525" s="433"/>
      <c r="E525" s="384" t="s">
        <v>4869</v>
      </c>
      <c r="F525" s="434"/>
      <c r="G525" s="434"/>
    </row>
    <row r="526" spans="1:7">
      <c r="A526" s="380"/>
      <c r="B526" s="380"/>
      <c r="C526" s="432"/>
      <c r="D526" s="433"/>
      <c r="E526" s="433"/>
      <c r="F526" s="434"/>
      <c r="G526" s="434"/>
    </row>
    <row r="527" spans="1:7">
      <c r="A527" s="380"/>
      <c r="B527" s="380"/>
      <c r="C527" s="432"/>
      <c r="D527" s="433"/>
      <c r="E527" s="433"/>
      <c r="F527" s="434"/>
      <c r="G527" s="434"/>
    </row>
    <row r="528" spans="1:7">
      <c r="A528" s="380"/>
      <c r="B528" s="380"/>
      <c r="C528" s="432"/>
      <c r="D528" s="433"/>
      <c r="E528" s="433"/>
      <c r="F528" s="434"/>
      <c r="G528" s="434"/>
    </row>
    <row r="529" spans="1:7">
      <c r="A529" s="380"/>
      <c r="B529" s="380"/>
      <c r="C529" s="432"/>
      <c r="D529" s="433"/>
      <c r="E529" s="433"/>
      <c r="F529" s="434"/>
      <c r="G529" s="434"/>
    </row>
    <row r="530" spans="1:7">
      <c r="A530" s="380"/>
      <c r="B530" s="380"/>
      <c r="C530" s="432"/>
      <c r="D530" s="433"/>
      <c r="E530" s="433"/>
      <c r="F530" s="434"/>
      <c r="G530" s="434"/>
    </row>
    <row r="531" spans="1:7">
      <c r="A531" s="380"/>
      <c r="B531" s="380"/>
      <c r="C531" s="432"/>
      <c r="D531" s="433"/>
      <c r="E531" s="433"/>
      <c r="F531" s="434"/>
      <c r="G531" s="434"/>
    </row>
    <row r="532" spans="1:7">
      <c r="A532" s="380"/>
      <c r="B532" s="380"/>
      <c r="C532" s="432"/>
      <c r="D532" s="433"/>
      <c r="E532" s="433"/>
      <c r="F532" s="434"/>
      <c r="G532" s="434"/>
    </row>
    <row r="533" spans="1:7">
      <c r="A533" s="380"/>
      <c r="B533" s="380"/>
      <c r="C533" s="432"/>
      <c r="D533" s="433"/>
      <c r="E533" s="433"/>
      <c r="F533" s="434"/>
      <c r="G533" s="434"/>
    </row>
    <row r="534" spans="1:7">
      <c r="A534" s="380"/>
      <c r="B534" s="380"/>
      <c r="C534" s="432"/>
      <c r="D534" s="433"/>
      <c r="E534" s="433"/>
      <c r="F534" s="434"/>
      <c r="G534" s="434"/>
    </row>
    <row r="535" spans="1:7">
      <c r="A535" s="380"/>
      <c r="B535" s="380"/>
      <c r="C535" s="432"/>
      <c r="D535" s="433"/>
      <c r="E535" s="433"/>
      <c r="F535" s="434"/>
      <c r="G535" s="434"/>
    </row>
    <row r="536" spans="1:7">
      <c r="A536" s="380"/>
      <c r="B536" s="380"/>
      <c r="C536" s="432"/>
      <c r="D536" s="433"/>
      <c r="E536" s="433"/>
      <c r="F536" s="434"/>
      <c r="G536" s="434"/>
    </row>
    <row r="537" spans="1:7">
      <c r="A537" s="380"/>
      <c r="B537" s="380"/>
      <c r="C537" s="432"/>
      <c r="D537" s="433"/>
      <c r="E537" s="433"/>
      <c r="F537" s="434"/>
      <c r="G537" s="434"/>
    </row>
    <row r="538" spans="1:7">
      <c r="A538" s="380"/>
      <c r="B538" s="380"/>
      <c r="C538" s="432"/>
      <c r="D538" s="433"/>
      <c r="E538" s="433"/>
      <c r="F538" s="434"/>
      <c r="G538" s="434"/>
    </row>
    <row r="539" spans="1:7">
      <c r="A539" s="380"/>
      <c r="B539" s="380"/>
      <c r="C539" s="432"/>
      <c r="D539" s="433"/>
      <c r="E539" s="433"/>
      <c r="F539" s="434"/>
      <c r="G539" s="434"/>
    </row>
    <row r="540" spans="1:7">
      <c r="A540" s="380"/>
      <c r="B540" s="380"/>
      <c r="C540" s="432"/>
      <c r="D540" s="433"/>
      <c r="E540" s="433"/>
      <c r="F540" s="434"/>
      <c r="G540" s="434"/>
    </row>
    <row r="541" spans="1:7">
      <c r="A541" s="380"/>
      <c r="B541" s="380"/>
      <c r="C541" s="432"/>
      <c r="D541" s="433"/>
      <c r="E541" s="433"/>
      <c r="F541" s="434"/>
      <c r="G541" s="434"/>
    </row>
    <row r="542" spans="1:7">
      <c r="A542" s="380"/>
      <c r="B542" s="380"/>
      <c r="C542" s="432"/>
      <c r="D542" s="433"/>
      <c r="E542" s="433"/>
      <c r="F542" s="434"/>
      <c r="G542" s="434"/>
    </row>
    <row r="543" spans="1:7">
      <c r="A543" s="380"/>
      <c r="B543" s="380"/>
      <c r="C543" s="432"/>
      <c r="D543" s="433"/>
      <c r="E543" s="433"/>
      <c r="F543" s="434"/>
      <c r="G543" s="434"/>
    </row>
    <row r="544" spans="1:7">
      <c r="A544" s="380"/>
      <c r="B544" s="380"/>
      <c r="C544" s="432"/>
      <c r="D544" s="433"/>
      <c r="E544" s="433"/>
      <c r="F544" s="434"/>
      <c r="G544" s="434"/>
    </row>
    <row r="545" spans="1:7">
      <c r="A545" s="380"/>
      <c r="B545" s="380"/>
      <c r="C545" s="432"/>
      <c r="D545" s="433"/>
      <c r="E545" s="433"/>
      <c r="F545" s="434"/>
      <c r="G545" s="434"/>
    </row>
    <row r="546" spans="1:7">
      <c r="A546" s="380"/>
      <c r="B546" s="380"/>
      <c r="C546" s="432"/>
      <c r="D546" s="433"/>
      <c r="E546" s="433"/>
      <c r="F546" s="434"/>
      <c r="G546" s="434"/>
    </row>
    <row r="547" spans="1:7">
      <c r="A547" s="380"/>
      <c r="B547" s="380"/>
      <c r="C547" s="432"/>
      <c r="D547" s="433"/>
      <c r="E547" s="433"/>
      <c r="F547" s="434"/>
      <c r="G547" s="434"/>
    </row>
    <row r="548" spans="1:7">
      <c r="A548" s="380"/>
      <c r="B548" s="380"/>
      <c r="C548" s="432"/>
      <c r="D548" s="433"/>
      <c r="E548" s="433"/>
      <c r="F548" s="434"/>
      <c r="G548" s="434"/>
    </row>
    <row r="549" spans="1:7">
      <c r="A549" s="380"/>
      <c r="B549" s="380"/>
      <c r="C549" s="432"/>
      <c r="D549" s="433"/>
      <c r="E549" s="433"/>
      <c r="F549" s="434"/>
      <c r="G549" s="434"/>
    </row>
    <row r="550" spans="1:7">
      <c r="A550" s="380"/>
      <c r="B550" s="380"/>
      <c r="C550" s="432"/>
      <c r="D550" s="433"/>
      <c r="E550" s="433"/>
      <c r="F550" s="434"/>
      <c r="G550" s="434"/>
    </row>
    <row r="551" spans="1:7">
      <c r="A551" s="380"/>
      <c r="B551" s="380"/>
      <c r="C551" s="432"/>
      <c r="D551" s="433"/>
      <c r="E551" s="433"/>
      <c r="F551" s="434"/>
      <c r="G551" s="434"/>
    </row>
    <row r="552" spans="1:7">
      <c r="A552" s="380"/>
      <c r="B552" s="380"/>
      <c r="C552" s="432"/>
      <c r="D552" s="433"/>
      <c r="E552" s="433"/>
      <c r="F552" s="434"/>
      <c r="G552" s="434"/>
    </row>
    <row r="553" spans="1:7">
      <c r="A553" s="380"/>
      <c r="B553" s="380"/>
      <c r="C553" s="432"/>
      <c r="D553" s="433"/>
      <c r="E553" s="433"/>
      <c r="F553" s="434"/>
      <c r="G553" s="434"/>
    </row>
    <row r="554" spans="1:7">
      <c r="A554" s="380"/>
      <c r="B554" s="380"/>
      <c r="C554" s="432"/>
      <c r="D554" s="433"/>
      <c r="E554" s="433"/>
      <c r="F554" s="434"/>
      <c r="G554" s="434"/>
    </row>
    <row r="555" spans="1:7">
      <c r="A555" s="380"/>
      <c r="B555" s="380"/>
      <c r="C555" s="432"/>
      <c r="D555" s="433"/>
      <c r="E555" s="433"/>
      <c r="F555" s="434"/>
      <c r="G555" s="434"/>
    </row>
    <row r="556" spans="1:7">
      <c r="A556" s="380"/>
      <c r="B556" s="380"/>
      <c r="C556" s="432"/>
      <c r="D556" s="433"/>
      <c r="E556" s="433"/>
      <c r="F556" s="434"/>
      <c r="G556" s="434"/>
    </row>
    <row r="557" spans="1:7">
      <c r="A557" s="380"/>
      <c r="B557" s="380"/>
      <c r="C557" s="432"/>
      <c r="D557" s="433"/>
      <c r="E557" s="433"/>
      <c r="F557" s="434"/>
      <c r="G557" s="434"/>
    </row>
    <row r="558" spans="1:7">
      <c r="A558" s="380"/>
      <c r="B558" s="380"/>
      <c r="C558" s="432"/>
      <c r="D558" s="433"/>
      <c r="E558" s="433"/>
      <c r="F558" s="434"/>
      <c r="G558" s="434"/>
    </row>
    <row r="559" spans="1:7">
      <c r="A559" s="380"/>
      <c r="B559" s="380"/>
      <c r="C559" s="432"/>
      <c r="D559" s="433"/>
      <c r="E559" s="433"/>
      <c r="F559" s="434"/>
      <c r="G559" s="434"/>
    </row>
    <row r="560" spans="1:7">
      <c r="A560" s="380"/>
      <c r="B560" s="380"/>
      <c r="C560" s="432"/>
      <c r="D560" s="433"/>
      <c r="E560" s="433"/>
      <c r="F560" s="434"/>
      <c r="G560" s="434"/>
    </row>
    <row r="561" spans="1:7">
      <c r="A561" s="380"/>
      <c r="B561" s="380"/>
      <c r="C561" s="432"/>
      <c r="D561" s="433"/>
      <c r="E561" s="433"/>
      <c r="F561" s="434"/>
      <c r="G561" s="434"/>
    </row>
    <row r="562" spans="1:7">
      <c r="A562" s="380"/>
      <c r="B562" s="380"/>
      <c r="C562" s="432"/>
      <c r="D562" s="433"/>
      <c r="E562" s="433"/>
      <c r="F562" s="434"/>
      <c r="G562" s="434"/>
    </row>
    <row r="563" spans="1:7">
      <c r="A563" s="380"/>
      <c r="B563" s="380"/>
      <c r="C563" s="432"/>
      <c r="D563" s="433"/>
      <c r="E563" s="433"/>
      <c r="F563" s="434"/>
      <c r="G563" s="434"/>
    </row>
    <row r="564" spans="1:7">
      <c r="A564" s="380"/>
      <c r="B564" s="380"/>
      <c r="C564" s="432"/>
      <c r="D564" s="433"/>
      <c r="E564" s="433"/>
      <c r="F564" s="434"/>
      <c r="G564" s="434"/>
    </row>
    <row r="565" spans="1:7">
      <c r="A565" s="380"/>
      <c r="B565" s="380"/>
      <c r="C565" s="432"/>
      <c r="D565" s="433"/>
      <c r="E565" s="433"/>
      <c r="F565" s="434"/>
      <c r="G565" s="434"/>
    </row>
    <row r="566" spans="1:7">
      <c r="A566" s="380"/>
      <c r="B566" s="380"/>
      <c r="C566" s="432"/>
      <c r="D566" s="433"/>
      <c r="E566" s="433"/>
      <c r="F566" s="434"/>
      <c r="G566" s="434"/>
    </row>
    <row r="567" spans="1:7">
      <c r="A567" s="380"/>
      <c r="B567" s="380"/>
      <c r="C567" s="432"/>
      <c r="D567" s="433"/>
      <c r="E567" s="433"/>
      <c r="F567" s="434"/>
      <c r="G567" s="434"/>
    </row>
    <row r="568" spans="1:7">
      <c r="A568" s="380"/>
      <c r="B568" s="380"/>
      <c r="C568" s="432"/>
      <c r="D568" s="433"/>
      <c r="E568" s="433"/>
      <c r="F568" s="434"/>
      <c r="G568" s="434"/>
    </row>
    <row r="569" spans="1:7">
      <c r="A569" s="380"/>
      <c r="B569" s="380"/>
      <c r="C569" s="432"/>
      <c r="D569" s="433"/>
      <c r="E569" s="433"/>
      <c r="F569" s="434"/>
      <c r="G569" s="434"/>
    </row>
    <row r="570" spans="1:7">
      <c r="A570" s="380"/>
      <c r="B570" s="380"/>
      <c r="C570" s="432"/>
      <c r="D570" s="433"/>
      <c r="E570" s="433"/>
      <c r="F570" s="434"/>
      <c r="G570" s="434"/>
    </row>
    <row r="571" spans="1:7">
      <c r="A571" s="380"/>
      <c r="B571" s="380"/>
      <c r="C571" s="432"/>
      <c r="D571" s="433"/>
      <c r="E571" s="433"/>
      <c r="F571" s="434"/>
      <c r="G571" s="434"/>
    </row>
    <row r="572" spans="1:7">
      <c r="A572" s="380"/>
      <c r="B572" s="380"/>
      <c r="C572" s="432"/>
      <c r="D572" s="433"/>
      <c r="E572" s="433"/>
      <c r="F572" s="434"/>
      <c r="G572" s="434"/>
    </row>
    <row r="573" spans="1:7">
      <c r="A573" s="380"/>
      <c r="B573" s="380"/>
      <c r="C573" s="432"/>
      <c r="D573" s="433"/>
      <c r="E573" s="433"/>
      <c r="F573" s="434"/>
      <c r="G573" s="434"/>
    </row>
    <row r="574" spans="1:7">
      <c r="A574" s="380"/>
      <c r="B574" s="380"/>
      <c r="C574" s="432"/>
      <c r="D574" s="433"/>
      <c r="E574" s="433"/>
      <c r="F574" s="434"/>
      <c r="G574" s="434"/>
    </row>
    <row r="575" spans="1:7">
      <c r="A575" s="380"/>
      <c r="B575" s="380"/>
      <c r="C575" s="432"/>
      <c r="D575" s="433"/>
      <c r="E575" s="433"/>
      <c r="F575" s="434"/>
      <c r="G575" s="434"/>
    </row>
    <row r="576" spans="1:7">
      <c r="A576" s="380"/>
      <c r="B576" s="380"/>
      <c r="C576" s="432"/>
      <c r="D576" s="433"/>
      <c r="E576" s="433"/>
      <c r="F576" s="434"/>
      <c r="G576" s="434"/>
    </row>
    <row r="577" spans="1:7">
      <c r="A577" s="380"/>
      <c r="B577" s="380"/>
      <c r="C577" s="432"/>
      <c r="D577" s="433"/>
      <c r="E577" s="433"/>
      <c r="F577" s="434"/>
      <c r="G577" s="434"/>
    </row>
    <row r="578" spans="1:7">
      <c r="A578" s="380"/>
      <c r="B578" s="380"/>
      <c r="C578" s="432"/>
      <c r="D578" s="433"/>
      <c r="E578" s="433"/>
      <c r="F578" s="434"/>
      <c r="G578" s="434"/>
    </row>
    <row r="579" spans="1:7">
      <c r="A579" s="380"/>
      <c r="B579" s="380"/>
      <c r="C579" s="432"/>
      <c r="D579" s="433"/>
      <c r="E579" s="433"/>
      <c r="F579" s="434"/>
      <c r="G579" s="434"/>
    </row>
    <row r="580" spans="1:7">
      <c r="A580" s="380"/>
      <c r="B580" s="380"/>
      <c r="C580" s="432"/>
      <c r="D580" s="433"/>
      <c r="E580" s="433"/>
      <c r="F580" s="434"/>
      <c r="G580" s="434"/>
    </row>
    <row r="581" spans="1:7">
      <c r="A581" s="380"/>
      <c r="B581" s="380"/>
      <c r="C581" s="432"/>
      <c r="D581" s="433"/>
      <c r="E581" s="433"/>
      <c r="F581" s="434"/>
      <c r="G581" s="434"/>
    </row>
    <row r="582" spans="1:7">
      <c r="A582" s="380"/>
      <c r="B582" s="380"/>
      <c r="C582" s="432"/>
      <c r="D582" s="433"/>
      <c r="E582" s="433"/>
      <c r="F582" s="434"/>
      <c r="G582" s="434"/>
    </row>
    <row r="583" spans="1:7">
      <c r="A583" s="380"/>
      <c r="B583" s="380"/>
      <c r="C583" s="432"/>
      <c r="D583" s="433"/>
      <c r="E583" s="433"/>
      <c r="F583" s="434"/>
      <c r="G583" s="434"/>
    </row>
    <row r="584" spans="1:7">
      <c r="A584" s="380"/>
      <c r="B584" s="380"/>
      <c r="C584" s="432"/>
      <c r="D584" s="433"/>
      <c r="E584" s="433"/>
      <c r="F584" s="434"/>
      <c r="G584" s="434"/>
    </row>
    <row r="585" spans="1:7">
      <c r="A585" s="380"/>
      <c r="B585" s="380"/>
      <c r="C585" s="432"/>
      <c r="D585" s="433"/>
      <c r="E585" s="433"/>
      <c r="F585" s="434"/>
      <c r="G585" s="434"/>
    </row>
    <row r="586" spans="1:7">
      <c r="A586" s="380"/>
      <c r="B586" s="380"/>
      <c r="C586" s="432"/>
      <c r="D586" s="433"/>
      <c r="E586" s="433"/>
      <c r="F586" s="434"/>
      <c r="G586" s="434"/>
    </row>
    <row r="587" spans="1:7">
      <c r="A587" s="380"/>
      <c r="B587" s="380"/>
      <c r="C587" s="432"/>
      <c r="D587" s="433"/>
      <c r="E587" s="433"/>
      <c r="F587" s="434"/>
      <c r="G587" s="434"/>
    </row>
    <row r="588" spans="1:7">
      <c r="A588" s="380"/>
      <c r="B588" s="380"/>
      <c r="C588" s="432"/>
      <c r="D588" s="433"/>
      <c r="E588" s="433"/>
      <c r="F588" s="434"/>
      <c r="G588" s="434"/>
    </row>
    <row r="589" spans="1:7">
      <c r="A589" s="380"/>
      <c r="B589" s="380"/>
      <c r="C589" s="432"/>
      <c r="D589" s="433"/>
      <c r="E589" s="433"/>
      <c r="F589" s="434"/>
      <c r="G589" s="434"/>
    </row>
    <row r="590" spans="1:7">
      <c r="A590" s="380"/>
      <c r="B590" s="380"/>
      <c r="C590" s="432"/>
      <c r="D590" s="433"/>
      <c r="E590" s="433"/>
      <c r="F590" s="434"/>
      <c r="G590" s="434"/>
    </row>
    <row r="591" spans="1:7">
      <c r="A591" s="380"/>
      <c r="B591" s="380"/>
      <c r="C591" s="432"/>
      <c r="D591" s="433"/>
      <c r="E591" s="433"/>
      <c r="F591" s="434"/>
      <c r="G591" s="434"/>
    </row>
    <row r="592" spans="1:7">
      <c r="A592" s="380"/>
      <c r="B592" s="380"/>
      <c r="C592" s="432"/>
      <c r="D592" s="433"/>
      <c r="E592" s="433"/>
      <c r="F592" s="434"/>
      <c r="G592" s="434"/>
    </row>
    <row r="593" spans="1:7">
      <c r="A593" s="380"/>
      <c r="B593" s="380"/>
      <c r="C593" s="432"/>
      <c r="D593" s="433"/>
      <c r="E593" s="433"/>
      <c r="F593" s="434"/>
      <c r="G593" s="434"/>
    </row>
    <row r="594" spans="1:7">
      <c r="A594" s="380"/>
      <c r="B594" s="380"/>
      <c r="C594" s="432"/>
      <c r="D594" s="433"/>
      <c r="E594" s="433"/>
      <c r="F594" s="434"/>
      <c r="G594" s="434"/>
    </row>
    <row r="595" spans="1:7">
      <c r="A595" s="380"/>
      <c r="B595" s="380"/>
      <c r="C595" s="432"/>
      <c r="D595" s="433"/>
      <c r="E595" s="433"/>
      <c r="F595" s="434"/>
      <c r="G595" s="434"/>
    </row>
    <row r="596" spans="1:7">
      <c r="A596" s="380"/>
      <c r="B596" s="380"/>
      <c r="C596" s="432"/>
      <c r="D596" s="433"/>
      <c r="E596" s="433"/>
      <c r="F596" s="434"/>
      <c r="G596" s="434"/>
    </row>
    <row r="597" spans="1:7">
      <c r="A597" s="380"/>
      <c r="B597" s="380"/>
      <c r="C597" s="432"/>
      <c r="D597" s="433"/>
      <c r="E597" s="433"/>
      <c r="F597" s="434"/>
      <c r="G597" s="434"/>
    </row>
    <row r="598" spans="1:7">
      <c r="A598" s="380"/>
      <c r="B598" s="380"/>
      <c r="C598" s="432"/>
      <c r="D598" s="433"/>
      <c r="E598" s="433"/>
      <c r="F598" s="434"/>
      <c r="G598" s="434"/>
    </row>
    <row r="599" spans="1:7">
      <c r="A599" s="380"/>
      <c r="B599" s="380"/>
      <c r="C599" s="432"/>
      <c r="D599" s="433"/>
      <c r="E599" s="433"/>
      <c r="F599" s="434"/>
      <c r="G599" s="434"/>
    </row>
    <row r="600" spans="1:7">
      <c r="A600" s="380"/>
      <c r="B600" s="380"/>
      <c r="C600" s="432"/>
      <c r="D600" s="433"/>
      <c r="E600" s="433"/>
      <c r="F600" s="434"/>
      <c r="G600" s="434"/>
    </row>
    <row r="601" spans="1:7">
      <c r="A601" s="380"/>
      <c r="B601" s="380"/>
      <c r="C601" s="432"/>
      <c r="D601" s="433"/>
      <c r="E601" s="433"/>
      <c r="F601" s="434"/>
      <c r="G601" s="434"/>
    </row>
    <row r="602" spans="1:7">
      <c r="A602" s="380"/>
      <c r="B602" s="380"/>
      <c r="C602" s="432"/>
      <c r="D602" s="433"/>
      <c r="E602" s="433"/>
      <c r="F602" s="434"/>
      <c r="G602" s="434"/>
    </row>
    <row r="603" spans="1:7">
      <c r="A603" s="380"/>
      <c r="B603" s="380"/>
      <c r="C603" s="432"/>
      <c r="D603" s="433"/>
      <c r="E603" s="433"/>
      <c r="F603" s="434"/>
      <c r="G603" s="434"/>
    </row>
    <row r="604" spans="1:7">
      <c r="A604" s="380"/>
      <c r="B604" s="380"/>
      <c r="C604" s="432"/>
      <c r="D604" s="433"/>
      <c r="E604" s="433"/>
      <c r="F604" s="434"/>
      <c r="G604" s="434"/>
    </row>
    <row r="605" spans="1:7">
      <c r="A605" s="380"/>
      <c r="B605" s="380"/>
      <c r="C605" s="432"/>
      <c r="D605" s="433"/>
      <c r="E605" s="433"/>
      <c r="F605" s="434"/>
      <c r="G605" s="434"/>
    </row>
    <row r="606" spans="1:7">
      <c r="A606" s="380"/>
      <c r="B606" s="380"/>
      <c r="C606" s="432"/>
      <c r="D606" s="433"/>
      <c r="E606" s="433"/>
      <c r="F606" s="434"/>
      <c r="G606" s="434"/>
    </row>
    <row r="607" spans="1:7">
      <c r="A607" s="380"/>
      <c r="B607" s="380"/>
      <c r="C607" s="432"/>
      <c r="D607" s="433"/>
      <c r="E607" s="433"/>
      <c r="F607" s="434"/>
      <c r="G607" s="434"/>
    </row>
    <row r="608" spans="1:7">
      <c r="A608" s="380"/>
      <c r="B608" s="380"/>
      <c r="C608" s="432"/>
      <c r="D608" s="433"/>
      <c r="E608" s="433"/>
      <c r="F608" s="434"/>
      <c r="G608" s="434"/>
    </row>
    <row r="609" spans="1:7">
      <c r="A609" s="380"/>
      <c r="B609" s="380"/>
      <c r="C609" s="432"/>
      <c r="D609" s="433"/>
      <c r="E609" s="433"/>
      <c r="F609" s="434"/>
      <c r="G609" s="434"/>
    </row>
    <row r="610" spans="1:7">
      <c r="A610" s="380"/>
      <c r="B610" s="380"/>
      <c r="C610" s="432"/>
      <c r="D610" s="433"/>
      <c r="E610" s="433"/>
      <c r="F610" s="434"/>
      <c r="G610" s="434"/>
    </row>
    <row r="611" spans="1:7">
      <c r="A611" s="380"/>
      <c r="B611" s="380"/>
      <c r="C611" s="432"/>
      <c r="D611" s="433"/>
      <c r="E611" s="433"/>
      <c r="F611" s="434"/>
      <c r="G611" s="434"/>
    </row>
    <row r="612" spans="1:7">
      <c r="A612" s="380"/>
      <c r="B612" s="380"/>
      <c r="C612" s="432"/>
      <c r="D612" s="433"/>
      <c r="E612" s="433"/>
      <c r="F612" s="434"/>
      <c r="G612" s="434"/>
    </row>
    <row r="613" spans="1:7">
      <c r="A613" s="380"/>
      <c r="B613" s="380"/>
      <c r="C613" s="432"/>
      <c r="D613" s="433"/>
      <c r="E613" s="433"/>
      <c r="F613" s="434"/>
      <c r="G613" s="434"/>
    </row>
    <row r="614" spans="1:7">
      <c r="A614" s="380"/>
      <c r="B614" s="380"/>
      <c r="C614" s="432"/>
      <c r="D614" s="433"/>
      <c r="E614" s="433"/>
      <c r="F614" s="434"/>
      <c r="G614" s="434"/>
    </row>
    <row r="615" spans="1:7">
      <c r="A615" s="380"/>
      <c r="B615" s="380"/>
      <c r="C615" s="432"/>
      <c r="D615" s="433"/>
      <c r="E615" s="433"/>
      <c r="F615" s="434"/>
      <c r="G615" s="434"/>
    </row>
    <row r="616" spans="1:7">
      <c r="A616" s="380"/>
      <c r="B616" s="380"/>
      <c r="C616" s="432"/>
      <c r="D616" s="433"/>
      <c r="E616" s="433"/>
      <c r="F616" s="434"/>
      <c r="G616" s="434"/>
    </row>
    <row r="617" spans="1:7">
      <c r="A617" s="380"/>
      <c r="B617" s="380"/>
      <c r="C617" s="432"/>
      <c r="D617" s="433"/>
      <c r="E617" s="433"/>
      <c r="F617" s="434"/>
      <c r="G617" s="434"/>
    </row>
    <row r="618" spans="1:7">
      <c r="A618" s="380"/>
      <c r="B618" s="380"/>
      <c r="C618" s="432"/>
      <c r="D618" s="433"/>
      <c r="E618" s="433"/>
      <c r="F618" s="434"/>
      <c r="G618" s="434"/>
    </row>
    <row r="619" spans="1:7">
      <c r="A619" s="380"/>
      <c r="B619" s="380"/>
      <c r="C619" s="432"/>
      <c r="D619" s="433"/>
      <c r="E619" s="433"/>
      <c r="F619" s="434"/>
      <c r="G619" s="434"/>
    </row>
    <row r="620" spans="1:7">
      <c r="A620" s="380"/>
      <c r="B620" s="380"/>
      <c r="C620" s="432"/>
      <c r="D620" s="433"/>
      <c r="E620" s="433"/>
      <c r="F620" s="434"/>
      <c r="G620" s="434"/>
    </row>
    <row r="621" spans="1:7">
      <c r="A621" s="380"/>
      <c r="B621" s="380"/>
      <c r="C621" s="432"/>
      <c r="D621" s="433"/>
      <c r="E621" s="433"/>
      <c r="F621" s="434"/>
      <c r="G621" s="434"/>
    </row>
    <row r="622" spans="1:7">
      <c r="A622" s="380"/>
      <c r="B622" s="380"/>
      <c r="C622" s="432"/>
      <c r="D622" s="433"/>
      <c r="E622" s="433"/>
      <c r="F622" s="434"/>
      <c r="G622" s="434"/>
    </row>
    <row r="623" spans="1:7">
      <c r="A623" s="380"/>
      <c r="B623" s="380"/>
      <c r="C623" s="432"/>
      <c r="D623" s="433"/>
      <c r="E623" s="433"/>
      <c r="F623" s="434"/>
      <c r="G623" s="434"/>
    </row>
    <row r="624" spans="1:7">
      <c r="A624" s="380"/>
      <c r="B624" s="380"/>
      <c r="C624" s="432"/>
      <c r="D624" s="433"/>
      <c r="E624" s="433"/>
      <c r="F624" s="434"/>
      <c r="G624" s="434"/>
    </row>
    <row r="625" spans="1:7">
      <c r="A625" s="380"/>
      <c r="B625" s="380"/>
      <c r="C625" s="432"/>
      <c r="D625" s="433"/>
      <c r="E625" s="433"/>
      <c r="F625" s="434"/>
      <c r="G625" s="434"/>
    </row>
    <row r="626" spans="1:7">
      <c r="A626" s="380"/>
      <c r="B626" s="380"/>
      <c r="C626" s="432"/>
      <c r="D626" s="433"/>
      <c r="E626" s="433"/>
      <c r="F626" s="434"/>
      <c r="G626" s="434"/>
    </row>
    <row r="627" spans="1:7">
      <c r="A627" s="380"/>
      <c r="B627" s="380"/>
      <c r="C627" s="432"/>
      <c r="D627" s="433"/>
      <c r="E627" s="433"/>
      <c r="F627" s="434"/>
      <c r="G627" s="434"/>
    </row>
    <row r="628" spans="1:7">
      <c r="A628" s="380"/>
      <c r="B628" s="380"/>
      <c r="C628" s="432"/>
      <c r="D628" s="433"/>
      <c r="E628" s="433"/>
      <c r="F628" s="434"/>
      <c r="G628" s="434"/>
    </row>
    <row r="629" spans="1:7">
      <c r="A629" s="380"/>
      <c r="B629" s="380"/>
      <c r="C629" s="432"/>
      <c r="D629" s="433"/>
      <c r="E629" s="433"/>
      <c r="F629" s="434"/>
      <c r="G629" s="434"/>
    </row>
    <row r="630" spans="1:7">
      <c r="A630" s="380"/>
      <c r="B630" s="380"/>
      <c r="C630" s="432"/>
      <c r="D630" s="433"/>
      <c r="E630" s="433"/>
      <c r="F630" s="434"/>
      <c r="G630" s="434"/>
    </row>
    <row r="631" spans="1:7">
      <c r="A631" s="380"/>
      <c r="B631" s="380"/>
      <c r="C631" s="432"/>
      <c r="D631" s="433"/>
      <c r="E631" s="433"/>
      <c r="F631" s="434"/>
      <c r="G631" s="434"/>
    </row>
    <row r="632" spans="1:7">
      <c r="A632" s="380"/>
      <c r="B632" s="380"/>
      <c r="C632" s="432"/>
      <c r="D632" s="433"/>
      <c r="E632" s="433"/>
      <c r="F632" s="434"/>
      <c r="G632" s="434"/>
    </row>
    <row r="633" spans="1:7">
      <c r="A633" s="380"/>
      <c r="B633" s="380"/>
      <c r="C633" s="432"/>
      <c r="D633" s="433"/>
      <c r="E633" s="433"/>
      <c r="F633" s="434"/>
      <c r="G633" s="434"/>
    </row>
    <row r="634" spans="1:7">
      <c r="A634" s="380"/>
      <c r="B634" s="380"/>
      <c r="C634" s="432"/>
      <c r="D634" s="433"/>
      <c r="E634" s="433"/>
      <c r="F634" s="434"/>
      <c r="G634" s="434"/>
    </row>
    <row r="635" spans="1:7">
      <c r="A635" s="380"/>
      <c r="B635" s="380"/>
      <c r="C635" s="432"/>
      <c r="D635" s="433"/>
      <c r="E635" s="433"/>
      <c r="F635" s="434"/>
      <c r="G635" s="434"/>
    </row>
    <row r="636" spans="1:7">
      <c r="A636" s="380"/>
      <c r="B636" s="380"/>
      <c r="C636" s="432"/>
      <c r="D636" s="433"/>
      <c r="E636" s="433"/>
      <c r="F636" s="434"/>
      <c r="G636" s="434"/>
    </row>
    <row r="637" spans="1:7">
      <c r="A637" s="380"/>
      <c r="B637" s="380"/>
      <c r="C637" s="432"/>
      <c r="D637" s="433"/>
      <c r="E637" s="433"/>
      <c r="F637" s="434"/>
      <c r="G637" s="434"/>
    </row>
    <row r="638" spans="1:7">
      <c r="A638" s="380"/>
      <c r="B638" s="380"/>
      <c r="C638" s="432"/>
      <c r="D638" s="433"/>
      <c r="E638" s="433"/>
      <c r="F638" s="434"/>
      <c r="G638" s="434"/>
    </row>
    <row r="639" spans="1:7">
      <c r="A639" s="380"/>
      <c r="B639" s="380"/>
      <c r="C639" s="432"/>
      <c r="D639" s="433"/>
      <c r="E639" s="433"/>
      <c r="F639" s="434"/>
      <c r="G639" s="434"/>
    </row>
    <row r="640" spans="1:7">
      <c r="A640" s="380"/>
      <c r="B640" s="380"/>
      <c r="C640" s="432"/>
      <c r="D640" s="433"/>
      <c r="E640" s="433"/>
      <c r="F640" s="434"/>
      <c r="G640" s="434"/>
    </row>
    <row r="641" spans="1:7">
      <c r="A641" s="380"/>
      <c r="B641" s="380"/>
      <c r="C641" s="432"/>
      <c r="D641" s="433"/>
      <c r="E641" s="433"/>
      <c r="F641" s="434"/>
      <c r="G641" s="434"/>
    </row>
    <row r="642" spans="1:7">
      <c r="A642" s="380"/>
      <c r="B642" s="380"/>
      <c r="C642" s="432"/>
      <c r="D642" s="433"/>
      <c r="E642" s="433"/>
      <c r="F642" s="434"/>
      <c r="G642" s="434"/>
    </row>
    <row r="643" spans="1:7">
      <c r="A643" s="380"/>
      <c r="B643" s="380"/>
      <c r="C643" s="432"/>
      <c r="D643" s="433"/>
      <c r="E643" s="433"/>
      <c r="F643" s="434"/>
      <c r="G643" s="434"/>
    </row>
    <row r="644" spans="1:7">
      <c r="A644" s="380"/>
      <c r="B644" s="380"/>
      <c r="C644" s="432"/>
      <c r="D644" s="433"/>
      <c r="E644" s="433"/>
      <c r="F644" s="434"/>
      <c r="G644" s="434"/>
    </row>
    <row r="645" spans="1:7">
      <c r="A645" s="380"/>
      <c r="B645" s="380"/>
      <c r="C645" s="432"/>
      <c r="D645" s="433"/>
      <c r="E645" s="433"/>
      <c r="F645" s="434"/>
      <c r="G645" s="434"/>
    </row>
    <row r="646" spans="1:7">
      <c r="A646" s="380"/>
      <c r="B646" s="380"/>
      <c r="C646" s="432"/>
      <c r="D646" s="433"/>
      <c r="E646" s="433"/>
      <c r="F646" s="434"/>
      <c r="G646" s="434"/>
    </row>
    <row r="647" spans="1:7">
      <c r="A647" s="380"/>
      <c r="B647" s="380"/>
      <c r="C647" s="432"/>
      <c r="D647" s="433"/>
      <c r="E647" s="433"/>
      <c r="F647" s="434"/>
      <c r="G647" s="434"/>
    </row>
    <row r="648" spans="1:7">
      <c r="A648" s="380"/>
      <c r="B648" s="380"/>
      <c r="C648" s="432"/>
      <c r="D648" s="433"/>
      <c r="E648" s="433"/>
      <c r="F648" s="434"/>
      <c r="G648" s="434"/>
    </row>
    <row r="649" spans="1:7">
      <c r="A649" s="380"/>
      <c r="B649" s="380"/>
      <c r="C649" s="432"/>
      <c r="D649" s="433"/>
      <c r="E649" s="433"/>
      <c r="F649" s="434"/>
      <c r="G649" s="434"/>
    </row>
    <row r="650" spans="1:7">
      <c r="A650" s="380"/>
      <c r="B650" s="380"/>
      <c r="C650" s="432"/>
      <c r="D650" s="433"/>
      <c r="E650" s="433"/>
      <c r="F650" s="434"/>
      <c r="G650" s="434"/>
    </row>
    <row r="651" spans="1:7">
      <c r="A651" s="380"/>
      <c r="B651" s="380"/>
      <c r="C651" s="432"/>
      <c r="D651" s="433"/>
      <c r="E651" s="433"/>
      <c r="F651" s="434"/>
      <c r="G651" s="434"/>
    </row>
    <row r="652" spans="1:7">
      <c r="A652" s="380"/>
      <c r="B652" s="380"/>
      <c r="C652" s="432"/>
      <c r="D652" s="433"/>
      <c r="E652" s="433"/>
      <c r="F652" s="434"/>
      <c r="G652" s="434"/>
    </row>
    <row r="653" spans="1:7">
      <c r="A653" s="380"/>
      <c r="B653" s="380"/>
      <c r="C653" s="432"/>
      <c r="D653" s="433"/>
      <c r="E653" s="433"/>
      <c r="F653" s="434"/>
      <c r="G653" s="434"/>
    </row>
    <row r="654" spans="1:7">
      <c r="A654" s="380"/>
      <c r="B654" s="380"/>
      <c r="C654" s="432"/>
      <c r="D654" s="433"/>
      <c r="E654" s="433"/>
      <c r="F654" s="434"/>
      <c r="G654" s="434"/>
    </row>
    <row r="655" spans="1:7">
      <c r="A655" s="380"/>
      <c r="B655" s="380"/>
      <c r="C655" s="432"/>
      <c r="D655" s="433"/>
      <c r="E655" s="433"/>
      <c r="F655" s="434"/>
      <c r="G655" s="434"/>
    </row>
    <row r="656" spans="1:7">
      <c r="A656" s="380"/>
      <c r="B656" s="380"/>
      <c r="C656" s="432"/>
      <c r="D656" s="433"/>
      <c r="E656" s="433"/>
      <c r="F656" s="434"/>
      <c r="G656" s="434"/>
    </row>
    <row r="657" spans="1:7">
      <c r="A657" s="380"/>
      <c r="B657" s="380"/>
      <c r="C657" s="432"/>
      <c r="D657" s="433"/>
      <c r="E657" s="433"/>
      <c r="F657" s="434"/>
      <c r="G657" s="434"/>
    </row>
    <row r="658" spans="1:7">
      <c r="A658" s="380"/>
      <c r="B658" s="380"/>
      <c r="C658" s="432"/>
      <c r="D658" s="433"/>
      <c r="E658" s="433"/>
      <c r="F658" s="434"/>
      <c r="G658" s="434"/>
    </row>
    <row r="659" spans="1:7">
      <c r="A659" s="380"/>
      <c r="B659" s="380"/>
      <c r="C659" s="432"/>
      <c r="D659" s="433"/>
      <c r="E659" s="433"/>
      <c r="F659" s="434"/>
      <c r="G659" s="434"/>
    </row>
    <row r="660" spans="1:7">
      <c r="A660" s="380"/>
      <c r="B660" s="380"/>
      <c r="C660" s="432"/>
      <c r="D660" s="433"/>
      <c r="E660" s="433"/>
      <c r="F660" s="434"/>
      <c r="G660" s="434"/>
    </row>
    <row r="661" spans="1:7">
      <c r="A661" s="380"/>
      <c r="B661" s="380"/>
      <c r="C661" s="432"/>
      <c r="D661" s="433"/>
      <c r="E661" s="433"/>
      <c r="F661" s="434"/>
      <c r="G661" s="434"/>
    </row>
    <row r="662" spans="1:7">
      <c r="A662" s="380"/>
      <c r="B662" s="380"/>
      <c r="C662" s="432"/>
      <c r="D662" s="433"/>
      <c r="E662" s="433"/>
      <c r="F662" s="434"/>
      <c r="G662" s="434"/>
    </row>
    <row r="663" spans="1:7">
      <c r="A663" s="380"/>
      <c r="B663" s="380"/>
      <c r="C663" s="432"/>
      <c r="D663" s="433"/>
      <c r="E663" s="433"/>
      <c r="F663" s="434"/>
      <c r="G663" s="434"/>
    </row>
    <row r="664" spans="1:7">
      <c r="A664" s="380"/>
      <c r="B664" s="380"/>
      <c r="C664" s="432"/>
      <c r="D664" s="433"/>
      <c r="E664" s="433"/>
      <c r="F664" s="434"/>
      <c r="G664" s="434"/>
    </row>
    <row r="665" spans="1:7">
      <c r="A665" s="380"/>
      <c r="B665" s="380"/>
      <c r="C665" s="432"/>
      <c r="D665" s="433"/>
      <c r="E665" s="433"/>
      <c r="F665" s="434"/>
      <c r="G665" s="434"/>
    </row>
    <row r="666" spans="1:7">
      <c r="A666" s="380"/>
      <c r="B666" s="380"/>
      <c r="C666" s="432"/>
      <c r="D666" s="433"/>
      <c r="E666" s="433"/>
      <c r="F666" s="434"/>
      <c r="G666" s="434"/>
    </row>
    <row r="667" spans="1:7">
      <c r="A667" s="380"/>
      <c r="B667" s="380"/>
      <c r="C667" s="432"/>
      <c r="D667" s="433"/>
      <c r="E667" s="433"/>
      <c r="F667" s="434"/>
      <c r="G667" s="434"/>
    </row>
    <row r="668" spans="1:7">
      <c r="A668" s="380"/>
      <c r="B668" s="380"/>
      <c r="C668" s="432"/>
      <c r="D668" s="433"/>
      <c r="E668" s="433"/>
      <c r="F668" s="434"/>
      <c r="G668" s="434"/>
    </row>
    <row r="669" spans="1:7">
      <c r="A669" s="380"/>
      <c r="B669" s="380"/>
      <c r="C669" s="432"/>
      <c r="D669" s="433"/>
      <c r="E669" s="433"/>
      <c r="F669" s="434"/>
      <c r="G669" s="434"/>
    </row>
    <row r="670" spans="1:7">
      <c r="A670" s="380"/>
      <c r="B670" s="380"/>
      <c r="C670" s="432"/>
      <c r="D670" s="433"/>
      <c r="E670" s="433"/>
      <c r="F670" s="434"/>
      <c r="G670" s="434"/>
    </row>
    <row r="671" spans="1:7">
      <c r="A671" s="380"/>
      <c r="B671" s="380"/>
      <c r="C671" s="432"/>
      <c r="D671" s="433"/>
      <c r="E671" s="433"/>
      <c r="F671" s="434"/>
      <c r="G671" s="434"/>
    </row>
    <row r="672" spans="1:7">
      <c r="A672" s="380"/>
      <c r="B672" s="380"/>
      <c r="C672" s="432"/>
      <c r="D672" s="433"/>
      <c r="E672" s="433"/>
      <c r="F672" s="434"/>
      <c r="G672" s="434"/>
    </row>
    <row r="673" spans="1:7">
      <c r="A673" s="380"/>
      <c r="B673" s="380"/>
      <c r="C673" s="432"/>
      <c r="D673" s="433"/>
      <c r="E673" s="433"/>
      <c r="F673" s="434"/>
      <c r="G673" s="434"/>
    </row>
    <row r="674" spans="1:7">
      <c r="A674" s="380"/>
      <c r="B674" s="380"/>
      <c r="C674" s="432"/>
      <c r="D674" s="433"/>
      <c r="E674" s="433"/>
      <c r="F674" s="434"/>
      <c r="G674" s="434"/>
    </row>
    <row r="675" spans="1:7">
      <c r="A675" s="380"/>
      <c r="B675" s="380"/>
      <c r="C675" s="432"/>
      <c r="D675" s="433"/>
      <c r="E675" s="433"/>
      <c r="F675" s="434"/>
      <c r="G675" s="434"/>
    </row>
    <row r="676" spans="1:7">
      <c r="A676" s="380"/>
      <c r="B676" s="380"/>
      <c r="C676" s="432"/>
      <c r="D676" s="433"/>
      <c r="E676" s="433"/>
      <c r="F676" s="434"/>
      <c r="G676" s="434"/>
    </row>
    <row r="677" spans="1:7">
      <c r="A677" s="380"/>
      <c r="B677" s="380"/>
      <c r="C677" s="432"/>
      <c r="D677" s="433"/>
      <c r="E677" s="433"/>
      <c r="F677" s="434"/>
      <c r="G677" s="434"/>
    </row>
    <row r="678" spans="1:7">
      <c r="A678" s="380"/>
      <c r="B678" s="380"/>
      <c r="C678" s="432"/>
      <c r="D678" s="433"/>
      <c r="E678" s="433"/>
      <c r="F678" s="434"/>
      <c r="G678" s="434"/>
    </row>
    <row r="679" spans="1:7">
      <c r="A679" s="380"/>
      <c r="B679" s="380"/>
      <c r="C679" s="432"/>
      <c r="D679" s="433"/>
      <c r="E679" s="433"/>
      <c r="F679" s="434"/>
      <c r="G679" s="434"/>
    </row>
    <row r="680" spans="1:7">
      <c r="A680" s="380"/>
      <c r="B680" s="380"/>
      <c r="C680" s="432"/>
      <c r="D680" s="433"/>
      <c r="E680" s="433"/>
      <c r="F680" s="434"/>
      <c r="G680" s="434"/>
    </row>
    <row r="681" spans="1:7">
      <c r="A681" s="380"/>
      <c r="B681" s="380"/>
      <c r="C681" s="432"/>
      <c r="D681" s="433"/>
      <c r="E681" s="433"/>
      <c r="F681" s="434"/>
      <c r="G681" s="434"/>
    </row>
    <row r="682" spans="1:7">
      <c r="A682" s="380"/>
      <c r="B682" s="380"/>
      <c r="C682" s="432"/>
      <c r="D682" s="433"/>
      <c r="E682" s="433"/>
      <c r="F682" s="434"/>
      <c r="G682" s="434"/>
    </row>
    <row r="683" spans="1:7">
      <c r="A683" s="380"/>
      <c r="B683" s="380"/>
      <c r="C683" s="432"/>
      <c r="D683" s="433"/>
      <c r="E683" s="433"/>
      <c r="F683" s="434"/>
      <c r="G683" s="434"/>
    </row>
    <row r="684" spans="1:7">
      <c r="A684" s="380"/>
      <c r="B684" s="380"/>
      <c r="C684" s="432"/>
      <c r="D684" s="433"/>
      <c r="E684" s="433"/>
      <c r="F684" s="434"/>
      <c r="G684" s="434"/>
    </row>
    <row r="685" spans="1:7">
      <c r="A685" s="380"/>
      <c r="B685" s="380"/>
      <c r="C685" s="432"/>
      <c r="D685" s="433"/>
      <c r="E685" s="433"/>
      <c r="F685" s="434"/>
      <c r="G685" s="434"/>
    </row>
    <row r="686" spans="1:7">
      <c r="A686" s="380"/>
      <c r="B686" s="380"/>
      <c r="C686" s="432"/>
      <c r="D686" s="433"/>
      <c r="E686" s="433"/>
      <c r="F686" s="434"/>
      <c r="G686" s="434"/>
    </row>
    <row r="687" spans="1:7">
      <c r="A687" s="380"/>
      <c r="B687" s="380"/>
      <c r="C687" s="432"/>
      <c r="D687" s="433"/>
      <c r="E687" s="433"/>
      <c r="F687" s="434"/>
      <c r="G687" s="434"/>
    </row>
    <row r="688" spans="1:7">
      <c r="A688" s="380"/>
      <c r="B688" s="380"/>
      <c r="C688" s="432"/>
      <c r="D688" s="433"/>
      <c r="E688" s="433"/>
      <c r="F688" s="434"/>
      <c r="G688" s="434"/>
    </row>
    <row r="689" spans="1:7">
      <c r="A689" s="380"/>
      <c r="B689" s="380"/>
      <c r="C689" s="432"/>
      <c r="D689" s="433"/>
      <c r="E689" s="433"/>
      <c r="F689" s="434"/>
      <c r="G689" s="434"/>
    </row>
    <row r="690" spans="1:7">
      <c r="A690" s="380"/>
      <c r="B690" s="380"/>
      <c r="C690" s="432"/>
      <c r="D690" s="433"/>
      <c r="E690" s="433"/>
      <c r="F690" s="434"/>
      <c r="G690" s="434"/>
    </row>
    <row r="691" spans="1:7">
      <c r="A691" s="380"/>
      <c r="B691" s="380"/>
      <c r="C691" s="432"/>
      <c r="D691" s="433"/>
      <c r="E691" s="433"/>
      <c r="F691" s="434"/>
      <c r="G691" s="434"/>
    </row>
    <row r="692" spans="1:7">
      <c r="A692" s="380"/>
      <c r="B692" s="380"/>
      <c r="C692" s="432"/>
      <c r="D692" s="433"/>
      <c r="E692" s="433"/>
      <c r="F692" s="434"/>
      <c r="G692" s="434"/>
    </row>
    <row r="693" spans="1:7">
      <c r="A693" s="380"/>
      <c r="B693" s="380"/>
      <c r="C693" s="432"/>
      <c r="D693" s="433"/>
      <c r="E693" s="433"/>
      <c r="F693" s="434"/>
      <c r="G693" s="434"/>
    </row>
    <row r="694" spans="1:7">
      <c r="A694" s="380"/>
      <c r="B694" s="380"/>
      <c r="C694" s="432"/>
      <c r="D694" s="433"/>
      <c r="E694" s="433"/>
      <c r="F694" s="434"/>
      <c r="G694" s="434"/>
    </row>
    <row r="695" spans="1:7">
      <c r="A695" s="380"/>
      <c r="B695" s="380"/>
      <c r="C695" s="432"/>
      <c r="D695" s="433"/>
      <c r="E695" s="433"/>
      <c r="F695" s="434"/>
      <c r="G695" s="434"/>
    </row>
    <row r="696" spans="1:7">
      <c r="A696" s="380"/>
      <c r="B696" s="380"/>
      <c r="C696" s="432"/>
      <c r="D696" s="433"/>
      <c r="E696" s="433"/>
      <c r="F696" s="434"/>
      <c r="G696" s="434"/>
    </row>
    <row r="697" spans="1:7">
      <c r="A697" s="380"/>
      <c r="B697" s="380"/>
      <c r="C697" s="432"/>
      <c r="D697" s="433"/>
      <c r="E697" s="433"/>
      <c r="F697" s="434"/>
      <c r="G697" s="434"/>
    </row>
    <row r="698" spans="1:7">
      <c r="A698" s="380"/>
      <c r="B698" s="380"/>
      <c r="C698" s="432"/>
      <c r="D698" s="433"/>
      <c r="E698" s="433"/>
      <c r="F698" s="434"/>
      <c r="G698" s="434"/>
    </row>
    <row r="699" spans="1:7">
      <c r="A699" s="380"/>
      <c r="B699" s="380"/>
      <c r="C699" s="432"/>
      <c r="D699" s="433"/>
      <c r="E699" s="433"/>
      <c r="F699" s="434"/>
      <c r="G699" s="434"/>
    </row>
    <row r="700" spans="1:7">
      <c r="A700" s="380"/>
      <c r="B700" s="380"/>
      <c r="C700" s="432"/>
      <c r="D700" s="433"/>
      <c r="E700" s="433"/>
      <c r="F700" s="434"/>
      <c r="G700" s="434"/>
    </row>
    <row r="701" spans="1:7">
      <c r="A701" s="380"/>
      <c r="B701" s="380"/>
      <c r="C701" s="432"/>
      <c r="D701" s="433"/>
      <c r="E701" s="433"/>
      <c r="F701" s="434"/>
      <c r="G701" s="434"/>
    </row>
    <row r="702" spans="1:7">
      <c r="A702" s="380"/>
      <c r="B702" s="380"/>
      <c r="C702" s="432"/>
      <c r="D702" s="433"/>
      <c r="E702" s="433"/>
      <c r="F702" s="434"/>
      <c r="G702" s="434"/>
    </row>
    <row r="703" spans="1:7">
      <c r="A703" s="380"/>
      <c r="B703" s="380"/>
      <c r="C703" s="432"/>
      <c r="D703" s="433"/>
      <c r="E703" s="433"/>
      <c r="F703" s="434"/>
      <c r="G703" s="434"/>
    </row>
    <row r="704" spans="1:7">
      <c r="A704" s="380"/>
      <c r="B704" s="380"/>
      <c r="C704" s="432"/>
      <c r="D704" s="433"/>
      <c r="E704" s="433"/>
      <c r="F704" s="434"/>
      <c r="G704" s="434"/>
    </row>
    <row r="705" spans="1:7">
      <c r="A705" s="380"/>
      <c r="B705" s="380"/>
      <c r="C705" s="432"/>
      <c r="D705" s="433"/>
      <c r="E705" s="433"/>
      <c r="F705" s="434"/>
      <c r="G705" s="434"/>
    </row>
    <row r="706" spans="1:7">
      <c r="A706" s="380"/>
      <c r="B706" s="380"/>
      <c r="C706" s="432"/>
      <c r="D706" s="433"/>
      <c r="E706" s="433"/>
      <c r="F706" s="434"/>
      <c r="G706" s="434"/>
    </row>
    <row r="707" spans="1:7">
      <c r="A707" s="380"/>
      <c r="B707" s="380"/>
      <c r="C707" s="432"/>
      <c r="D707" s="433"/>
      <c r="E707" s="433"/>
      <c r="F707" s="434"/>
      <c r="G707" s="434"/>
    </row>
    <row r="708" spans="1:7">
      <c r="A708" s="380"/>
      <c r="B708" s="380"/>
      <c r="C708" s="432"/>
      <c r="D708" s="433"/>
      <c r="E708" s="433"/>
      <c r="F708" s="434"/>
      <c r="G708" s="434"/>
    </row>
    <row r="709" spans="1:7">
      <c r="A709" s="380"/>
      <c r="B709" s="380"/>
      <c r="C709" s="432"/>
      <c r="D709" s="433"/>
      <c r="E709" s="433"/>
      <c r="F709" s="434"/>
      <c r="G709" s="434"/>
    </row>
    <row r="710" spans="1:7">
      <c r="A710" s="380"/>
      <c r="B710" s="380"/>
      <c r="C710" s="432"/>
      <c r="D710" s="433"/>
      <c r="E710" s="433"/>
      <c r="F710" s="434"/>
      <c r="G710" s="434"/>
    </row>
    <row r="711" spans="1:7">
      <c r="A711" s="380"/>
      <c r="B711" s="380"/>
      <c r="C711" s="432"/>
      <c r="D711" s="433"/>
      <c r="E711" s="433"/>
      <c r="F711" s="434"/>
      <c r="G711" s="434"/>
    </row>
    <row r="712" spans="1:7">
      <c r="A712" s="380"/>
      <c r="B712" s="380"/>
      <c r="C712" s="432"/>
      <c r="D712" s="433"/>
      <c r="E712" s="433"/>
      <c r="F712" s="434"/>
      <c r="G712" s="434"/>
    </row>
    <row r="713" spans="1:7">
      <c r="A713" s="380"/>
      <c r="B713" s="380"/>
      <c r="C713" s="432"/>
      <c r="D713" s="433"/>
      <c r="E713" s="433"/>
      <c r="F713" s="434"/>
      <c r="G713" s="434"/>
    </row>
    <row r="714" spans="1:7">
      <c r="A714" s="380"/>
      <c r="B714" s="380"/>
      <c r="C714" s="432"/>
      <c r="D714" s="433"/>
      <c r="E714" s="433"/>
      <c r="F714" s="434"/>
      <c r="G714" s="434"/>
    </row>
    <row r="715" spans="1:7">
      <c r="A715" s="380"/>
      <c r="B715" s="380"/>
      <c r="C715" s="432"/>
      <c r="D715" s="433"/>
      <c r="E715" s="433"/>
      <c r="F715" s="434"/>
      <c r="G715" s="434"/>
    </row>
    <row r="716" spans="1:7">
      <c r="A716" s="380"/>
      <c r="B716" s="380"/>
      <c r="C716" s="432"/>
      <c r="D716" s="433"/>
      <c r="E716" s="433"/>
      <c r="F716" s="434"/>
      <c r="G716" s="434"/>
    </row>
    <row r="717" spans="1:7">
      <c r="A717" s="380"/>
      <c r="B717" s="380"/>
      <c r="C717" s="432"/>
      <c r="D717" s="433"/>
      <c r="E717" s="433"/>
      <c r="F717" s="434"/>
      <c r="G717" s="434"/>
    </row>
    <row r="718" spans="1:7">
      <c r="A718" s="380"/>
      <c r="B718" s="380"/>
      <c r="C718" s="432"/>
      <c r="D718" s="433"/>
      <c r="E718" s="433"/>
      <c r="F718" s="434"/>
      <c r="G718" s="434"/>
    </row>
    <row r="719" spans="1:7">
      <c r="A719" s="380"/>
      <c r="B719" s="380"/>
      <c r="C719" s="432"/>
      <c r="D719" s="433"/>
      <c r="E719" s="433"/>
      <c r="F719" s="434"/>
      <c r="G719" s="434"/>
    </row>
    <row r="720" spans="1:7">
      <c r="A720" s="380"/>
      <c r="B720" s="380"/>
      <c r="C720" s="432"/>
      <c r="D720" s="433"/>
      <c r="E720" s="433"/>
      <c r="F720" s="434"/>
      <c r="G720" s="434"/>
    </row>
    <row r="721" spans="1:7">
      <c r="A721" s="380"/>
      <c r="B721" s="380"/>
      <c r="C721" s="432"/>
      <c r="D721" s="433"/>
      <c r="E721" s="433"/>
      <c r="F721" s="434"/>
      <c r="G721" s="434"/>
    </row>
    <row r="722" spans="1:7">
      <c r="A722" s="380"/>
      <c r="B722" s="380"/>
      <c r="C722" s="432"/>
      <c r="D722" s="433"/>
      <c r="E722" s="433"/>
      <c r="F722" s="434"/>
      <c r="G722" s="434"/>
    </row>
    <row r="723" spans="1:7">
      <c r="A723" s="380"/>
      <c r="B723" s="380"/>
      <c r="C723" s="432"/>
      <c r="D723" s="433"/>
      <c r="E723" s="433"/>
      <c r="F723" s="434"/>
      <c r="G723" s="434"/>
    </row>
    <row r="724" spans="1:7">
      <c r="A724" s="380"/>
      <c r="B724" s="380"/>
      <c r="C724" s="432"/>
      <c r="D724" s="433"/>
      <c r="E724" s="433"/>
      <c r="F724" s="434"/>
      <c r="G724" s="434"/>
    </row>
    <row r="725" spans="1:7">
      <c r="A725" s="380"/>
      <c r="B725" s="380"/>
      <c r="C725" s="432"/>
      <c r="D725" s="433"/>
      <c r="E725" s="433"/>
      <c r="F725" s="434"/>
      <c r="G725" s="434"/>
    </row>
    <row r="726" spans="1:7">
      <c r="A726" s="380"/>
      <c r="B726" s="380"/>
      <c r="C726" s="432"/>
      <c r="D726" s="433"/>
      <c r="E726" s="433"/>
      <c r="F726" s="434"/>
      <c r="G726" s="434"/>
    </row>
    <row r="727" spans="1:7">
      <c r="A727" s="380"/>
      <c r="B727" s="380"/>
      <c r="C727" s="432"/>
      <c r="D727" s="433"/>
      <c r="E727" s="433"/>
      <c r="F727" s="434"/>
      <c r="G727" s="434"/>
    </row>
    <row r="728" spans="1:7">
      <c r="A728" s="380"/>
      <c r="B728" s="380"/>
      <c r="C728" s="432"/>
      <c r="D728" s="433"/>
      <c r="E728" s="433"/>
      <c r="F728" s="434"/>
      <c r="G728" s="434"/>
    </row>
    <row r="729" spans="1:7">
      <c r="A729" s="380"/>
      <c r="B729" s="380"/>
      <c r="C729" s="432"/>
      <c r="D729" s="433"/>
      <c r="E729" s="433"/>
      <c r="F729" s="434"/>
      <c r="G729" s="434"/>
    </row>
    <row r="730" spans="1:7">
      <c r="A730" s="380"/>
      <c r="B730" s="380"/>
      <c r="C730" s="432"/>
      <c r="D730" s="433"/>
      <c r="E730" s="433"/>
      <c r="F730" s="434"/>
      <c r="G730" s="434"/>
    </row>
    <row r="731" spans="1:7">
      <c r="A731" s="380"/>
      <c r="B731" s="380"/>
      <c r="C731" s="432"/>
      <c r="D731" s="433"/>
      <c r="E731" s="433"/>
      <c r="F731" s="434"/>
      <c r="G731" s="434"/>
    </row>
    <row r="732" spans="1:7">
      <c r="A732" s="380"/>
      <c r="B732" s="380"/>
      <c r="C732" s="432"/>
      <c r="D732" s="433"/>
      <c r="E732" s="433"/>
      <c r="F732" s="434"/>
      <c r="G732" s="434"/>
    </row>
    <row r="733" spans="1:7">
      <c r="A733" s="380"/>
      <c r="B733" s="380"/>
      <c r="C733" s="432"/>
      <c r="D733" s="433"/>
      <c r="E733" s="433"/>
      <c r="F733" s="434"/>
      <c r="G733" s="434"/>
    </row>
    <row r="734" spans="1:7">
      <c r="A734" s="380"/>
      <c r="B734" s="380"/>
      <c r="C734" s="432"/>
      <c r="D734" s="433"/>
      <c r="E734" s="433"/>
      <c r="F734" s="434"/>
      <c r="G734" s="434"/>
    </row>
    <row r="735" spans="1:7">
      <c r="A735" s="380"/>
      <c r="B735" s="380"/>
      <c r="C735" s="432"/>
      <c r="D735" s="433"/>
      <c r="E735" s="433"/>
      <c r="F735" s="434"/>
      <c r="G735" s="434"/>
    </row>
    <row r="736" spans="1:7">
      <c r="A736" s="380"/>
      <c r="B736" s="380"/>
      <c r="C736" s="432"/>
      <c r="D736" s="433"/>
      <c r="E736" s="433"/>
      <c r="F736" s="434"/>
      <c r="G736" s="434"/>
    </row>
    <row r="737" spans="1:7">
      <c r="A737" s="380"/>
      <c r="B737" s="380"/>
      <c r="C737" s="432"/>
      <c r="D737" s="433"/>
      <c r="E737" s="433"/>
      <c r="F737" s="434"/>
      <c r="G737" s="434"/>
    </row>
    <row r="738" spans="1:7">
      <c r="A738" s="380"/>
      <c r="B738" s="380"/>
      <c r="C738" s="432"/>
      <c r="D738" s="433"/>
      <c r="E738" s="433"/>
      <c r="F738" s="434"/>
      <c r="G738" s="434"/>
    </row>
    <row r="739" spans="1:7">
      <c r="A739" s="380"/>
      <c r="B739" s="380"/>
      <c r="C739" s="432"/>
      <c r="D739" s="433"/>
      <c r="E739" s="433"/>
      <c r="F739" s="434"/>
      <c r="G739" s="434"/>
    </row>
    <row r="740" spans="1:7">
      <c r="A740" s="380"/>
      <c r="B740" s="380"/>
      <c r="C740" s="432"/>
      <c r="D740" s="433"/>
      <c r="E740" s="433"/>
      <c r="F740" s="434"/>
      <c r="G740" s="434"/>
    </row>
    <row r="741" spans="1:7">
      <c r="A741" s="380"/>
      <c r="B741" s="380"/>
      <c r="C741" s="432"/>
      <c r="D741" s="433"/>
      <c r="E741" s="433"/>
      <c r="F741" s="434"/>
      <c r="G741" s="434"/>
    </row>
    <row r="742" spans="1:7">
      <c r="A742" s="380"/>
      <c r="B742" s="380"/>
      <c r="C742" s="432"/>
      <c r="D742" s="433"/>
      <c r="E742" s="433"/>
      <c r="F742" s="434"/>
      <c r="G742" s="434"/>
    </row>
    <row r="743" spans="1:7">
      <c r="A743" s="380"/>
      <c r="B743" s="380"/>
      <c r="C743" s="432"/>
      <c r="D743" s="433"/>
      <c r="E743" s="433"/>
      <c r="F743" s="434"/>
      <c r="G743" s="434"/>
    </row>
    <row r="744" spans="1:7">
      <c r="A744" s="380"/>
      <c r="B744" s="380"/>
      <c r="C744" s="432"/>
      <c r="D744" s="433"/>
      <c r="E744" s="433"/>
      <c r="F744" s="434"/>
      <c r="G744" s="434"/>
    </row>
    <row r="745" spans="1:7">
      <c r="A745" s="380"/>
      <c r="B745" s="380"/>
      <c r="C745" s="432"/>
      <c r="D745" s="433"/>
      <c r="E745" s="433"/>
      <c r="F745" s="434"/>
      <c r="G745" s="434"/>
    </row>
    <row r="746" spans="1:7">
      <c r="A746" s="380"/>
      <c r="B746" s="380"/>
      <c r="C746" s="432"/>
      <c r="D746" s="433"/>
      <c r="E746" s="433"/>
      <c r="F746" s="434"/>
      <c r="G746" s="434"/>
    </row>
    <row r="747" spans="1:7">
      <c r="A747" s="380"/>
      <c r="B747" s="380"/>
      <c r="C747" s="432"/>
      <c r="D747" s="433"/>
      <c r="E747" s="433"/>
      <c r="F747" s="434"/>
      <c r="G747" s="434"/>
    </row>
    <row r="748" spans="1:7">
      <c r="A748" s="380"/>
      <c r="B748" s="380"/>
      <c r="C748" s="432"/>
      <c r="D748" s="433"/>
      <c r="E748" s="433"/>
      <c r="F748" s="434"/>
      <c r="G748" s="434"/>
    </row>
    <row r="749" spans="1:7">
      <c r="A749" s="380"/>
      <c r="B749" s="380"/>
      <c r="C749" s="432"/>
      <c r="D749" s="433"/>
      <c r="E749" s="433"/>
      <c r="F749" s="434"/>
      <c r="G749" s="434"/>
    </row>
    <row r="750" spans="1:7">
      <c r="A750" s="380"/>
      <c r="B750" s="380"/>
      <c r="C750" s="432"/>
      <c r="D750" s="433"/>
      <c r="E750" s="433"/>
      <c r="F750" s="434"/>
      <c r="G750" s="434"/>
    </row>
    <row r="751" spans="1:7">
      <c r="A751" s="380"/>
      <c r="B751" s="380"/>
      <c r="C751" s="432"/>
      <c r="D751" s="433"/>
      <c r="E751" s="433"/>
      <c r="F751" s="434"/>
      <c r="G751" s="434"/>
    </row>
    <row r="752" spans="1:7">
      <c r="A752" s="380"/>
      <c r="B752" s="380"/>
      <c r="C752" s="432"/>
      <c r="D752" s="433"/>
      <c r="E752" s="433"/>
      <c r="F752" s="434"/>
      <c r="G752" s="434"/>
    </row>
    <row r="753" spans="1:7">
      <c r="A753" s="380"/>
      <c r="B753" s="380"/>
      <c r="C753" s="432"/>
      <c r="D753" s="433"/>
      <c r="E753" s="433"/>
      <c r="F753" s="434"/>
      <c r="G753" s="434"/>
    </row>
    <row r="754" spans="1:7">
      <c r="A754" s="380"/>
      <c r="B754" s="380"/>
      <c r="C754" s="432"/>
      <c r="D754" s="433"/>
      <c r="E754" s="433"/>
      <c r="F754" s="434"/>
      <c r="G754" s="434"/>
    </row>
    <row r="755" spans="1:7">
      <c r="A755" s="380"/>
      <c r="B755" s="380"/>
      <c r="C755" s="432"/>
      <c r="D755" s="433"/>
      <c r="E755" s="433"/>
      <c r="F755" s="434"/>
      <c r="G755" s="434"/>
    </row>
    <row r="756" spans="1:7">
      <c r="A756" s="380"/>
      <c r="B756" s="380"/>
      <c r="C756" s="432"/>
      <c r="D756" s="433"/>
      <c r="E756" s="433"/>
      <c r="F756" s="434"/>
      <c r="G756" s="434"/>
    </row>
    <row r="757" spans="1:7">
      <c r="A757" s="380"/>
      <c r="B757" s="380"/>
      <c r="C757" s="432"/>
      <c r="D757" s="433"/>
      <c r="E757" s="433"/>
      <c r="F757" s="434"/>
      <c r="G757" s="434"/>
    </row>
    <row r="758" spans="1:7">
      <c r="A758" s="380"/>
      <c r="B758" s="380"/>
      <c r="C758" s="432"/>
      <c r="D758" s="433"/>
      <c r="E758" s="433"/>
      <c r="F758" s="434"/>
      <c r="G758" s="434"/>
    </row>
    <row r="759" spans="1:7">
      <c r="A759" s="380"/>
      <c r="B759" s="380"/>
      <c r="C759" s="432"/>
      <c r="D759" s="433"/>
      <c r="E759" s="433"/>
      <c r="F759" s="434"/>
      <c r="G759" s="434"/>
    </row>
    <row r="760" spans="1:7">
      <c r="A760" s="380"/>
      <c r="B760" s="380"/>
      <c r="C760" s="432"/>
      <c r="D760" s="433"/>
      <c r="E760" s="433"/>
      <c r="F760" s="434"/>
      <c r="G760" s="434"/>
    </row>
    <row r="761" spans="1:7">
      <c r="A761" s="380"/>
      <c r="B761" s="380"/>
      <c r="C761" s="432"/>
      <c r="D761" s="433"/>
      <c r="E761" s="433"/>
      <c r="F761" s="434"/>
      <c r="G761" s="434"/>
    </row>
    <row r="762" spans="1:7">
      <c r="A762" s="380"/>
      <c r="B762" s="380"/>
      <c r="C762" s="432"/>
      <c r="D762" s="433"/>
      <c r="E762" s="433"/>
      <c r="F762" s="434"/>
      <c r="G762" s="434"/>
    </row>
    <row r="763" spans="1:7">
      <c r="A763" s="380"/>
      <c r="B763" s="380"/>
      <c r="C763" s="432"/>
      <c r="D763" s="433"/>
      <c r="E763" s="433"/>
      <c r="F763" s="434"/>
      <c r="G763" s="434"/>
    </row>
    <row r="764" spans="1:7">
      <c r="A764" s="380"/>
      <c r="B764" s="380"/>
      <c r="C764" s="432"/>
      <c r="D764" s="433"/>
      <c r="E764" s="433"/>
      <c r="F764" s="434"/>
      <c r="G764" s="434"/>
    </row>
    <row r="765" spans="1:7">
      <c r="A765" s="380"/>
      <c r="B765" s="380"/>
      <c r="C765" s="432"/>
      <c r="D765" s="433"/>
      <c r="E765" s="433"/>
      <c r="F765" s="434"/>
      <c r="G765" s="434"/>
    </row>
    <row r="766" spans="1:7">
      <c r="A766" s="380"/>
      <c r="B766" s="380"/>
      <c r="C766" s="432"/>
      <c r="D766" s="433"/>
      <c r="E766" s="433"/>
      <c r="F766" s="434"/>
      <c r="G766" s="434"/>
    </row>
    <row r="767" spans="1:7">
      <c r="A767" s="380"/>
      <c r="B767" s="380"/>
      <c r="C767" s="432"/>
      <c r="D767" s="433"/>
      <c r="E767" s="433"/>
      <c r="F767" s="434"/>
      <c r="G767" s="434"/>
    </row>
    <row r="768" spans="1:7">
      <c r="A768" s="380"/>
      <c r="B768" s="380"/>
      <c r="C768" s="432"/>
      <c r="D768" s="433"/>
      <c r="E768" s="433"/>
      <c r="F768" s="434"/>
      <c r="G768" s="434"/>
    </row>
    <row r="769" spans="1:7">
      <c r="A769" s="380"/>
      <c r="B769" s="380"/>
      <c r="C769" s="432"/>
      <c r="D769" s="433"/>
      <c r="E769" s="433"/>
      <c r="F769" s="434"/>
      <c r="G769" s="434"/>
    </row>
    <row r="770" spans="1:7">
      <c r="A770" s="380"/>
      <c r="B770" s="380"/>
      <c r="C770" s="432"/>
      <c r="D770" s="433"/>
      <c r="E770" s="433"/>
      <c r="F770" s="434"/>
      <c r="G770" s="434"/>
    </row>
    <row r="771" spans="1:7">
      <c r="A771" s="380"/>
      <c r="B771" s="380"/>
      <c r="C771" s="432"/>
      <c r="D771" s="433"/>
      <c r="E771" s="433"/>
      <c r="F771" s="434"/>
      <c r="G771" s="434"/>
    </row>
    <row r="772" spans="1:7">
      <c r="A772" s="380"/>
      <c r="B772" s="380"/>
      <c r="C772" s="432"/>
      <c r="D772" s="433"/>
      <c r="E772" s="433"/>
      <c r="F772" s="434"/>
      <c r="G772" s="434"/>
    </row>
    <row r="773" spans="1:7">
      <c r="A773" s="380"/>
      <c r="B773" s="380"/>
      <c r="C773" s="432"/>
      <c r="D773" s="433"/>
      <c r="E773" s="433"/>
      <c r="F773" s="434"/>
      <c r="G773" s="434"/>
    </row>
    <row r="774" spans="1:7">
      <c r="A774" s="380"/>
      <c r="B774" s="380"/>
      <c r="C774" s="432"/>
      <c r="D774" s="433"/>
      <c r="E774" s="433"/>
      <c r="F774" s="434"/>
      <c r="G774" s="434"/>
    </row>
    <row r="775" spans="1:7">
      <c r="A775" s="380"/>
      <c r="B775" s="380"/>
      <c r="C775" s="432"/>
      <c r="D775" s="433"/>
      <c r="E775" s="433"/>
      <c r="F775" s="434"/>
      <c r="G775" s="434"/>
    </row>
    <row r="776" spans="1:7">
      <c r="A776" s="380"/>
      <c r="B776" s="380"/>
      <c r="C776" s="432"/>
      <c r="D776" s="433"/>
      <c r="E776" s="433"/>
      <c r="F776" s="434"/>
      <c r="G776" s="434"/>
    </row>
    <row r="777" spans="1:7">
      <c r="A777" s="380"/>
      <c r="B777" s="380"/>
      <c r="C777" s="432"/>
      <c r="D777" s="433"/>
      <c r="E777" s="433"/>
      <c r="F777" s="434"/>
      <c r="G777" s="434"/>
    </row>
    <row r="778" spans="1:7">
      <c r="A778" s="380"/>
      <c r="B778" s="380"/>
      <c r="C778" s="432"/>
      <c r="D778" s="433"/>
      <c r="E778" s="433"/>
      <c r="F778" s="434"/>
      <c r="G778" s="434"/>
    </row>
    <row r="779" spans="1:7">
      <c r="A779" s="380"/>
      <c r="B779" s="380"/>
      <c r="C779" s="432"/>
      <c r="D779" s="433"/>
      <c r="E779" s="433"/>
      <c r="F779" s="434"/>
      <c r="G779" s="434"/>
    </row>
    <row r="780" spans="1:7">
      <c r="A780" s="380"/>
      <c r="B780" s="380"/>
      <c r="C780" s="432"/>
      <c r="D780" s="433"/>
      <c r="E780" s="433"/>
      <c r="F780" s="434"/>
      <c r="G780" s="434"/>
    </row>
    <row r="781" spans="1:7">
      <c r="A781" s="380"/>
      <c r="B781" s="380"/>
      <c r="C781" s="432"/>
      <c r="D781" s="433"/>
      <c r="E781" s="433"/>
      <c r="F781" s="434"/>
      <c r="G781" s="434"/>
    </row>
    <row r="782" spans="1:7">
      <c r="A782" s="380"/>
      <c r="B782" s="380"/>
      <c r="C782" s="432"/>
      <c r="D782" s="433"/>
      <c r="E782" s="433"/>
      <c r="F782" s="434"/>
      <c r="G782" s="434"/>
    </row>
    <row r="783" spans="1:7">
      <c r="A783" s="380"/>
      <c r="B783" s="380"/>
      <c r="C783" s="432"/>
      <c r="D783" s="433"/>
      <c r="E783" s="433"/>
      <c r="F783" s="434"/>
      <c r="G783" s="434"/>
    </row>
    <row r="784" spans="1:7">
      <c r="A784" s="380"/>
      <c r="B784" s="380"/>
      <c r="C784" s="432"/>
      <c r="D784" s="433"/>
      <c r="E784" s="433"/>
      <c r="F784" s="434"/>
      <c r="G784" s="434"/>
    </row>
    <row r="785" spans="1:7">
      <c r="A785" s="380"/>
      <c r="B785" s="380"/>
      <c r="C785" s="432"/>
      <c r="D785" s="433"/>
      <c r="E785" s="433"/>
      <c r="F785" s="434"/>
      <c r="G785" s="434"/>
    </row>
    <row r="786" spans="1:7">
      <c r="A786" s="380"/>
      <c r="B786" s="380"/>
      <c r="C786" s="432"/>
      <c r="D786" s="433"/>
      <c r="E786" s="433"/>
      <c r="F786" s="434"/>
      <c r="G786" s="434"/>
    </row>
    <row r="787" spans="1:7">
      <c r="A787" s="380"/>
      <c r="B787" s="380"/>
      <c r="C787" s="432"/>
      <c r="D787" s="433"/>
      <c r="E787" s="433"/>
      <c r="F787" s="434"/>
      <c r="G787" s="434"/>
    </row>
    <row r="788" spans="1:7">
      <c r="A788" s="380"/>
      <c r="B788" s="380"/>
      <c r="C788" s="432"/>
      <c r="D788" s="433"/>
      <c r="E788" s="433"/>
      <c r="F788" s="434"/>
      <c r="G788" s="434"/>
    </row>
    <row r="789" spans="1:7">
      <c r="A789" s="380"/>
      <c r="B789" s="380"/>
      <c r="C789" s="432"/>
      <c r="D789" s="433"/>
      <c r="E789" s="433"/>
      <c r="F789" s="434"/>
      <c r="G789" s="434"/>
    </row>
    <row r="790" spans="1:7">
      <c r="A790" s="380"/>
      <c r="B790" s="380"/>
      <c r="C790" s="432"/>
      <c r="D790" s="433"/>
      <c r="E790" s="433"/>
      <c r="F790" s="434"/>
      <c r="G790" s="434"/>
    </row>
    <row r="791" spans="1:7">
      <c r="A791" s="380"/>
      <c r="B791" s="380"/>
      <c r="C791" s="432"/>
      <c r="D791" s="433"/>
      <c r="E791" s="433"/>
      <c r="F791" s="434"/>
      <c r="G791" s="434"/>
    </row>
    <row r="792" spans="1:7">
      <c r="A792" s="380"/>
      <c r="B792" s="380"/>
      <c r="C792" s="432"/>
      <c r="D792" s="433"/>
      <c r="E792" s="433"/>
      <c r="F792" s="434"/>
      <c r="G792" s="434"/>
    </row>
    <row r="793" spans="1:7">
      <c r="A793" s="380"/>
      <c r="B793" s="380"/>
      <c r="C793" s="432"/>
      <c r="D793" s="433"/>
      <c r="E793" s="433"/>
      <c r="F793" s="434"/>
      <c r="G793" s="434"/>
    </row>
    <row r="794" spans="1:7">
      <c r="A794" s="380"/>
      <c r="B794" s="380"/>
      <c r="C794" s="432"/>
      <c r="D794" s="433"/>
      <c r="E794" s="433"/>
      <c r="F794" s="434"/>
      <c r="G794" s="434"/>
    </row>
    <row r="795" spans="1:7">
      <c r="A795" s="380"/>
      <c r="B795" s="380"/>
      <c r="C795" s="432"/>
      <c r="D795" s="433"/>
      <c r="E795" s="433"/>
      <c r="F795" s="434"/>
      <c r="G795" s="434"/>
    </row>
    <row r="796" spans="1:7">
      <c r="A796" s="380"/>
      <c r="B796" s="380"/>
      <c r="C796" s="432"/>
      <c r="D796" s="433"/>
      <c r="E796" s="433"/>
      <c r="F796" s="434"/>
      <c r="G796" s="434"/>
    </row>
    <row r="797" spans="1:7">
      <c r="A797" s="380"/>
      <c r="B797" s="380"/>
      <c r="C797" s="432"/>
      <c r="D797" s="433"/>
      <c r="E797" s="433"/>
      <c r="F797" s="434"/>
      <c r="G797" s="434"/>
    </row>
    <row r="798" spans="1:7">
      <c r="A798" s="380"/>
      <c r="B798" s="380"/>
      <c r="C798" s="432"/>
      <c r="D798" s="433"/>
      <c r="E798" s="433"/>
      <c r="F798" s="434"/>
      <c r="G798" s="434"/>
    </row>
    <row r="799" spans="1:7">
      <c r="A799" s="380"/>
      <c r="B799" s="380"/>
      <c r="C799" s="432"/>
      <c r="D799" s="433"/>
      <c r="E799" s="433"/>
      <c r="F799" s="434"/>
      <c r="G799" s="434"/>
    </row>
    <row r="800" spans="1:7">
      <c r="A800" s="380"/>
      <c r="B800" s="380"/>
      <c r="C800" s="432"/>
      <c r="D800" s="433"/>
      <c r="E800" s="433"/>
      <c r="F800" s="434"/>
      <c r="G800" s="434"/>
    </row>
    <row r="801" spans="1:7">
      <c r="A801" s="380"/>
      <c r="B801" s="380"/>
      <c r="C801" s="432"/>
      <c r="D801" s="433"/>
      <c r="E801" s="433"/>
      <c r="F801" s="434"/>
      <c r="G801" s="434"/>
    </row>
    <row r="802" spans="1:7">
      <c r="A802" s="380"/>
      <c r="B802" s="380"/>
      <c r="C802" s="432"/>
      <c r="D802" s="433"/>
      <c r="E802" s="433"/>
      <c r="F802" s="434"/>
      <c r="G802" s="434"/>
    </row>
    <row r="803" spans="1:7">
      <c r="A803" s="380"/>
      <c r="B803" s="380"/>
      <c r="C803" s="432"/>
      <c r="D803" s="433"/>
      <c r="E803" s="433"/>
      <c r="F803" s="434"/>
      <c r="G803" s="434"/>
    </row>
    <row r="804" spans="1:7">
      <c r="A804" s="380"/>
      <c r="B804" s="380"/>
      <c r="C804" s="432"/>
      <c r="D804" s="433"/>
      <c r="E804" s="433"/>
      <c r="F804" s="434"/>
      <c r="G804" s="434"/>
    </row>
    <row r="805" spans="1:7">
      <c r="A805" s="380"/>
      <c r="B805" s="380"/>
      <c r="C805" s="432"/>
      <c r="D805" s="433"/>
      <c r="E805" s="433"/>
      <c r="F805" s="434"/>
      <c r="G805" s="434"/>
    </row>
    <row r="806" spans="1:7">
      <c r="A806" s="380"/>
      <c r="B806" s="380"/>
      <c r="C806" s="432"/>
      <c r="D806" s="433"/>
      <c r="E806" s="433"/>
      <c r="F806" s="434"/>
      <c r="G806" s="434"/>
    </row>
    <row r="807" spans="1:7">
      <c r="A807" s="380"/>
      <c r="B807" s="380"/>
      <c r="C807" s="432"/>
      <c r="D807" s="433"/>
      <c r="E807" s="433"/>
      <c r="F807" s="434"/>
      <c r="G807" s="434"/>
    </row>
    <row r="808" spans="1:7">
      <c r="A808" s="380"/>
      <c r="B808" s="380"/>
      <c r="C808" s="432"/>
      <c r="D808" s="433"/>
      <c r="E808" s="433"/>
      <c r="F808" s="434"/>
      <c r="G808" s="434"/>
    </row>
    <row r="809" spans="1:7">
      <c r="A809" s="380"/>
      <c r="B809" s="380"/>
      <c r="C809" s="432"/>
      <c r="D809" s="433"/>
      <c r="E809" s="433"/>
      <c r="F809" s="434"/>
      <c r="G809" s="434"/>
    </row>
    <row r="810" spans="1:7">
      <c r="A810" s="380"/>
      <c r="B810" s="380"/>
      <c r="C810" s="432"/>
      <c r="D810" s="433"/>
      <c r="E810" s="433"/>
      <c r="F810" s="434"/>
      <c r="G810" s="434"/>
    </row>
    <row r="811" spans="1:7">
      <c r="A811" s="380"/>
      <c r="B811" s="380"/>
      <c r="C811" s="432"/>
      <c r="D811" s="433"/>
      <c r="E811" s="433"/>
      <c r="F811" s="434"/>
      <c r="G811" s="434"/>
    </row>
    <row r="812" spans="1:7">
      <c r="A812" s="380"/>
      <c r="B812" s="380"/>
      <c r="C812" s="432"/>
      <c r="D812" s="433"/>
      <c r="E812" s="433"/>
      <c r="F812" s="434"/>
      <c r="G812" s="434"/>
    </row>
    <row r="813" spans="1:7">
      <c r="A813" s="380"/>
      <c r="B813" s="380"/>
      <c r="C813" s="432"/>
      <c r="D813" s="433"/>
      <c r="E813" s="433"/>
      <c r="F813" s="434"/>
      <c r="G813" s="434"/>
    </row>
    <row r="814" spans="1:7">
      <c r="A814" s="380"/>
      <c r="B814" s="380"/>
      <c r="C814" s="432"/>
      <c r="D814" s="433"/>
      <c r="E814" s="433"/>
      <c r="F814" s="434"/>
      <c r="G814" s="434"/>
    </row>
    <row r="815" spans="1:7">
      <c r="A815" s="380"/>
      <c r="B815" s="380"/>
      <c r="C815" s="432"/>
      <c r="D815" s="433"/>
      <c r="E815" s="433"/>
      <c r="F815" s="434"/>
      <c r="G815" s="434"/>
    </row>
    <row r="816" spans="1:7">
      <c r="A816" s="380"/>
      <c r="B816" s="380"/>
      <c r="C816" s="432"/>
      <c r="D816" s="433"/>
      <c r="E816" s="433"/>
      <c r="F816" s="434"/>
      <c r="G816" s="434"/>
    </row>
    <row r="817" spans="1:7">
      <c r="A817" s="380"/>
      <c r="B817" s="380"/>
      <c r="C817" s="432"/>
      <c r="D817" s="433"/>
      <c r="E817" s="433"/>
      <c r="F817" s="434"/>
      <c r="G817" s="434"/>
    </row>
    <row r="818" spans="1:7">
      <c r="A818" s="380"/>
      <c r="B818" s="380"/>
      <c r="C818" s="432"/>
      <c r="D818" s="433"/>
      <c r="E818" s="433"/>
      <c r="F818" s="434"/>
      <c r="G818" s="434"/>
    </row>
    <row r="819" spans="1:7">
      <c r="A819" s="380"/>
      <c r="B819" s="380"/>
      <c r="C819" s="432"/>
      <c r="D819" s="433"/>
      <c r="E819" s="433"/>
      <c r="F819" s="434"/>
      <c r="G819" s="434"/>
    </row>
    <row r="820" spans="1:7">
      <c r="A820" s="380"/>
      <c r="B820" s="380"/>
      <c r="C820" s="432"/>
      <c r="D820" s="433"/>
      <c r="E820" s="433"/>
      <c r="F820" s="434"/>
      <c r="G820" s="434"/>
    </row>
    <row r="821" spans="1:7">
      <c r="A821" s="380"/>
      <c r="B821" s="380"/>
      <c r="C821" s="432"/>
      <c r="D821" s="433"/>
      <c r="E821" s="433"/>
      <c r="F821" s="434"/>
      <c r="G821" s="434"/>
    </row>
    <row r="822" spans="1:7">
      <c r="A822" s="380"/>
      <c r="B822" s="380"/>
      <c r="C822" s="432"/>
      <c r="D822" s="433"/>
      <c r="E822" s="433"/>
      <c r="F822" s="434"/>
      <c r="G822" s="434"/>
    </row>
    <row r="823" spans="1:7">
      <c r="A823" s="380"/>
      <c r="B823" s="380"/>
      <c r="C823" s="432"/>
      <c r="D823" s="433"/>
      <c r="E823" s="433"/>
      <c r="F823" s="434"/>
      <c r="G823" s="434"/>
    </row>
    <row r="824" spans="1:7">
      <c r="A824" s="380"/>
      <c r="B824" s="380"/>
      <c r="C824" s="432"/>
      <c r="D824" s="433"/>
      <c r="E824" s="433"/>
      <c r="F824" s="434"/>
      <c r="G824" s="434"/>
    </row>
    <row r="825" spans="1:7">
      <c r="A825" s="380"/>
      <c r="B825" s="380"/>
      <c r="C825" s="432"/>
      <c r="D825" s="433"/>
      <c r="E825" s="433"/>
      <c r="F825" s="434"/>
      <c r="G825" s="434"/>
    </row>
    <row r="826" spans="1:7">
      <c r="A826" s="380"/>
      <c r="B826" s="380"/>
      <c r="C826" s="432"/>
      <c r="D826" s="433"/>
      <c r="E826" s="433"/>
      <c r="F826" s="434"/>
      <c r="G826" s="434"/>
    </row>
    <row r="827" spans="1:7">
      <c r="A827" s="380"/>
      <c r="B827" s="380"/>
      <c r="C827" s="432"/>
      <c r="D827" s="433"/>
      <c r="E827" s="433"/>
      <c r="F827" s="434"/>
      <c r="G827" s="434"/>
    </row>
    <row r="828" spans="1:7">
      <c r="A828" s="380"/>
      <c r="B828" s="380"/>
      <c r="C828" s="432"/>
      <c r="D828" s="433"/>
      <c r="E828" s="433"/>
      <c r="F828" s="434"/>
      <c r="G828" s="434"/>
    </row>
    <row r="829" spans="1:7">
      <c r="A829" s="380"/>
      <c r="B829" s="380"/>
      <c r="C829" s="432"/>
      <c r="D829" s="433"/>
      <c r="E829" s="433"/>
      <c r="F829" s="434"/>
      <c r="G829" s="434"/>
    </row>
    <row r="830" spans="1:7">
      <c r="A830" s="380"/>
      <c r="B830" s="380"/>
      <c r="C830" s="432"/>
      <c r="D830" s="433"/>
      <c r="E830" s="433"/>
      <c r="F830" s="434"/>
      <c r="G830" s="434"/>
    </row>
    <row r="831" spans="1:7">
      <c r="A831" s="380"/>
      <c r="B831" s="380"/>
      <c r="C831" s="432"/>
      <c r="D831" s="433"/>
      <c r="E831" s="433"/>
      <c r="F831" s="434"/>
      <c r="G831" s="434"/>
    </row>
    <row r="832" spans="1:7">
      <c r="A832" s="380"/>
      <c r="B832" s="380"/>
      <c r="C832" s="432"/>
      <c r="D832" s="433"/>
      <c r="E832" s="433"/>
      <c r="F832" s="434"/>
      <c r="G832" s="434"/>
    </row>
    <row r="833" spans="1:7">
      <c r="A833" s="380"/>
      <c r="B833" s="380"/>
      <c r="C833" s="432"/>
      <c r="D833" s="433"/>
      <c r="E833" s="433"/>
      <c r="F833" s="434"/>
      <c r="G833" s="434"/>
    </row>
    <row r="834" spans="1:7">
      <c r="A834" s="380"/>
      <c r="B834" s="380"/>
      <c r="C834" s="432"/>
      <c r="D834" s="433"/>
      <c r="E834" s="433"/>
      <c r="F834" s="434"/>
      <c r="G834" s="434"/>
    </row>
    <row r="835" spans="1:7">
      <c r="A835" s="380"/>
      <c r="B835" s="380"/>
      <c r="C835" s="432"/>
      <c r="D835" s="433"/>
      <c r="E835" s="433"/>
      <c r="F835" s="434"/>
      <c r="G835" s="434"/>
    </row>
    <row r="836" spans="1:7">
      <c r="A836" s="380"/>
      <c r="B836" s="380"/>
      <c r="C836" s="432"/>
      <c r="D836" s="433"/>
      <c r="E836" s="433"/>
      <c r="F836" s="434"/>
      <c r="G836" s="434"/>
    </row>
    <row r="837" spans="1:7">
      <c r="A837" s="380"/>
      <c r="B837" s="380"/>
      <c r="C837" s="432"/>
      <c r="D837" s="433"/>
      <c r="E837" s="433"/>
      <c r="F837" s="434"/>
      <c r="G837" s="434"/>
    </row>
    <row r="838" spans="1:7">
      <c r="A838" s="380"/>
      <c r="B838" s="380"/>
      <c r="C838" s="432"/>
      <c r="D838" s="433"/>
      <c r="E838" s="433"/>
      <c r="F838" s="434"/>
      <c r="G838" s="434"/>
    </row>
    <row r="839" spans="1:7">
      <c r="A839" s="380"/>
      <c r="B839" s="380"/>
      <c r="C839" s="432"/>
      <c r="D839" s="433"/>
      <c r="E839" s="433"/>
      <c r="F839" s="434"/>
      <c r="G839" s="434"/>
    </row>
    <row r="840" spans="1:7">
      <c r="A840" s="380"/>
      <c r="B840" s="380"/>
      <c r="C840" s="432"/>
      <c r="D840" s="433"/>
      <c r="E840" s="433"/>
      <c r="F840" s="434"/>
      <c r="G840" s="434"/>
    </row>
    <row r="841" spans="1:7">
      <c r="A841" s="380"/>
      <c r="B841" s="380"/>
      <c r="C841" s="432"/>
      <c r="D841" s="433"/>
      <c r="E841" s="433"/>
      <c r="F841" s="434"/>
      <c r="G841" s="434"/>
    </row>
    <row r="842" spans="1:7">
      <c r="A842" s="380"/>
      <c r="B842" s="380"/>
      <c r="C842" s="432"/>
      <c r="D842" s="433"/>
      <c r="E842" s="433"/>
      <c r="F842" s="434"/>
      <c r="G842" s="434"/>
    </row>
    <row r="843" spans="1:7">
      <c r="A843" s="380"/>
      <c r="B843" s="380"/>
      <c r="C843" s="432"/>
      <c r="D843" s="433"/>
      <c r="E843" s="433"/>
      <c r="F843" s="434"/>
      <c r="G843" s="434"/>
    </row>
    <row r="844" spans="1:7">
      <c r="A844" s="380"/>
      <c r="B844" s="380"/>
      <c r="C844" s="432"/>
      <c r="D844" s="433"/>
      <c r="E844" s="433"/>
      <c r="F844" s="434"/>
      <c r="G844" s="434"/>
    </row>
    <row r="845" spans="1:7">
      <c r="A845" s="380"/>
      <c r="B845" s="380"/>
      <c r="C845" s="432"/>
      <c r="D845" s="433"/>
      <c r="E845" s="433"/>
      <c r="F845" s="434"/>
      <c r="G845" s="434"/>
    </row>
    <row r="846" spans="1:7">
      <c r="A846" s="380"/>
      <c r="B846" s="380"/>
      <c r="C846" s="432"/>
      <c r="D846" s="433"/>
      <c r="E846" s="433"/>
      <c r="F846" s="434"/>
      <c r="G846" s="434"/>
    </row>
    <row r="847" spans="1:7">
      <c r="A847" s="380"/>
      <c r="B847" s="380"/>
      <c r="C847" s="432"/>
      <c r="D847" s="433"/>
      <c r="E847" s="433"/>
      <c r="F847" s="434"/>
      <c r="G847" s="434"/>
    </row>
    <row r="848" spans="1:7">
      <c r="A848" s="380"/>
      <c r="B848" s="380"/>
      <c r="C848" s="432"/>
      <c r="D848" s="433"/>
      <c r="E848" s="433"/>
      <c r="F848" s="434"/>
      <c r="G848" s="434"/>
    </row>
    <row r="849" spans="1:7">
      <c r="A849" s="380"/>
      <c r="B849" s="380"/>
      <c r="C849" s="432"/>
      <c r="D849" s="433"/>
      <c r="E849" s="433"/>
      <c r="F849" s="434"/>
      <c r="G849" s="434"/>
    </row>
    <row r="850" spans="1:7">
      <c r="A850" s="380"/>
      <c r="B850" s="380"/>
      <c r="C850" s="432"/>
      <c r="D850" s="433"/>
      <c r="E850" s="433"/>
      <c r="F850" s="434"/>
      <c r="G850" s="434"/>
    </row>
    <row r="851" spans="1:7">
      <c r="A851" s="380"/>
      <c r="B851" s="380"/>
      <c r="C851" s="432"/>
      <c r="D851" s="433"/>
      <c r="E851" s="433"/>
      <c r="F851" s="434"/>
      <c r="G851" s="434"/>
    </row>
    <row r="852" spans="1:7">
      <c r="A852" s="380"/>
      <c r="B852" s="380"/>
      <c r="C852" s="432"/>
      <c r="D852" s="433"/>
      <c r="E852" s="433"/>
      <c r="F852" s="434"/>
      <c r="G852" s="434"/>
    </row>
    <row r="853" spans="1:7">
      <c r="A853" s="380"/>
      <c r="B853" s="380"/>
      <c r="C853" s="432"/>
      <c r="D853" s="433"/>
      <c r="E853" s="433"/>
      <c r="F853" s="434"/>
      <c r="G853" s="434"/>
    </row>
    <row r="854" spans="1:7">
      <c r="A854" s="380"/>
      <c r="B854" s="380"/>
      <c r="C854" s="432"/>
      <c r="D854" s="433"/>
      <c r="E854" s="433"/>
      <c r="F854" s="434"/>
      <c r="G854" s="434"/>
    </row>
    <row r="855" spans="1:7">
      <c r="A855" s="380"/>
      <c r="B855" s="380"/>
      <c r="C855" s="432"/>
      <c r="D855" s="433"/>
      <c r="E855" s="433"/>
      <c r="F855" s="434"/>
      <c r="G855" s="434"/>
    </row>
    <row r="856" spans="1:7">
      <c r="A856" s="380"/>
      <c r="B856" s="380"/>
      <c r="C856" s="432"/>
      <c r="D856" s="433"/>
      <c r="E856" s="433"/>
      <c r="F856" s="434"/>
      <c r="G856" s="434"/>
    </row>
    <row r="857" spans="1:7">
      <c r="A857" s="380"/>
      <c r="B857" s="380"/>
      <c r="C857" s="432"/>
      <c r="D857" s="433"/>
      <c r="E857" s="433"/>
      <c r="F857" s="434"/>
      <c r="G857" s="434"/>
    </row>
    <row r="858" spans="1:7">
      <c r="A858" s="380"/>
      <c r="B858" s="380"/>
      <c r="C858" s="432"/>
      <c r="D858" s="433"/>
      <c r="E858" s="433"/>
      <c r="F858" s="434"/>
      <c r="G858" s="434"/>
    </row>
    <row r="859" spans="1:7">
      <c r="A859" s="380"/>
      <c r="B859" s="380"/>
      <c r="C859" s="432"/>
      <c r="D859" s="433"/>
      <c r="E859" s="433"/>
      <c r="F859" s="434"/>
      <c r="G859" s="434"/>
    </row>
    <row r="860" spans="1:7">
      <c r="A860" s="380"/>
      <c r="B860" s="380"/>
      <c r="C860" s="432"/>
      <c r="D860" s="433"/>
      <c r="E860" s="433"/>
      <c r="F860" s="434"/>
      <c r="G860" s="434"/>
    </row>
    <row r="861" spans="1:7">
      <c r="A861" s="380"/>
      <c r="B861" s="380"/>
      <c r="C861" s="432"/>
      <c r="D861" s="433"/>
      <c r="E861" s="433"/>
      <c r="F861" s="434"/>
      <c r="G861" s="434"/>
    </row>
    <row r="862" spans="1:7">
      <c r="A862" s="380"/>
      <c r="B862" s="380"/>
      <c r="C862" s="432"/>
      <c r="D862" s="433"/>
      <c r="E862" s="433"/>
      <c r="F862" s="434"/>
      <c r="G862" s="434"/>
    </row>
    <row r="863" spans="1:7">
      <c r="A863" s="380"/>
      <c r="B863" s="380"/>
      <c r="C863" s="432"/>
      <c r="D863" s="433"/>
      <c r="E863" s="433"/>
      <c r="F863" s="434"/>
      <c r="G863" s="434"/>
    </row>
    <row r="864" spans="1:7">
      <c r="A864" s="380"/>
      <c r="B864" s="380"/>
      <c r="C864" s="432"/>
      <c r="D864" s="433"/>
      <c r="E864" s="433"/>
      <c r="F864" s="434"/>
      <c r="G864" s="434"/>
    </row>
    <row r="865" spans="1:7">
      <c r="A865" s="380"/>
      <c r="B865" s="380"/>
      <c r="C865" s="432"/>
      <c r="D865" s="433"/>
      <c r="E865" s="433"/>
      <c r="F865" s="434"/>
      <c r="G865" s="434"/>
    </row>
    <row r="866" spans="1:7">
      <c r="A866" s="380"/>
      <c r="B866" s="380"/>
      <c r="C866" s="432"/>
      <c r="D866" s="433"/>
      <c r="E866" s="433"/>
      <c r="F866" s="434"/>
      <c r="G866" s="434"/>
    </row>
    <row r="867" spans="1:7">
      <c r="A867" s="380"/>
      <c r="B867" s="380"/>
      <c r="C867" s="432"/>
      <c r="D867" s="433"/>
      <c r="E867" s="433"/>
      <c r="F867" s="434"/>
      <c r="G867" s="434"/>
    </row>
    <row r="868" spans="1:7">
      <c r="A868" s="380"/>
      <c r="B868" s="380"/>
      <c r="C868" s="432"/>
      <c r="D868" s="433"/>
      <c r="E868" s="433"/>
      <c r="F868" s="434"/>
      <c r="G868" s="434"/>
    </row>
    <row r="869" spans="1:7">
      <c r="A869" s="380"/>
      <c r="B869" s="380"/>
      <c r="C869" s="432"/>
      <c r="D869" s="433"/>
      <c r="E869" s="433"/>
      <c r="F869" s="434"/>
      <c r="G869" s="434"/>
    </row>
    <row r="870" spans="1:7">
      <c r="A870" s="380"/>
      <c r="B870" s="380"/>
      <c r="C870" s="432"/>
      <c r="D870" s="433"/>
      <c r="E870" s="433"/>
      <c r="F870" s="434"/>
      <c r="G870" s="434"/>
    </row>
    <row r="871" spans="1:7">
      <c r="A871" s="380"/>
      <c r="B871" s="380"/>
      <c r="C871" s="432"/>
      <c r="D871" s="433"/>
      <c r="E871" s="433"/>
      <c r="F871" s="434"/>
      <c r="G871" s="434"/>
    </row>
    <row r="872" spans="1:7">
      <c r="A872" s="380"/>
      <c r="B872" s="380"/>
      <c r="C872" s="432"/>
      <c r="D872" s="433"/>
      <c r="E872" s="433"/>
      <c r="F872" s="434"/>
      <c r="G872" s="434"/>
    </row>
    <row r="873" spans="1:7">
      <c r="A873" s="380"/>
      <c r="B873" s="380"/>
      <c r="C873" s="432"/>
      <c r="D873" s="433"/>
      <c r="E873" s="433"/>
      <c r="F873" s="434"/>
      <c r="G873" s="434"/>
    </row>
    <row r="874" spans="1:7">
      <c r="A874" s="380"/>
      <c r="B874" s="380"/>
      <c r="C874" s="432"/>
      <c r="D874" s="433"/>
      <c r="E874" s="433"/>
      <c r="F874" s="434"/>
      <c r="G874" s="434"/>
    </row>
    <row r="875" spans="1:7">
      <c r="A875" s="380"/>
      <c r="B875" s="380"/>
      <c r="C875" s="432"/>
      <c r="D875" s="433"/>
      <c r="E875" s="433"/>
      <c r="F875" s="434"/>
      <c r="G875" s="434"/>
    </row>
    <row r="876" spans="1:7">
      <c r="A876" s="380"/>
      <c r="B876" s="380"/>
      <c r="C876" s="432"/>
      <c r="D876" s="433"/>
      <c r="E876" s="433"/>
      <c r="F876" s="434"/>
      <c r="G876" s="434"/>
    </row>
    <row r="877" spans="1:7">
      <c r="A877" s="380"/>
      <c r="B877" s="380"/>
      <c r="C877" s="432"/>
      <c r="D877" s="433"/>
      <c r="E877" s="433"/>
      <c r="F877" s="434"/>
      <c r="G877" s="434"/>
    </row>
    <row r="878" spans="1:7">
      <c r="A878" s="380"/>
      <c r="B878" s="380"/>
      <c r="C878" s="432"/>
      <c r="D878" s="433"/>
      <c r="E878" s="433"/>
      <c r="F878" s="434"/>
      <c r="G878" s="434"/>
    </row>
    <row r="879" spans="1:7">
      <c r="A879" s="380"/>
      <c r="B879" s="380"/>
      <c r="C879" s="432"/>
      <c r="D879" s="433"/>
      <c r="E879" s="433"/>
      <c r="F879" s="434"/>
      <c r="G879" s="434"/>
    </row>
    <row r="880" spans="1:7">
      <c r="A880" s="380"/>
      <c r="B880" s="380"/>
      <c r="C880" s="432"/>
      <c r="D880" s="433"/>
      <c r="E880" s="433"/>
      <c r="F880" s="434"/>
      <c r="G880" s="434"/>
    </row>
    <row r="881" spans="1:7">
      <c r="A881" s="380"/>
      <c r="B881" s="380"/>
      <c r="C881" s="432"/>
      <c r="D881" s="433"/>
      <c r="E881" s="433"/>
      <c r="F881" s="434"/>
      <c r="G881" s="434"/>
    </row>
    <row r="882" spans="1:7">
      <c r="A882" s="380"/>
      <c r="B882" s="380"/>
      <c r="C882" s="432"/>
      <c r="D882" s="433"/>
      <c r="E882" s="433"/>
      <c r="F882" s="434"/>
      <c r="G882" s="434"/>
    </row>
    <row r="883" spans="1:7">
      <c r="A883" s="380"/>
      <c r="B883" s="380"/>
      <c r="C883" s="432"/>
      <c r="D883" s="433"/>
      <c r="E883" s="433"/>
      <c r="F883" s="434"/>
      <c r="G883" s="434"/>
    </row>
    <row r="884" spans="1:7">
      <c r="A884" s="380"/>
      <c r="B884" s="380"/>
      <c r="C884" s="432"/>
      <c r="D884" s="433"/>
      <c r="E884" s="433"/>
      <c r="F884" s="434"/>
      <c r="G884" s="434"/>
    </row>
    <row r="885" spans="1:7">
      <c r="A885" s="380"/>
      <c r="B885" s="380"/>
      <c r="C885" s="432"/>
      <c r="D885" s="433"/>
      <c r="E885" s="433"/>
      <c r="F885" s="434"/>
      <c r="G885" s="434"/>
    </row>
    <row r="886" spans="1:7">
      <c r="A886" s="380"/>
      <c r="B886" s="380"/>
      <c r="C886" s="432"/>
      <c r="D886" s="433"/>
      <c r="E886" s="433"/>
      <c r="F886" s="434"/>
      <c r="G886" s="434"/>
    </row>
    <row r="887" spans="1:7">
      <c r="A887" s="380"/>
      <c r="B887" s="380"/>
      <c r="C887" s="432"/>
      <c r="D887" s="433"/>
      <c r="E887" s="433"/>
      <c r="F887" s="434"/>
      <c r="G887" s="434"/>
    </row>
    <row r="888" spans="1:7">
      <c r="A888" s="380"/>
      <c r="B888" s="380"/>
      <c r="C888" s="432"/>
      <c r="D888" s="433"/>
      <c r="E888" s="433"/>
      <c r="F888" s="434"/>
      <c r="G888" s="434"/>
    </row>
    <row r="889" spans="1:7">
      <c r="A889" s="380"/>
      <c r="B889" s="380"/>
      <c r="C889" s="432"/>
      <c r="D889" s="433"/>
      <c r="E889" s="433"/>
      <c r="F889" s="434"/>
      <c r="G889" s="434"/>
    </row>
    <row r="890" spans="1:7">
      <c r="A890" s="380"/>
      <c r="B890" s="380"/>
      <c r="C890" s="432"/>
      <c r="D890" s="433"/>
      <c r="E890" s="433"/>
      <c r="F890" s="434"/>
      <c r="G890" s="434"/>
    </row>
    <row r="891" spans="1:7">
      <c r="A891" s="380"/>
      <c r="B891" s="380"/>
      <c r="C891" s="432"/>
      <c r="D891" s="433"/>
      <c r="E891" s="433"/>
      <c r="F891" s="434"/>
      <c r="G891" s="434"/>
    </row>
    <row r="892" spans="1:7">
      <c r="A892" s="380"/>
      <c r="B892" s="380"/>
      <c r="C892" s="432"/>
      <c r="D892" s="433"/>
      <c r="E892" s="433"/>
      <c r="F892" s="434"/>
      <c r="G892" s="434"/>
    </row>
    <row r="893" spans="1:7">
      <c r="A893" s="380"/>
      <c r="B893" s="380"/>
      <c r="C893" s="432"/>
      <c r="D893" s="433"/>
      <c r="E893" s="433"/>
      <c r="F893" s="434"/>
      <c r="G893" s="434"/>
    </row>
    <row r="894" spans="1:7">
      <c r="A894" s="380"/>
      <c r="B894" s="380"/>
      <c r="C894" s="432"/>
      <c r="D894" s="433"/>
      <c r="E894" s="433"/>
      <c r="F894" s="434"/>
      <c r="G894" s="434"/>
    </row>
    <row r="895" spans="1:7">
      <c r="A895" s="380"/>
      <c r="B895" s="380"/>
      <c r="C895" s="432"/>
      <c r="D895" s="433"/>
      <c r="E895" s="433"/>
      <c r="F895" s="434"/>
      <c r="G895" s="434"/>
    </row>
    <row r="896" spans="1:7">
      <c r="A896" s="380"/>
      <c r="B896" s="380"/>
      <c r="C896" s="432"/>
      <c r="D896" s="433"/>
      <c r="E896" s="433"/>
      <c r="F896" s="434"/>
      <c r="G896" s="434"/>
    </row>
    <row r="897" spans="1:7">
      <c r="A897" s="380"/>
      <c r="B897" s="380"/>
      <c r="C897" s="432"/>
      <c r="D897" s="433"/>
      <c r="E897" s="433"/>
      <c r="F897" s="434"/>
      <c r="G897" s="434"/>
    </row>
    <row r="898" spans="1:7">
      <c r="A898" s="380"/>
      <c r="B898" s="380"/>
      <c r="C898" s="432"/>
      <c r="D898" s="433"/>
      <c r="E898" s="433"/>
      <c r="F898" s="434"/>
      <c r="G898" s="434"/>
    </row>
    <row r="899" spans="1:7">
      <c r="A899" s="380"/>
      <c r="B899" s="380"/>
      <c r="C899" s="432"/>
      <c r="D899" s="433"/>
      <c r="E899" s="433"/>
      <c r="F899" s="434"/>
      <c r="G899" s="434"/>
    </row>
    <row r="900" spans="1:7">
      <c r="A900" s="380"/>
      <c r="B900" s="380"/>
      <c r="C900" s="432"/>
      <c r="D900" s="433"/>
      <c r="E900" s="433"/>
      <c r="F900" s="434"/>
      <c r="G900" s="434"/>
    </row>
    <row r="901" spans="1:7">
      <c r="A901" s="380"/>
      <c r="B901" s="380"/>
      <c r="C901" s="432"/>
      <c r="D901" s="433"/>
      <c r="E901" s="433"/>
      <c r="F901" s="434"/>
      <c r="G901" s="434"/>
    </row>
    <row r="902" spans="1:7">
      <c r="A902" s="380"/>
      <c r="B902" s="380"/>
      <c r="C902" s="432"/>
      <c r="D902" s="433"/>
      <c r="E902" s="433"/>
      <c r="F902" s="434"/>
      <c r="G902" s="434"/>
    </row>
    <row r="903" spans="1:7">
      <c r="A903" s="380"/>
      <c r="B903" s="380"/>
      <c r="C903" s="432"/>
      <c r="D903" s="433"/>
      <c r="E903" s="433"/>
      <c r="F903" s="434"/>
      <c r="G903" s="434"/>
    </row>
    <row r="904" spans="1:7">
      <c r="A904" s="380"/>
      <c r="B904" s="380"/>
      <c r="C904" s="432"/>
      <c r="D904" s="433"/>
      <c r="E904" s="433"/>
      <c r="F904" s="434"/>
      <c r="G904" s="434"/>
    </row>
    <row r="905" spans="1:7">
      <c r="A905" s="380"/>
      <c r="B905" s="380"/>
      <c r="C905" s="432"/>
      <c r="D905" s="433"/>
      <c r="E905" s="433"/>
      <c r="F905" s="434"/>
      <c r="G905" s="434"/>
    </row>
    <row r="906" spans="1:7">
      <c r="A906" s="380"/>
      <c r="B906" s="380"/>
      <c r="C906" s="432"/>
      <c r="D906" s="433"/>
      <c r="E906" s="433"/>
      <c r="F906" s="434"/>
      <c r="G906" s="434"/>
    </row>
    <row r="907" spans="1:7">
      <c r="A907" s="380"/>
      <c r="B907" s="380"/>
      <c r="C907" s="432"/>
      <c r="D907" s="433"/>
      <c r="E907" s="433"/>
      <c r="F907" s="434"/>
      <c r="G907" s="434"/>
    </row>
    <row r="908" spans="1:7">
      <c r="A908" s="380"/>
      <c r="B908" s="380"/>
      <c r="C908" s="432"/>
      <c r="D908" s="433"/>
      <c r="E908" s="433"/>
      <c r="F908" s="434"/>
      <c r="G908" s="434"/>
    </row>
    <row r="909" spans="1:7">
      <c r="A909" s="380"/>
      <c r="B909" s="380"/>
      <c r="C909" s="432"/>
      <c r="D909" s="433"/>
      <c r="E909" s="433"/>
      <c r="F909" s="434"/>
      <c r="G909" s="434"/>
    </row>
    <row r="910" spans="1:7">
      <c r="A910" s="380"/>
      <c r="B910" s="380"/>
      <c r="C910" s="432"/>
      <c r="D910" s="433"/>
      <c r="E910" s="433"/>
      <c r="F910" s="434"/>
      <c r="G910" s="434"/>
    </row>
    <row r="911" spans="1:7">
      <c r="A911" s="380"/>
      <c r="B911" s="380"/>
      <c r="C911" s="432"/>
      <c r="D911" s="433"/>
      <c r="E911" s="433"/>
      <c r="F911" s="434"/>
      <c r="G911" s="434"/>
    </row>
    <row r="912" spans="1:7">
      <c r="A912" s="380"/>
      <c r="B912" s="380"/>
      <c r="C912" s="432"/>
      <c r="D912" s="433"/>
      <c r="E912" s="433"/>
      <c r="F912" s="434"/>
      <c r="G912" s="434"/>
    </row>
    <row r="913" spans="1:7">
      <c r="A913" s="380"/>
      <c r="B913" s="380"/>
      <c r="C913" s="432"/>
      <c r="D913" s="433"/>
      <c r="E913" s="433"/>
      <c r="F913" s="434"/>
      <c r="G913" s="434"/>
    </row>
    <row r="914" spans="1:7">
      <c r="A914" s="380"/>
      <c r="B914" s="380"/>
      <c r="C914" s="432"/>
      <c r="D914" s="433"/>
      <c r="E914" s="433"/>
      <c r="F914" s="434"/>
      <c r="G914" s="434"/>
    </row>
    <row r="915" spans="1:7">
      <c r="A915" s="380"/>
      <c r="B915" s="380"/>
      <c r="C915" s="432"/>
      <c r="D915" s="433"/>
      <c r="E915" s="433"/>
      <c r="F915" s="434"/>
      <c r="G915" s="434"/>
    </row>
    <row r="916" spans="1:7">
      <c r="A916" s="380"/>
      <c r="B916" s="380"/>
      <c r="C916" s="432"/>
      <c r="D916" s="433"/>
      <c r="E916" s="433"/>
      <c r="F916" s="434"/>
      <c r="G916" s="434"/>
    </row>
    <row r="917" spans="1:7">
      <c r="A917" s="380"/>
      <c r="B917" s="380"/>
      <c r="C917" s="432"/>
      <c r="D917" s="433"/>
      <c r="E917" s="433"/>
      <c r="F917" s="434"/>
      <c r="G917" s="434"/>
    </row>
    <row r="918" spans="1:7">
      <c r="A918" s="380"/>
      <c r="B918" s="380"/>
      <c r="C918" s="432"/>
      <c r="D918" s="433"/>
      <c r="E918" s="433"/>
      <c r="F918" s="434"/>
      <c r="G918" s="434"/>
    </row>
    <row r="919" spans="1:7">
      <c r="A919" s="380"/>
      <c r="B919" s="380"/>
      <c r="C919" s="432"/>
      <c r="D919" s="433"/>
      <c r="E919" s="433"/>
      <c r="F919" s="434"/>
      <c r="G919" s="434"/>
    </row>
    <row r="920" spans="1:7">
      <c r="A920" s="380"/>
      <c r="B920" s="380"/>
      <c r="C920" s="432"/>
      <c r="D920" s="433"/>
      <c r="E920" s="433"/>
      <c r="F920" s="434"/>
      <c r="G920" s="434"/>
    </row>
    <row r="921" spans="1:7">
      <c r="A921" s="380"/>
      <c r="B921" s="380"/>
      <c r="C921" s="432"/>
      <c r="D921" s="433"/>
      <c r="E921" s="433"/>
      <c r="F921" s="434"/>
      <c r="G921" s="434"/>
    </row>
    <row r="922" spans="1:7">
      <c r="A922" s="380"/>
      <c r="B922" s="380"/>
      <c r="C922" s="432"/>
      <c r="D922" s="433"/>
      <c r="E922" s="433"/>
      <c r="F922" s="434"/>
      <c r="G922" s="434"/>
    </row>
    <row r="923" spans="1:7">
      <c r="A923" s="380"/>
      <c r="B923" s="380"/>
      <c r="C923" s="432"/>
      <c r="D923" s="433"/>
      <c r="E923" s="433"/>
      <c r="F923" s="434"/>
      <c r="G923" s="434"/>
    </row>
    <row r="924" spans="1:7">
      <c r="A924" s="380"/>
      <c r="B924" s="380"/>
      <c r="C924" s="432"/>
      <c r="D924" s="433"/>
      <c r="E924" s="433"/>
      <c r="F924" s="434"/>
      <c r="G924" s="434"/>
    </row>
    <row r="925" spans="1:7">
      <c r="A925" s="380"/>
      <c r="B925" s="380"/>
      <c r="C925" s="432"/>
      <c r="D925" s="433"/>
      <c r="E925" s="433"/>
      <c r="F925" s="434"/>
      <c r="G925" s="434"/>
    </row>
    <row r="926" spans="1:7">
      <c r="A926" s="380"/>
      <c r="B926" s="380"/>
      <c r="C926" s="432"/>
      <c r="D926" s="433"/>
      <c r="E926" s="433"/>
      <c r="F926" s="434"/>
      <c r="G926" s="434"/>
    </row>
    <row r="927" spans="1:7">
      <c r="A927" s="380"/>
      <c r="B927" s="380"/>
      <c r="C927" s="432"/>
      <c r="D927" s="433"/>
      <c r="E927" s="433"/>
      <c r="F927" s="434"/>
      <c r="G927" s="434"/>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27"/>
  <sheetViews>
    <sheetView zoomScale="55" zoomScaleNormal="55" workbookViewId="0">
      <pane ySplit="13" topLeftCell="A113" activePane="bottomLeft" state="frozen"/>
      <selection pane="bottomLeft" activeCell="F113" sqref="F113:F115"/>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7"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9" customFormat="1" ht="30" customHeight="1">
      <c r="B1" s="209"/>
      <c r="C1" s="209"/>
      <c r="F1" s="470"/>
      <c r="G1" s="471"/>
      <c r="H1" s="471"/>
      <c r="L1" s="471"/>
      <c r="M1" s="471"/>
      <c r="N1" s="469" t="s">
        <v>3723</v>
      </c>
      <c r="O1" s="472">
        <f>SUMIF(Table1[Status Realisasi],N1,Table1[Nilai SP2D])</f>
        <v>675810352</v>
      </c>
      <c r="P1" s="469">
        <v>1</v>
      </c>
      <c r="Q1" s="472">
        <f>SUMIF(Table1[Urut],P1,Table1[Nilai SP2D])</f>
        <v>208949299</v>
      </c>
    </row>
    <row r="2" spans="2:20" s="469" customFormat="1" ht="30" customHeight="1">
      <c r="B2" s="209"/>
      <c r="C2" s="209"/>
      <c r="F2" s="470"/>
      <c r="G2" s="471"/>
      <c r="H2" s="471"/>
      <c r="L2" s="471"/>
      <c r="M2" s="471"/>
      <c r="N2" s="469" t="s">
        <v>3724</v>
      </c>
      <c r="O2" s="472">
        <f>SUMIF(Table1[Status Realisasi],N2,Table1[Nilai SP2D])</f>
        <v>879545808</v>
      </c>
      <c r="P2" s="469">
        <v>2</v>
      </c>
      <c r="Q2" s="472">
        <f>SUMIF(Table1[Urut],P2,Table1[Nilai SP2D])</f>
        <v>545654728</v>
      </c>
    </row>
    <row r="3" spans="2:20" s="469" customFormat="1" ht="30" customHeight="1">
      <c r="B3" s="209"/>
      <c r="C3" s="209"/>
      <c r="F3" s="470"/>
      <c r="G3" s="471"/>
      <c r="H3" s="471"/>
      <c r="L3" s="471"/>
      <c r="M3" s="471"/>
      <c r="N3" s="469" t="s">
        <v>7763</v>
      </c>
      <c r="O3" s="472">
        <f>SUMIF(Table1[Status Realisasi],N3,Table1[Nilai SP2D])</f>
        <v>650449424</v>
      </c>
      <c r="P3" s="469">
        <v>3</v>
      </c>
      <c r="Q3" s="472">
        <f>SUMIF(Table1[Urut],P3,Table1[Nilai SP2D])</f>
        <v>1165523791</v>
      </c>
    </row>
    <row r="4" spans="2:20" s="469" customFormat="1" ht="30" customHeight="1">
      <c r="B4" s="209"/>
      <c r="C4" s="209"/>
      <c r="E4" s="473"/>
      <c r="F4" s="470"/>
      <c r="G4" s="471"/>
      <c r="H4" s="471"/>
      <c r="K4" s="471"/>
      <c r="L4" s="471"/>
      <c r="M4" s="471"/>
      <c r="N4" s="469" t="s">
        <v>7762</v>
      </c>
      <c r="O4" s="472">
        <f>SUMIF(Table1[Status Realisasi],N4,Table1[Nilai SP2D])</f>
        <v>10597800</v>
      </c>
      <c r="P4" s="469">
        <v>4</v>
      </c>
      <c r="Q4" s="472">
        <f>SUMIF(Table1[Urut],P4,Table1[Nilai SP2D])</f>
        <v>2703882879</v>
      </c>
    </row>
    <row r="5" spans="2:20" s="469" customFormat="1" ht="30" customHeight="1">
      <c r="B5" s="209"/>
      <c r="C5" s="209"/>
      <c r="E5" s="473"/>
      <c r="F5" s="470"/>
      <c r="G5" s="471"/>
      <c r="H5" s="471"/>
      <c r="K5" s="471"/>
      <c r="L5" s="471"/>
      <c r="M5" s="471"/>
      <c r="N5" s="469" t="s">
        <v>4408</v>
      </c>
      <c r="O5" s="472">
        <f>SUMIF(Table1[Status Realisasi],N5,Table1[Nilai SP2D])</f>
        <v>509120000</v>
      </c>
      <c r="P5" s="469">
        <v>5</v>
      </c>
      <c r="Q5" s="472">
        <f>SUMIF(Table1[Urut],P5,Table1[Nilai SP2D])</f>
        <v>1741539257</v>
      </c>
    </row>
    <row r="6" spans="2:20" s="469" customFormat="1" ht="30" customHeight="1">
      <c r="B6" s="209"/>
      <c r="C6" s="209"/>
      <c r="E6" s="473"/>
      <c r="F6" s="470"/>
      <c r="G6" s="471"/>
      <c r="H6" s="471"/>
      <c r="K6" s="471"/>
      <c r="L6" s="474">
        <f>SUM(O10:O12)</f>
        <v>12165643063</v>
      </c>
      <c r="M6" s="471"/>
      <c r="N6" s="469" t="s">
        <v>4406</v>
      </c>
      <c r="O6" s="472">
        <f>SUMIF(Table1[Status Realisasi],N6,Table1[Nilai SP2D])</f>
        <v>4807560092</v>
      </c>
      <c r="P6" s="469">
        <v>6</v>
      </c>
      <c r="Q6" s="472">
        <f>SUMIF(Table1[Urut],P6,Table1[Nilai SP2D])</f>
        <v>3057804382</v>
      </c>
      <c r="T6" s="469" t="s">
        <v>4470</v>
      </c>
    </row>
    <row r="7" spans="2:20" s="469" customFormat="1" ht="30" customHeight="1">
      <c r="B7" s="209"/>
      <c r="C7" s="209"/>
      <c r="E7" s="473"/>
      <c r="F7" s="470"/>
      <c r="G7" s="471"/>
      <c r="H7" s="471"/>
      <c r="K7" s="471"/>
      <c r="L7" s="474">
        <f>O11+O12</f>
        <v>8187283476</v>
      </c>
      <c r="M7" s="471"/>
      <c r="N7" s="469" t="s">
        <v>4407</v>
      </c>
      <c r="O7" s="472">
        <f>SUMIF(Table1[Status Realisasi],N7,Table1[Nilai SP2D])</f>
        <v>3978359587</v>
      </c>
      <c r="P7" s="469">
        <v>7</v>
      </c>
      <c r="Q7" s="472">
        <f>SUMIF(Table1[Urut],P7,Table1[Nilai SP2D])</f>
        <v>2322323349</v>
      </c>
    </row>
    <row r="8" spans="2:20" s="469" customFormat="1" ht="30" customHeight="1">
      <c r="B8" s="209"/>
      <c r="C8" s="209"/>
      <c r="E8" s="473"/>
      <c r="F8" s="470"/>
      <c r="G8" s="471"/>
      <c r="H8" s="471"/>
      <c r="K8" s="471"/>
      <c r="L8" s="516">
        <f>O1+O2+O3+O4+O5+O6+O8</f>
        <v>8187283476</v>
      </c>
      <c r="M8" s="471"/>
      <c r="N8" s="469" t="s">
        <v>4409</v>
      </c>
      <c r="O8" s="472">
        <f>SUMIF(Table1[Status Realisasi],N8,Table1[Nilai SP2D])</f>
        <v>654200000</v>
      </c>
      <c r="P8" s="469">
        <v>8</v>
      </c>
      <c r="Q8" s="472">
        <f>SUMIF(Table1[Urut],P8,Table1[Nilai SP2D])</f>
        <v>419965378</v>
      </c>
    </row>
    <row r="9" spans="2:20" s="469" customFormat="1" ht="30" customHeight="1">
      <c r="B9" s="209"/>
      <c r="C9" s="209"/>
      <c r="E9" s="473"/>
      <c r="F9" s="470"/>
      <c r="G9" s="471"/>
      <c r="H9" s="471"/>
      <c r="K9" s="471"/>
      <c r="L9" s="475"/>
      <c r="M9" s="471"/>
      <c r="P9" s="469">
        <v>9</v>
      </c>
      <c r="Q9" s="472">
        <f>SUMIF(Table1[Urut],P9,Table1[Nilai SP2D])</f>
        <v>0</v>
      </c>
    </row>
    <row r="10" spans="2:20" s="469" customFormat="1" ht="30" customHeight="1">
      <c r="B10" s="209"/>
      <c r="C10" s="209"/>
      <c r="E10" s="473"/>
      <c r="F10" s="470"/>
      <c r="G10" s="471"/>
      <c r="H10" s="471"/>
      <c r="K10" s="471"/>
      <c r="L10" s="471"/>
      <c r="M10" s="471"/>
      <c r="N10" s="469">
        <v>51</v>
      </c>
      <c r="O10" s="472">
        <f>SUMIF(Table1[all],N10,Table1[Nilai SP2D])</f>
        <v>3978359587</v>
      </c>
      <c r="P10" s="469">
        <v>10</v>
      </c>
      <c r="Q10" s="472">
        <f>SUMIF(Table1[Urut],P10,Table1[Nilai SP2D])</f>
        <v>0</v>
      </c>
    </row>
    <row r="11" spans="2:20" s="469" customFormat="1" ht="30" customHeight="1">
      <c r="B11" s="209"/>
      <c r="C11" s="209"/>
      <c r="E11" s="473"/>
      <c r="G11" s="471"/>
      <c r="H11" s="471"/>
      <c r="K11" s="471"/>
      <c r="L11" s="471"/>
      <c r="M11" s="471"/>
      <c r="N11" s="469">
        <v>52</v>
      </c>
      <c r="O11" s="472">
        <f>SUMIF(Table1[all],N11,Table1[Nilai SP2D])</f>
        <v>7533083476</v>
      </c>
      <c r="P11" s="469">
        <v>11</v>
      </c>
      <c r="Q11" s="472">
        <f>SUMIF(Table1[Urut],P11,Table1[Nilai SP2D])</f>
        <v>0</v>
      </c>
    </row>
    <row r="12" spans="2:20" s="469" customFormat="1" ht="30" customHeight="1">
      <c r="B12" s="209"/>
      <c r="C12" s="209"/>
      <c r="E12" s="473"/>
      <c r="G12" s="471"/>
      <c r="H12" s="471"/>
      <c r="K12" s="471"/>
      <c r="L12" s="471"/>
      <c r="M12" s="471"/>
      <c r="N12" s="469">
        <v>53</v>
      </c>
      <c r="O12" s="472">
        <f>SUMIF(Table1[all],N12,Table1[Nilai SP2D])</f>
        <v>654200000</v>
      </c>
      <c r="P12" s="469">
        <v>12</v>
      </c>
      <c r="Q12" s="472">
        <f>SUMIF(Table1[Urut],P12,Table1[Nilai SP2D])</f>
        <v>0</v>
      </c>
    </row>
    <row r="13" spans="2:20" s="235" customFormat="1" ht="38.25" customHeight="1">
      <c r="B13" s="341" t="s">
        <v>3906</v>
      </c>
      <c r="C13" s="342" t="s">
        <v>4431</v>
      </c>
      <c r="D13" s="342" t="s">
        <v>3907</v>
      </c>
      <c r="E13" s="342" t="s">
        <v>3908</v>
      </c>
      <c r="F13" s="342" t="s">
        <v>3909</v>
      </c>
      <c r="G13" s="342" t="s">
        <v>3910</v>
      </c>
      <c r="H13" s="342" t="s">
        <v>3911</v>
      </c>
      <c r="I13" s="342" t="s">
        <v>3912</v>
      </c>
      <c r="J13" s="342" t="s">
        <v>3913</v>
      </c>
      <c r="K13" s="342" t="s">
        <v>3914</v>
      </c>
      <c r="L13" s="343" t="s">
        <v>4249</v>
      </c>
      <c r="M13" s="343" t="s">
        <v>4250</v>
      </c>
      <c r="N13" s="343" t="s">
        <v>3766</v>
      </c>
      <c r="O13" s="344" t="s">
        <v>4430</v>
      </c>
      <c r="S13" s="235"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v>
      </c>
    </row>
    <row r="14" spans="2:20" ht="69.95" hidden="1" customHeight="1">
      <c r="B14" s="345">
        <v>1</v>
      </c>
      <c r="C14" s="199">
        <v>1</v>
      </c>
      <c r="D14" s="195" t="s">
        <v>4154</v>
      </c>
      <c r="E14" s="219" t="s">
        <v>4155</v>
      </c>
      <c r="F14" s="196">
        <v>208949299</v>
      </c>
      <c r="G14" s="232" t="s">
        <v>4071</v>
      </c>
      <c r="H14" s="214" t="s">
        <v>4156</v>
      </c>
      <c r="I14" s="195" t="s">
        <v>4155</v>
      </c>
      <c r="J14" s="195" t="s">
        <v>3934</v>
      </c>
      <c r="K14" s="198" t="s">
        <v>4157</v>
      </c>
      <c r="L14" s="243" t="s">
        <v>565</v>
      </c>
      <c r="M14" s="243" t="s">
        <v>4220</v>
      </c>
      <c r="N14" s="252" t="s">
        <v>4407</v>
      </c>
      <c r="O14" s="346">
        <v>51</v>
      </c>
    </row>
    <row r="15" spans="2:20" ht="69.95" hidden="1" customHeight="1">
      <c r="B15" s="345">
        <v>2</v>
      </c>
      <c r="C15" s="199">
        <v>2</v>
      </c>
      <c r="D15" s="199" t="s">
        <v>3915</v>
      </c>
      <c r="E15" s="218" t="s">
        <v>3916</v>
      </c>
      <c r="F15" s="215">
        <v>63640000</v>
      </c>
      <c r="G15" s="227" t="s">
        <v>3917</v>
      </c>
      <c r="H15" s="200" t="s">
        <v>3918</v>
      </c>
      <c r="I15" s="199" t="s">
        <v>3919</v>
      </c>
      <c r="J15" s="199" t="s">
        <v>3920</v>
      </c>
      <c r="K15" s="201" t="s">
        <v>3921</v>
      </c>
      <c r="L15" s="243" t="s">
        <v>565</v>
      </c>
      <c r="M15" s="243" t="s">
        <v>4218</v>
      </c>
      <c r="N15" s="252" t="s">
        <v>4408</v>
      </c>
      <c r="O15" s="346">
        <v>52</v>
      </c>
    </row>
    <row r="16" spans="2:20" ht="69.95" hidden="1" customHeight="1">
      <c r="B16" s="345">
        <v>3</v>
      </c>
      <c r="C16" s="199">
        <v>2</v>
      </c>
      <c r="D16" s="195" t="s">
        <v>4149</v>
      </c>
      <c r="E16" s="219" t="s">
        <v>4150</v>
      </c>
      <c r="F16" s="196">
        <v>203627955</v>
      </c>
      <c r="G16" s="232" t="s">
        <v>4071</v>
      </c>
      <c r="H16" s="214" t="s">
        <v>4151</v>
      </c>
      <c r="I16" s="195" t="s">
        <v>4152</v>
      </c>
      <c r="J16" s="195" t="s">
        <v>3934</v>
      </c>
      <c r="K16" s="198" t="s">
        <v>4153</v>
      </c>
      <c r="L16" s="243" t="s">
        <v>565</v>
      </c>
      <c r="M16" s="243" t="s">
        <v>4220</v>
      </c>
      <c r="N16" s="252" t="s">
        <v>4407</v>
      </c>
      <c r="O16" s="346">
        <v>51</v>
      </c>
    </row>
    <row r="17" spans="2:15" ht="69.95" hidden="1" customHeight="1">
      <c r="B17" s="345">
        <v>4</v>
      </c>
      <c r="C17" s="199">
        <v>2</v>
      </c>
      <c r="D17" s="195" t="s">
        <v>4145</v>
      </c>
      <c r="E17" s="219" t="s">
        <v>4146</v>
      </c>
      <c r="F17" s="196">
        <v>233065910</v>
      </c>
      <c r="G17" s="232" t="s">
        <v>3920</v>
      </c>
      <c r="H17" s="214" t="s">
        <v>4147</v>
      </c>
      <c r="I17" s="195" t="s">
        <v>4146</v>
      </c>
      <c r="J17" s="195" t="s">
        <v>3920</v>
      </c>
      <c r="K17" s="198" t="s">
        <v>4148</v>
      </c>
      <c r="L17" s="243" t="s">
        <v>565</v>
      </c>
      <c r="M17" s="243" t="s">
        <v>4220</v>
      </c>
      <c r="N17" s="252" t="s">
        <v>4407</v>
      </c>
      <c r="O17" s="346">
        <v>51</v>
      </c>
    </row>
    <row r="18" spans="2:15" ht="69.95" hidden="1" customHeight="1">
      <c r="B18" s="345">
        <v>5</v>
      </c>
      <c r="C18" s="199">
        <v>2</v>
      </c>
      <c r="D18" s="195" t="s">
        <v>4139</v>
      </c>
      <c r="E18" s="219" t="s">
        <v>4135</v>
      </c>
      <c r="F18" s="196">
        <v>3208063</v>
      </c>
      <c r="G18" s="232" t="s">
        <v>4103</v>
      </c>
      <c r="H18" s="214" t="s">
        <v>4140</v>
      </c>
      <c r="I18" s="195" t="s">
        <v>4137</v>
      </c>
      <c r="J18" s="195" t="s">
        <v>3920</v>
      </c>
      <c r="K18" s="198" t="s">
        <v>4141</v>
      </c>
      <c r="L18" s="243" t="s">
        <v>565</v>
      </c>
      <c r="M18" s="243" t="s">
        <v>4220</v>
      </c>
      <c r="N18" s="252" t="s">
        <v>4407</v>
      </c>
      <c r="O18" s="346">
        <v>51</v>
      </c>
    </row>
    <row r="19" spans="2:15" ht="69.95" hidden="1" customHeight="1">
      <c r="B19" s="345">
        <v>6</v>
      </c>
      <c r="C19" s="199">
        <v>2</v>
      </c>
      <c r="D19" s="195" t="s">
        <v>4142</v>
      </c>
      <c r="E19" s="219" t="s">
        <v>4135</v>
      </c>
      <c r="F19" s="196">
        <v>31515000</v>
      </c>
      <c r="G19" s="232" t="s">
        <v>4087</v>
      </c>
      <c r="H19" s="214" t="s">
        <v>4143</v>
      </c>
      <c r="I19" s="195" t="s">
        <v>4137</v>
      </c>
      <c r="J19" s="195" t="s">
        <v>3920</v>
      </c>
      <c r="K19" s="198" t="s">
        <v>4144</v>
      </c>
      <c r="L19" s="243" t="s">
        <v>565</v>
      </c>
      <c r="M19" s="243" t="s">
        <v>4220</v>
      </c>
      <c r="N19" s="252" t="s">
        <v>4407</v>
      </c>
      <c r="O19" s="346">
        <v>51</v>
      </c>
    </row>
    <row r="20" spans="2:15" ht="69.95" hidden="1" customHeight="1">
      <c r="B20" s="345">
        <v>7</v>
      </c>
      <c r="C20" s="199">
        <v>2</v>
      </c>
      <c r="D20" s="199" t="s">
        <v>3922</v>
      </c>
      <c r="E20" s="218" t="s">
        <v>3924</v>
      </c>
      <c r="F20" s="215">
        <v>9587800</v>
      </c>
      <c r="G20" s="515" t="s">
        <v>3920</v>
      </c>
      <c r="H20" s="199" t="s">
        <v>3925</v>
      </c>
      <c r="I20" s="199" t="s">
        <v>3923</v>
      </c>
      <c r="J20" s="199" t="s">
        <v>3920</v>
      </c>
      <c r="K20" s="201" t="s">
        <v>3926</v>
      </c>
      <c r="L20" s="243" t="s">
        <v>532</v>
      </c>
      <c r="M20" s="243" t="s">
        <v>4219</v>
      </c>
      <c r="N20" s="209" t="s">
        <v>7762</v>
      </c>
      <c r="O20" s="346">
        <v>52</v>
      </c>
    </row>
    <row r="21" spans="2:15" ht="69.95" hidden="1" customHeight="1">
      <c r="B21" s="345">
        <v>8</v>
      </c>
      <c r="C21" s="199">
        <v>2</v>
      </c>
      <c r="D21" s="199" t="s">
        <v>3927</v>
      </c>
      <c r="E21" s="218" t="s">
        <v>3924</v>
      </c>
      <c r="F21" s="215">
        <v>1010000</v>
      </c>
      <c r="G21" s="515" t="s">
        <v>3920</v>
      </c>
      <c r="H21" s="199" t="s">
        <v>3928</v>
      </c>
      <c r="I21" s="199" t="s">
        <v>3923</v>
      </c>
      <c r="J21" s="199" t="s">
        <v>3920</v>
      </c>
      <c r="K21" s="201" t="s">
        <v>3929</v>
      </c>
      <c r="L21" s="243" t="s">
        <v>532</v>
      </c>
      <c r="M21" s="243" t="s">
        <v>4219</v>
      </c>
      <c r="N21" s="252" t="s">
        <v>7762</v>
      </c>
      <c r="O21" s="346">
        <v>52</v>
      </c>
    </row>
    <row r="22" spans="2:15" ht="69.95" hidden="1" customHeight="1">
      <c r="B22" s="345">
        <v>9</v>
      </c>
      <c r="C22" s="199">
        <v>3</v>
      </c>
      <c r="D22" s="213" t="s">
        <v>4049</v>
      </c>
      <c r="E22" s="218" t="s">
        <v>3930</v>
      </c>
      <c r="F22" s="215">
        <v>63640000</v>
      </c>
      <c r="G22" s="227" t="s">
        <v>3931</v>
      </c>
      <c r="H22" s="200" t="s">
        <v>3932</v>
      </c>
      <c r="I22" s="199" t="s">
        <v>3933</v>
      </c>
      <c r="J22" s="199" t="s">
        <v>3934</v>
      </c>
      <c r="K22" s="201" t="s">
        <v>3935</v>
      </c>
      <c r="L22" s="243" t="s">
        <v>565</v>
      </c>
      <c r="M22" s="243" t="s">
        <v>4218</v>
      </c>
      <c r="N22" s="252" t="s">
        <v>4408</v>
      </c>
      <c r="O22" s="346">
        <v>52</v>
      </c>
    </row>
    <row r="23" spans="2:15" ht="69.95" hidden="1" customHeight="1">
      <c r="B23" s="345">
        <v>10</v>
      </c>
      <c r="C23" s="199">
        <v>3</v>
      </c>
      <c r="D23" s="195" t="s">
        <v>4134</v>
      </c>
      <c r="E23" s="219" t="s">
        <v>3930</v>
      </c>
      <c r="F23" s="196">
        <v>211929456</v>
      </c>
      <c r="G23" s="232" t="s">
        <v>4071</v>
      </c>
      <c r="H23" s="214" t="s">
        <v>4136</v>
      </c>
      <c r="I23" s="195" t="s">
        <v>4137</v>
      </c>
      <c r="J23" s="195" t="s">
        <v>3934</v>
      </c>
      <c r="K23" s="198" t="s">
        <v>4138</v>
      </c>
      <c r="L23" s="243" t="s">
        <v>565</v>
      </c>
      <c r="M23" s="243" t="s">
        <v>4220</v>
      </c>
      <c r="N23" s="252" t="s">
        <v>4407</v>
      </c>
      <c r="O23" s="346">
        <v>51</v>
      </c>
    </row>
    <row r="24" spans="2:15" ht="69.95" hidden="1" customHeight="1">
      <c r="B24" s="345">
        <v>11</v>
      </c>
      <c r="C24" s="199">
        <v>3</v>
      </c>
      <c r="D24" s="195" t="s">
        <v>4131</v>
      </c>
      <c r="E24" s="219" t="s">
        <v>3937</v>
      </c>
      <c r="F24" s="196">
        <v>8028903</v>
      </c>
      <c r="G24" s="232" t="s">
        <v>3920</v>
      </c>
      <c r="H24" s="214" t="s">
        <v>4132</v>
      </c>
      <c r="I24" s="195" t="s">
        <v>3940</v>
      </c>
      <c r="J24" s="195" t="s">
        <v>3920</v>
      </c>
      <c r="K24" s="198" t="s">
        <v>4133</v>
      </c>
      <c r="L24" s="243" t="s">
        <v>565</v>
      </c>
      <c r="M24" s="243" t="s">
        <v>4220</v>
      </c>
      <c r="N24" s="252" t="s">
        <v>4407</v>
      </c>
      <c r="O24" s="346">
        <v>51</v>
      </c>
    </row>
    <row r="25" spans="2:15" ht="69.95" hidden="1" customHeight="1">
      <c r="B25" s="345">
        <v>12</v>
      </c>
      <c r="C25" s="199">
        <v>3</v>
      </c>
      <c r="D25" s="195" t="s">
        <v>4123</v>
      </c>
      <c r="E25" s="219" t="s">
        <v>4124</v>
      </c>
      <c r="F25" s="196">
        <v>237145862</v>
      </c>
      <c r="G25" s="232" t="s">
        <v>3920</v>
      </c>
      <c r="H25" s="214" t="s">
        <v>4125</v>
      </c>
      <c r="I25" s="195" t="s">
        <v>4126</v>
      </c>
      <c r="J25" s="195" t="s">
        <v>3920</v>
      </c>
      <c r="K25" s="198" t="s">
        <v>4127</v>
      </c>
      <c r="L25" s="243" t="s">
        <v>565</v>
      </c>
      <c r="M25" s="243" t="s">
        <v>4220</v>
      </c>
      <c r="N25" s="252" t="s">
        <v>4407</v>
      </c>
      <c r="O25" s="346">
        <v>51</v>
      </c>
    </row>
    <row r="26" spans="2:15" ht="69.95" hidden="1" customHeight="1">
      <c r="B26" s="345">
        <v>13</v>
      </c>
      <c r="C26" s="199">
        <v>3</v>
      </c>
      <c r="D26" s="195" t="s">
        <v>4128</v>
      </c>
      <c r="E26" s="219" t="s">
        <v>4124</v>
      </c>
      <c r="F26" s="196">
        <v>24572000</v>
      </c>
      <c r="G26" s="232" t="s">
        <v>4087</v>
      </c>
      <c r="H26" s="214" t="s">
        <v>4129</v>
      </c>
      <c r="I26" s="195" t="s">
        <v>4126</v>
      </c>
      <c r="J26" s="195" t="s">
        <v>3920</v>
      </c>
      <c r="K26" s="198" t="s">
        <v>4130</v>
      </c>
      <c r="L26" s="243" t="s">
        <v>565</v>
      </c>
      <c r="M26" s="243" t="s">
        <v>4220</v>
      </c>
      <c r="N26" s="252" t="s">
        <v>4407</v>
      </c>
      <c r="O26" s="346">
        <v>51</v>
      </c>
    </row>
    <row r="27" spans="2:15" ht="69.95" hidden="1" customHeight="1">
      <c r="B27" s="345">
        <v>14</v>
      </c>
      <c r="C27" s="199">
        <v>3</v>
      </c>
      <c r="D27" s="195" t="s">
        <v>4113</v>
      </c>
      <c r="E27" s="219" t="s">
        <v>3950</v>
      </c>
      <c r="F27" s="196">
        <v>7294465</v>
      </c>
      <c r="G27" s="232" t="s">
        <v>4103</v>
      </c>
      <c r="H27" s="214" t="s">
        <v>4114</v>
      </c>
      <c r="I27" s="195" t="s">
        <v>4108</v>
      </c>
      <c r="J27" s="195" t="s">
        <v>3920</v>
      </c>
      <c r="K27" s="198" t="s">
        <v>4115</v>
      </c>
      <c r="L27" s="243" t="s">
        <v>565</v>
      </c>
      <c r="M27" s="243" t="s">
        <v>4220</v>
      </c>
      <c r="N27" s="252" t="s">
        <v>4407</v>
      </c>
      <c r="O27" s="346">
        <v>51</v>
      </c>
    </row>
    <row r="28" spans="2:15" ht="69.95" hidden="1" customHeight="1">
      <c r="B28" s="345">
        <v>15</v>
      </c>
      <c r="C28" s="199">
        <v>3</v>
      </c>
      <c r="D28" s="195" t="s">
        <v>4110</v>
      </c>
      <c r="E28" s="219" t="s">
        <v>3950</v>
      </c>
      <c r="F28" s="196">
        <v>257904</v>
      </c>
      <c r="G28" s="232" t="s">
        <v>4099</v>
      </c>
      <c r="H28" s="214" t="s">
        <v>4111</v>
      </c>
      <c r="I28" s="195" t="s">
        <v>4108</v>
      </c>
      <c r="J28" s="195" t="s">
        <v>3920</v>
      </c>
      <c r="K28" s="198" t="s">
        <v>4112</v>
      </c>
      <c r="L28" s="243" t="s">
        <v>565</v>
      </c>
      <c r="M28" s="243" t="s">
        <v>4220</v>
      </c>
      <c r="N28" s="252" t="s">
        <v>4407</v>
      </c>
      <c r="O28" s="346">
        <v>51</v>
      </c>
    </row>
    <row r="29" spans="2:15" ht="69.95" hidden="1" customHeight="1">
      <c r="B29" s="345">
        <v>16</v>
      </c>
      <c r="C29" s="199">
        <v>3</v>
      </c>
      <c r="D29" s="195" t="s">
        <v>4116</v>
      </c>
      <c r="E29" s="219" t="s">
        <v>3950</v>
      </c>
      <c r="F29" s="196">
        <v>595396</v>
      </c>
      <c r="G29" s="232" t="s">
        <v>4099</v>
      </c>
      <c r="H29" s="214" t="s">
        <v>4117</v>
      </c>
      <c r="I29" s="195" t="s">
        <v>4108</v>
      </c>
      <c r="J29" s="195" t="s">
        <v>3920</v>
      </c>
      <c r="K29" s="198" t="s">
        <v>4118</v>
      </c>
      <c r="L29" s="243" t="s">
        <v>565</v>
      </c>
      <c r="M29" s="243" t="s">
        <v>4220</v>
      </c>
      <c r="N29" s="252" t="s">
        <v>4407</v>
      </c>
      <c r="O29" s="346">
        <v>51</v>
      </c>
    </row>
    <row r="30" spans="2:15" ht="69.95" hidden="1" customHeight="1">
      <c r="B30" s="345">
        <v>17</v>
      </c>
      <c r="C30" s="199">
        <v>3</v>
      </c>
      <c r="D30" s="195" t="s">
        <v>4106</v>
      </c>
      <c r="E30" s="219" t="s">
        <v>3950</v>
      </c>
      <c r="F30" s="196">
        <v>3422128</v>
      </c>
      <c r="G30" s="232" t="s">
        <v>4099</v>
      </c>
      <c r="H30" s="214" t="s">
        <v>4107</v>
      </c>
      <c r="I30" s="195" t="s">
        <v>4108</v>
      </c>
      <c r="J30" s="195" t="s">
        <v>3920</v>
      </c>
      <c r="K30" s="198" t="s">
        <v>4109</v>
      </c>
      <c r="L30" s="243" t="s">
        <v>565</v>
      </c>
      <c r="M30" s="243" t="s">
        <v>4220</v>
      </c>
      <c r="N30" s="252" t="s">
        <v>4407</v>
      </c>
      <c r="O30" s="346">
        <v>51</v>
      </c>
    </row>
    <row r="31" spans="2:15" ht="69.95" customHeight="1">
      <c r="B31" s="345">
        <v>18</v>
      </c>
      <c r="C31" s="199">
        <v>3</v>
      </c>
      <c r="D31" s="199" t="s">
        <v>3936</v>
      </c>
      <c r="E31" s="218" t="s">
        <v>3938</v>
      </c>
      <c r="F31" s="215">
        <v>99961115</v>
      </c>
      <c r="G31" s="229" t="s">
        <v>3723</v>
      </c>
      <c r="H31" s="199" t="s">
        <v>3939</v>
      </c>
      <c r="I31" s="199" t="s">
        <v>3940</v>
      </c>
      <c r="J31" s="199" t="s">
        <v>3920</v>
      </c>
      <c r="K31" s="201" t="s">
        <v>3941</v>
      </c>
      <c r="L31" s="243"/>
      <c r="M31" s="243"/>
      <c r="N31" s="252" t="s">
        <v>3723</v>
      </c>
      <c r="O31" s="346">
        <v>52</v>
      </c>
    </row>
    <row r="32" spans="2:15" ht="69.95" customHeight="1">
      <c r="B32" s="345">
        <v>19</v>
      </c>
      <c r="C32" s="199">
        <v>3</v>
      </c>
      <c r="D32" s="199" t="s">
        <v>3942</v>
      </c>
      <c r="E32" s="218" t="s">
        <v>3943</v>
      </c>
      <c r="F32" s="215">
        <v>21912994</v>
      </c>
      <c r="G32" s="230" t="s">
        <v>3944</v>
      </c>
      <c r="H32" s="199" t="s">
        <v>3945</v>
      </c>
      <c r="I32" s="199" t="s">
        <v>3946</v>
      </c>
      <c r="J32" s="199" t="s">
        <v>3947</v>
      </c>
      <c r="K32" s="201" t="s">
        <v>3948</v>
      </c>
      <c r="L32" s="243"/>
      <c r="M32" s="243"/>
      <c r="N32" s="252" t="s">
        <v>3724</v>
      </c>
      <c r="O32" s="346">
        <v>52</v>
      </c>
    </row>
    <row r="33" spans="2:18" ht="69.95" customHeight="1">
      <c r="B33" s="345">
        <v>20</v>
      </c>
      <c r="C33" s="199">
        <v>3</v>
      </c>
      <c r="D33" s="199" t="s">
        <v>3949</v>
      </c>
      <c r="E33" s="218" t="s">
        <v>3950</v>
      </c>
      <c r="F33" s="215">
        <v>31765000</v>
      </c>
      <c r="G33" s="230" t="s">
        <v>3944</v>
      </c>
      <c r="H33" s="199" t="s">
        <v>3951</v>
      </c>
      <c r="I33" s="199" t="s">
        <v>3946</v>
      </c>
      <c r="J33" s="199" t="s">
        <v>3947</v>
      </c>
      <c r="K33" s="201" t="s">
        <v>3948</v>
      </c>
      <c r="L33" s="243"/>
      <c r="M33" s="243"/>
      <c r="N33" s="252" t="s">
        <v>3724</v>
      </c>
      <c r="O33" s="346">
        <v>52</v>
      </c>
    </row>
    <row r="34" spans="2:18" ht="69.95" customHeight="1">
      <c r="B34" s="345">
        <v>21</v>
      </c>
      <c r="C34" s="199">
        <v>3</v>
      </c>
      <c r="D34" s="199" t="s">
        <v>3952</v>
      </c>
      <c r="E34" s="218" t="s">
        <v>3943</v>
      </c>
      <c r="F34" s="215">
        <v>2949500</v>
      </c>
      <c r="G34" s="230" t="s">
        <v>3944</v>
      </c>
      <c r="H34" s="199" t="s">
        <v>3953</v>
      </c>
      <c r="I34" s="199" t="s">
        <v>3946</v>
      </c>
      <c r="J34" s="199" t="s">
        <v>3947</v>
      </c>
      <c r="K34" s="201" t="s">
        <v>3948</v>
      </c>
      <c r="L34" s="243"/>
      <c r="M34" s="243"/>
      <c r="N34" s="252" t="s">
        <v>3724</v>
      </c>
      <c r="O34" s="346">
        <v>52</v>
      </c>
    </row>
    <row r="35" spans="2:18" ht="69.95" customHeight="1">
      <c r="B35" s="345">
        <v>22</v>
      </c>
      <c r="C35" s="199">
        <v>3</v>
      </c>
      <c r="D35" s="199" t="s">
        <v>3954</v>
      </c>
      <c r="E35" s="218" t="s">
        <v>3943</v>
      </c>
      <c r="F35" s="215">
        <v>58197700</v>
      </c>
      <c r="G35" s="230" t="s">
        <v>3944</v>
      </c>
      <c r="H35" s="199" t="s">
        <v>3955</v>
      </c>
      <c r="I35" s="199" t="s">
        <v>3946</v>
      </c>
      <c r="J35" s="199" t="s">
        <v>3947</v>
      </c>
      <c r="K35" s="201" t="s">
        <v>3948</v>
      </c>
      <c r="L35" s="243"/>
      <c r="M35" s="243"/>
      <c r="N35" s="252" t="s">
        <v>3724</v>
      </c>
      <c r="O35" s="346">
        <v>52</v>
      </c>
    </row>
    <row r="36" spans="2:18" ht="69.95" customHeight="1">
      <c r="B36" s="345">
        <v>23</v>
      </c>
      <c r="C36" s="199">
        <v>3</v>
      </c>
      <c r="D36" s="199" t="s">
        <v>3956</v>
      </c>
      <c r="E36" s="218" t="s">
        <v>3943</v>
      </c>
      <c r="F36" s="215">
        <v>42927193</v>
      </c>
      <c r="G36" s="230" t="s">
        <v>3944</v>
      </c>
      <c r="H36" s="199" t="s">
        <v>3957</v>
      </c>
      <c r="I36" s="199" t="s">
        <v>3946</v>
      </c>
      <c r="J36" s="199" t="s">
        <v>3947</v>
      </c>
      <c r="K36" s="201" t="s">
        <v>3948</v>
      </c>
      <c r="L36" s="243"/>
      <c r="M36" s="243"/>
      <c r="N36" s="252" t="s">
        <v>3724</v>
      </c>
      <c r="O36" s="346">
        <v>52</v>
      </c>
    </row>
    <row r="37" spans="2:18" ht="69.95" customHeight="1">
      <c r="B37" s="345">
        <v>24</v>
      </c>
      <c r="C37" s="199">
        <v>3</v>
      </c>
      <c r="D37" s="199" t="s">
        <v>3958</v>
      </c>
      <c r="E37" s="218" t="s">
        <v>3943</v>
      </c>
      <c r="F37" s="215">
        <v>3436750</v>
      </c>
      <c r="G37" s="230" t="s">
        <v>3944</v>
      </c>
      <c r="H37" s="199" t="s">
        <v>3959</v>
      </c>
      <c r="I37" s="199" t="s">
        <v>3946</v>
      </c>
      <c r="J37" s="199" t="s">
        <v>3947</v>
      </c>
      <c r="K37" s="201" t="s">
        <v>3948</v>
      </c>
      <c r="L37" s="243"/>
      <c r="M37" s="243"/>
      <c r="N37" s="252" t="s">
        <v>3724</v>
      </c>
      <c r="O37" s="346">
        <v>52</v>
      </c>
    </row>
    <row r="38" spans="2:18" ht="69.95" customHeight="1">
      <c r="B38" s="345">
        <v>25</v>
      </c>
      <c r="C38" s="199">
        <v>3</v>
      </c>
      <c r="D38" s="199" t="s">
        <v>3960</v>
      </c>
      <c r="E38" s="218" t="s">
        <v>3943</v>
      </c>
      <c r="F38" s="215">
        <v>50674500</v>
      </c>
      <c r="G38" s="230" t="s">
        <v>3944</v>
      </c>
      <c r="H38" s="199" t="s">
        <v>3961</v>
      </c>
      <c r="I38" s="199" t="s">
        <v>3946</v>
      </c>
      <c r="J38" s="199" t="s">
        <v>3947</v>
      </c>
      <c r="K38" s="201" t="s">
        <v>3948</v>
      </c>
      <c r="L38" s="243"/>
      <c r="M38" s="243"/>
      <c r="N38" s="252" t="s">
        <v>3724</v>
      </c>
      <c r="O38" s="346">
        <v>52</v>
      </c>
    </row>
    <row r="39" spans="2:18" ht="69.95" customHeight="1">
      <c r="B39" s="345">
        <v>26</v>
      </c>
      <c r="C39" s="199">
        <v>3</v>
      </c>
      <c r="D39" s="199" t="s">
        <v>3962</v>
      </c>
      <c r="E39" s="218" t="s">
        <v>3943</v>
      </c>
      <c r="F39" s="215">
        <v>198636550</v>
      </c>
      <c r="G39" s="230" t="s">
        <v>3944</v>
      </c>
      <c r="H39" s="199" t="s">
        <v>3963</v>
      </c>
      <c r="I39" s="199" t="s">
        <v>3946</v>
      </c>
      <c r="J39" s="199" t="s">
        <v>3947</v>
      </c>
      <c r="K39" s="201" t="s">
        <v>3948</v>
      </c>
      <c r="L39" s="243"/>
      <c r="M39" s="243"/>
      <c r="N39" s="252" t="s">
        <v>3724</v>
      </c>
      <c r="O39" s="346">
        <v>52</v>
      </c>
    </row>
    <row r="40" spans="2:18" ht="69.95" customHeight="1">
      <c r="B40" s="345">
        <v>27</v>
      </c>
      <c r="C40" s="199">
        <v>3</v>
      </c>
      <c r="D40" s="199" t="s">
        <v>3968</v>
      </c>
      <c r="E40" s="218" t="s">
        <v>3969</v>
      </c>
      <c r="F40" s="215">
        <v>1743940</v>
      </c>
      <c r="G40" s="229" t="s">
        <v>3723</v>
      </c>
      <c r="H40" s="199" t="s">
        <v>3970</v>
      </c>
      <c r="I40" s="199" t="s">
        <v>3971</v>
      </c>
      <c r="J40" s="199" t="s">
        <v>3920</v>
      </c>
      <c r="K40" s="201" t="s">
        <v>3972</v>
      </c>
      <c r="L40" s="243"/>
      <c r="M40" s="243"/>
      <c r="N40" s="252" t="s">
        <v>3723</v>
      </c>
      <c r="O40" s="346">
        <v>52</v>
      </c>
    </row>
    <row r="41" spans="2:18" ht="69.95" customHeight="1">
      <c r="B41" s="345">
        <v>28</v>
      </c>
      <c r="C41" s="199">
        <v>3</v>
      </c>
      <c r="D41" s="199" t="s">
        <v>3973</v>
      </c>
      <c r="E41" s="218" t="s">
        <v>3969</v>
      </c>
      <c r="F41" s="215">
        <v>21906300</v>
      </c>
      <c r="G41" s="229" t="s">
        <v>3723</v>
      </c>
      <c r="H41" s="199" t="s">
        <v>3974</v>
      </c>
      <c r="I41" s="199" t="s">
        <v>3971</v>
      </c>
      <c r="J41" s="199" t="s">
        <v>3920</v>
      </c>
      <c r="K41" s="201" t="s">
        <v>3972</v>
      </c>
      <c r="L41" s="243"/>
      <c r="M41" s="243"/>
      <c r="N41" s="252" t="s">
        <v>3723</v>
      </c>
      <c r="O41" s="346">
        <v>52</v>
      </c>
    </row>
    <row r="42" spans="2:18" ht="69.95" customHeight="1">
      <c r="B42" s="345">
        <v>29</v>
      </c>
      <c r="C42" s="199">
        <v>3</v>
      </c>
      <c r="D42" s="199" t="s">
        <v>3975</v>
      </c>
      <c r="E42" s="218" t="s">
        <v>3969</v>
      </c>
      <c r="F42" s="215">
        <v>12373213</v>
      </c>
      <c r="G42" s="229" t="s">
        <v>3723</v>
      </c>
      <c r="H42" s="199" t="s">
        <v>3976</v>
      </c>
      <c r="I42" s="199" t="s">
        <v>3971</v>
      </c>
      <c r="J42" s="199" t="s">
        <v>3920</v>
      </c>
      <c r="K42" s="201" t="s">
        <v>3972</v>
      </c>
      <c r="L42" s="243"/>
      <c r="M42" s="243"/>
      <c r="N42" s="252" t="s">
        <v>3723</v>
      </c>
      <c r="O42" s="346">
        <v>52</v>
      </c>
      <c r="R42" s="210" t="s">
        <v>3726</v>
      </c>
    </row>
    <row r="43" spans="2:18" ht="69.95" customHeight="1">
      <c r="B43" s="345">
        <v>30</v>
      </c>
      <c r="C43" s="199">
        <v>3</v>
      </c>
      <c r="D43" s="199" t="s">
        <v>3977</v>
      </c>
      <c r="E43" s="218" t="s">
        <v>3969</v>
      </c>
      <c r="F43" s="215">
        <v>8896000</v>
      </c>
      <c r="G43" s="229" t="s">
        <v>3723</v>
      </c>
      <c r="H43" s="199" t="s">
        <v>3978</v>
      </c>
      <c r="I43" s="199" t="s">
        <v>3971</v>
      </c>
      <c r="J43" s="199" t="s">
        <v>3920</v>
      </c>
      <c r="K43" s="201" t="s">
        <v>3972</v>
      </c>
      <c r="L43" s="243"/>
      <c r="M43" s="243"/>
      <c r="N43" s="252" t="s">
        <v>3723</v>
      </c>
      <c r="O43" s="346">
        <v>52</v>
      </c>
    </row>
    <row r="44" spans="2:18" ht="69.95" customHeight="1">
      <c r="B44" s="345">
        <v>31</v>
      </c>
      <c r="C44" s="199">
        <v>3</v>
      </c>
      <c r="D44" s="199" t="s">
        <v>3979</v>
      </c>
      <c r="E44" s="218" t="s">
        <v>3969</v>
      </c>
      <c r="F44" s="215">
        <v>12075000</v>
      </c>
      <c r="G44" s="229" t="s">
        <v>3723</v>
      </c>
      <c r="H44" s="199" t="s">
        <v>3980</v>
      </c>
      <c r="I44" s="199" t="s">
        <v>3971</v>
      </c>
      <c r="J44" s="199" t="s">
        <v>3920</v>
      </c>
      <c r="K44" s="201" t="s">
        <v>3972</v>
      </c>
      <c r="L44" s="243"/>
      <c r="M44" s="243"/>
      <c r="N44" s="252" t="s">
        <v>3723</v>
      </c>
      <c r="O44" s="346">
        <v>52</v>
      </c>
    </row>
    <row r="45" spans="2:18" ht="69.95" customHeight="1">
      <c r="B45" s="345">
        <v>32</v>
      </c>
      <c r="C45" s="199">
        <v>3</v>
      </c>
      <c r="D45" s="199" t="s">
        <v>3981</v>
      </c>
      <c r="E45" s="218" t="s">
        <v>3969</v>
      </c>
      <c r="F45" s="215">
        <v>1890000</v>
      </c>
      <c r="G45" s="229" t="s">
        <v>3723</v>
      </c>
      <c r="H45" s="199" t="s">
        <v>3982</v>
      </c>
      <c r="I45" s="199" t="s">
        <v>3971</v>
      </c>
      <c r="J45" s="199" t="s">
        <v>3920</v>
      </c>
      <c r="K45" s="201" t="s">
        <v>3972</v>
      </c>
      <c r="L45" s="243"/>
      <c r="M45" s="243"/>
      <c r="N45" s="252" t="s">
        <v>3723</v>
      </c>
      <c r="O45" s="346">
        <v>52</v>
      </c>
    </row>
    <row r="46" spans="2:18" ht="69.95" customHeight="1">
      <c r="B46" s="345">
        <v>33</v>
      </c>
      <c r="C46" s="199">
        <v>3</v>
      </c>
      <c r="D46" s="199" t="s">
        <v>3983</v>
      </c>
      <c r="E46" s="218" t="s">
        <v>3969</v>
      </c>
      <c r="F46" s="215">
        <v>18269500</v>
      </c>
      <c r="G46" s="229" t="s">
        <v>3723</v>
      </c>
      <c r="H46" s="199" t="s">
        <v>3984</v>
      </c>
      <c r="I46" s="199" t="s">
        <v>3971</v>
      </c>
      <c r="J46" s="199" t="s">
        <v>3920</v>
      </c>
      <c r="K46" s="201" t="s">
        <v>3972</v>
      </c>
      <c r="L46" s="243"/>
      <c r="M46" s="243"/>
      <c r="N46" s="252" t="s">
        <v>3723</v>
      </c>
      <c r="O46" s="346">
        <v>52</v>
      </c>
    </row>
    <row r="47" spans="2:18" ht="69.95" customHeight="1">
      <c r="B47" s="345">
        <v>34</v>
      </c>
      <c r="C47" s="199">
        <v>3</v>
      </c>
      <c r="D47" s="199" t="s">
        <v>3985</v>
      </c>
      <c r="E47" s="218" t="s">
        <v>3969</v>
      </c>
      <c r="F47" s="215">
        <v>21022422</v>
      </c>
      <c r="G47" s="229" t="s">
        <v>3723</v>
      </c>
      <c r="H47" s="199" t="s">
        <v>3986</v>
      </c>
      <c r="I47" s="199" t="s">
        <v>3971</v>
      </c>
      <c r="J47" s="199" t="s">
        <v>3920</v>
      </c>
      <c r="K47" s="201" t="s">
        <v>3972</v>
      </c>
      <c r="L47" s="243"/>
      <c r="M47" s="243"/>
      <c r="N47" s="252" t="s">
        <v>3723</v>
      </c>
      <c r="O47" s="346">
        <v>52</v>
      </c>
    </row>
    <row r="48" spans="2:18" ht="69.95" hidden="1" customHeight="1">
      <c r="B48" s="345">
        <v>35</v>
      </c>
      <c r="C48" s="199">
        <v>4</v>
      </c>
      <c r="D48" s="199" t="s">
        <v>3987</v>
      </c>
      <c r="E48" s="218" t="s">
        <v>3965</v>
      </c>
      <c r="F48" s="215">
        <v>63640000</v>
      </c>
      <c r="G48" s="227" t="s">
        <v>3917</v>
      </c>
      <c r="H48" s="200" t="s">
        <v>3988</v>
      </c>
      <c r="I48" s="199" t="s">
        <v>3965</v>
      </c>
      <c r="J48" s="199" t="s">
        <v>3920</v>
      </c>
      <c r="K48" s="201" t="s">
        <v>3989</v>
      </c>
      <c r="L48" s="243" t="s">
        <v>565</v>
      </c>
      <c r="M48" s="243" t="s">
        <v>4218</v>
      </c>
      <c r="N48" s="252" t="s">
        <v>4408</v>
      </c>
      <c r="O48" s="346">
        <v>52</v>
      </c>
    </row>
    <row r="49" spans="2:15" ht="69.95" hidden="1" customHeight="1">
      <c r="B49" s="345">
        <v>36</v>
      </c>
      <c r="C49" s="199">
        <v>4</v>
      </c>
      <c r="D49" s="195" t="s">
        <v>4210</v>
      </c>
      <c r="E49" s="219" t="s">
        <v>4180</v>
      </c>
      <c r="F49" s="215">
        <v>63640000</v>
      </c>
      <c r="G49" s="227" t="s">
        <v>4211</v>
      </c>
      <c r="H49" s="195" t="s">
        <v>4212</v>
      </c>
      <c r="I49" s="195" t="s">
        <v>4053</v>
      </c>
      <c r="J49" s="195" t="s">
        <v>3934</v>
      </c>
      <c r="K49" s="198" t="s">
        <v>4213</v>
      </c>
      <c r="L49" s="243" t="s">
        <v>565</v>
      </c>
      <c r="M49" s="243" t="s">
        <v>4218</v>
      </c>
      <c r="N49" s="252" t="s">
        <v>4408</v>
      </c>
      <c r="O49" s="346">
        <v>52</v>
      </c>
    </row>
    <row r="50" spans="2:15" ht="69.95" hidden="1" customHeight="1">
      <c r="B50" s="345">
        <v>37</v>
      </c>
      <c r="C50" s="199">
        <v>4</v>
      </c>
      <c r="D50" s="199" t="s">
        <v>3990</v>
      </c>
      <c r="E50" s="218" t="s">
        <v>3991</v>
      </c>
      <c r="F50" s="215">
        <v>830060208</v>
      </c>
      <c r="G50" s="231" t="s">
        <v>3920</v>
      </c>
      <c r="H50" s="200" t="s">
        <v>3992</v>
      </c>
      <c r="I50" s="199" t="s">
        <v>3993</v>
      </c>
      <c r="J50" s="199" t="s">
        <v>3920</v>
      </c>
      <c r="K50" s="201" t="s">
        <v>3994</v>
      </c>
      <c r="L50" s="243" t="s">
        <v>532</v>
      </c>
      <c r="M50" s="243" t="s">
        <v>4219</v>
      </c>
      <c r="N50" s="252" t="s">
        <v>4406</v>
      </c>
      <c r="O50" s="346">
        <v>52</v>
      </c>
    </row>
    <row r="51" spans="2:15" ht="69.95" hidden="1" customHeight="1">
      <c r="B51" s="345">
        <v>38</v>
      </c>
      <c r="C51" s="199">
        <v>4</v>
      </c>
      <c r="D51" s="199" t="s">
        <v>3995</v>
      </c>
      <c r="E51" s="218" t="s">
        <v>3996</v>
      </c>
      <c r="F51" s="215">
        <v>5925000</v>
      </c>
      <c r="G51" s="231" t="s">
        <v>3920</v>
      </c>
      <c r="H51" s="200" t="s">
        <v>3997</v>
      </c>
      <c r="I51" s="199" t="s">
        <v>3991</v>
      </c>
      <c r="J51" s="199" t="s">
        <v>3920</v>
      </c>
      <c r="K51" s="201" t="s">
        <v>3998</v>
      </c>
      <c r="L51" s="243" t="s">
        <v>532</v>
      </c>
      <c r="M51" s="243" t="s">
        <v>4219</v>
      </c>
      <c r="N51" s="252" t="s">
        <v>4406</v>
      </c>
      <c r="O51" s="346">
        <v>52</v>
      </c>
    </row>
    <row r="52" spans="2:15" ht="69.95" hidden="1" customHeight="1">
      <c r="B52" s="345">
        <v>39</v>
      </c>
      <c r="C52" s="199">
        <v>4</v>
      </c>
      <c r="D52" s="199" t="s">
        <v>3999</v>
      </c>
      <c r="E52" s="218" t="s">
        <v>3996</v>
      </c>
      <c r="F52" s="215">
        <v>5925000</v>
      </c>
      <c r="G52" s="231" t="s">
        <v>3920</v>
      </c>
      <c r="H52" s="200" t="s">
        <v>4000</v>
      </c>
      <c r="I52" s="199" t="s">
        <v>3991</v>
      </c>
      <c r="J52" s="199" t="s">
        <v>3920</v>
      </c>
      <c r="K52" s="201" t="s">
        <v>4001</v>
      </c>
      <c r="L52" s="243" t="s">
        <v>532</v>
      </c>
      <c r="M52" s="243" t="s">
        <v>4219</v>
      </c>
      <c r="N52" s="252" t="s">
        <v>4406</v>
      </c>
      <c r="O52" s="346">
        <v>52</v>
      </c>
    </row>
    <row r="53" spans="2:15" ht="69.95" hidden="1" customHeight="1">
      <c r="B53" s="345">
        <v>40</v>
      </c>
      <c r="C53" s="199">
        <v>4</v>
      </c>
      <c r="D53" s="195" t="s">
        <v>4020</v>
      </c>
      <c r="E53" s="219" t="s">
        <v>4019</v>
      </c>
      <c r="F53" s="196">
        <v>577980144</v>
      </c>
      <c r="G53" s="231" t="s">
        <v>3920</v>
      </c>
      <c r="H53" s="195" t="s">
        <v>4029</v>
      </c>
      <c r="I53" s="195" t="s">
        <v>4018</v>
      </c>
      <c r="J53" s="195" t="s">
        <v>3920</v>
      </c>
      <c r="K53" s="198" t="s">
        <v>4030</v>
      </c>
      <c r="L53" s="243" t="s">
        <v>532</v>
      </c>
      <c r="M53" s="243" t="s">
        <v>4219</v>
      </c>
      <c r="N53" s="252" t="s">
        <v>4406</v>
      </c>
      <c r="O53" s="346">
        <v>52</v>
      </c>
    </row>
    <row r="54" spans="2:15" ht="69.95" hidden="1" customHeight="1">
      <c r="B54" s="345">
        <v>41</v>
      </c>
      <c r="C54" s="199">
        <v>4</v>
      </c>
      <c r="D54" s="214" t="s">
        <v>4050</v>
      </c>
      <c r="E54" s="220" t="s">
        <v>4051</v>
      </c>
      <c r="F54" s="215">
        <v>11850000</v>
      </c>
      <c r="G54" s="231" t="s">
        <v>3920</v>
      </c>
      <c r="H54" s="214" t="s">
        <v>4052</v>
      </c>
      <c r="I54" s="214" t="s">
        <v>4053</v>
      </c>
      <c r="J54" s="214" t="s">
        <v>3920</v>
      </c>
      <c r="K54" s="216" t="s">
        <v>4054</v>
      </c>
      <c r="L54" s="243" t="s">
        <v>532</v>
      </c>
      <c r="M54" s="243" t="s">
        <v>4219</v>
      </c>
      <c r="N54" s="252" t="s">
        <v>4406</v>
      </c>
      <c r="O54" s="346">
        <v>52</v>
      </c>
    </row>
    <row r="55" spans="2:15" ht="69.95" hidden="1" customHeight="1">
      <c r="B55" s="345">
        <v>42</v>
      </c>
      <c r="C55" s="199">
        <v>4</v>
      </c>
      <c r="D55" s="214" t="s">
        <v>4061</v>
      </c>
      <c r="E55" s="220" t="s">
        <v>4051</v>
      </c>
      <c r="F55" s="215">
        <v>11850000</v>
      </c>
      <c r="G55" s="231" t="s">
        <v>3920</v>
      </c>
      <c r="H55" s="214" t="s">
        <v>4062</v>
      </c>
      <c r="I55" s="214" t="s">
        <v>4053</v>
      </c>
      <c r="J55" s="214" t="s">
        <v>3920</v>
      </c>
      <c r="K55" s="216" t="s">
        <v>4063</v>
      </c>
      <c r="L55" s="243" t="s">
        <v>532</v>
      </c>
      <c r="M55" s="243" t="s">
        <v>4219</v>
      </c>
      <c r="N55" s="252" t="s">
        <v>4406</v>
      </c>
      <c r="O55" s="346">
        <v>52</v>
      </c>
    </row>
    <row r="56" spans="2:15" ht="69.95" hidden="1" customHeight="1">
      <c r="B56" s="345">
        <v>43</v>
      </c>
      <c r="C56" s="199">
        <v>4</v>
      </c>
      <c r="D56" s="195" t="s">
        <v>4172</v>
      </c>
      <c r="E56" s="219" t="s">
        <v>4159</v>
      </c>
      <c r="F56" s="196">
        <v>5925000</v>
      </c>
      <c r="G56" s="231" t="s">
        <v>3920</v>
      </c>
      <c r="H56" s="195" t="s">
        <v>4173</v>
      </c>
      <c r="I56" s="195" t="s">
        <v>4161</v>
      </c>
      <c r="J56" s="195" t="s">
        <v>3920</v>
      </c>
      <c r="K56" s="198" t="s">
        <v>4174</v>
      </c>
      <c r="L56" s="243" t="s">
        <v>532</v>
      </c>
      <c r="M56" s="243" t="s">
        <v>4219</v>
      </c>
      <c r="N56" s="252" t="s">
        <v>4406</v>
      </c>
      <c r="O56" s="346">
        <v>52</v>
      </c>
    </row>
    <row r="57" spans="2:15" ht="69.95" hidden="1" customHeight="1">
      <c r="B57" s="345">
        <v>44</v>
      </c>
      <c r="C57" s="199">
        <v>4</v>
      </c>
      <c r="D57" s="214" t="s">
        <v>4058</v>
      </c>
      <c r="E57" s="220" t="s">
        <v>4051</v>
      </c>
      <c r="F57" s="215">
        <v>17775000</v>
      </c>
      <c r="G57" s="231" t="s">
        <v>3920</v>
      </c>
      <c r="H57" s="214" t="s">
        <v>4059</v>
      </c>
      <c r="I57" s="214" t="s">
        <v>4053</v>
      </c>
      <c r="J57" s="214" t="s">
        <v>3920</v>
      </c>
      <c r="K57" s="216" t="s">
        <v>4060</v>
      </c>
      <c r="L57" s="243" t="s">
        <v>532</v>
      </c>
      <c r="M57" s="243" t="s">
        <v>4219</v>
      </c>
      <c r="N57" s="252" t="s">
        <v>4406</v>
      </c>
      <c r="O57" s="346">
        <v>52</v>
      </c>
    </row>
    <row r="58" spans="2:15" ht="69.95" hidden="1" customHeight="1">
      <c r="B58" s="345">
        <v>45</v>
      </c>
      <c r="C58" s="199">
        <v>4</v>
      </c>
      <c r="D58" s="214" t="s">
        <v>4055</v>
      </c>
      <c r="E58" s="220" t="s">
        <v>4051</v>
      </c>
      <c r="F58" s="215">
        <v>11850000</v>
      </c>
      <c r="G58" s="231" t="s">
        <v>3920</v>
      </c>
      <c r="H58" s="214" t="s">
        <v>4056</v>
      </c>
      <c r="I58" s="214" t="s">
        <v>4053</v>
      </c>
      <c r="J58" s="214" t="s">
        <v>3920</v>
      </c>
      <c r="K58" s="216" t="s">
        <v>4057</v>
      </c>
      <c r="L58" s="243" t="s">
        <v>532</v>
      </c>
      <c r="M58" s="243" t="s">
        <v>4219</v>
      </c>
      <c r="N58" s="252" t="s">
        <v>4406</v>
      </c>
      <c r="O58" s="346">
        <v>52</v>
      </c>
    </row>
    <row r="59" spans="2:15" ht="69.95" hidden="1" customHeight="1">
      <c r="B59" s="345">
        <v>46</v>
      </c>
      <c r="C59" s="199">
        <v>4</v>
      </c>
      <c r="D59" s="214" t="s">
        <v>4064</v>
      </c>
      <c r="E59" s="220" t="s">
        <v>4051</v>
      </c>
      <c r="F59" s="215">
        <v>58805004</v>
      </c>
      <c r="G59" s="231" t="s">
        <v>3920</v>
      </c>
      <c r="H59" s="214" t="s">
        <v>4065</v>
      </c>
      <c r="I59" s="214" t="s">
        <v>4053</v>
      </c>
      <c r="J59" s="214" t="s">
        <v>3920</v>
      </c>
      <c r="K59" s="216" t="s">
        <v>4066</v>
      </c>
      <c r="L59" s="243" t="s">
        <v>532</v>
      </c>
      <c r="M59" s="243" t="s">
        <v>4219</v>
      </c>
      <c r="N59" s="252" t="s">
        <v>4406</v>
      </c>
      <c r="O59" s="346">
        <v>52</v>
      </c>
    </row>
    <row r="60" spans="2:15" ht="69.95" hidden="1" customHeight="1">
      <c r="B60" s="345">
        <v>47</v>
      </c>
      <c r="C60" s="199">
        <v>4</v>
      </c>
      <c r="D60" s="195" t="s">
        <v>4175</v>
      </c>
      <c r="E60" s="219" t="s">
        <v>4159</v>
      </c>
      <c r="F60" s="196">
        <v>11850000</v>
      </c>
      <c r="G60" s="231" t="s">
        <v>3920</v>
      </c>
      <c r="H60" s="195" t="s">
        <v>4176</v>
      </c>
      <c r="I60" s="195" t="s">
        <v>4161</v>
      </c>
      <c r="J60" s="195" t="s">
        <v>3920</v>
      </c>
      <c r="K60" s="198" t="s">
        <v>4177</v>
      </c>
      <c r="L60" s="243" t="s">
        <v>532</v>
      </c>
      <c r="M60" s="243" t="s">
        <v>4219</v>
      </c>
      <c r="N60" s="252" t="s">
        <v>4406</v>
      </c>
      <c r="O60" s="346">
        <v>52</v>
      </c>
    </row>
    <row r="61" spans="2:15" ht="69.95" hidden="1" customHeight="1">
      <c r="B61" s="345">
        <v>48</v>
      </c>
      <c r="C61" s="199">
        <v>4</v>
      </c>
      <c r="D61" s="195" t="s">
        <v>4119</v>
      </c>
      <c r="E61" s="219" t="s">
        <v>4120</v>
      </c>
      <c r="F61" s="196">
        <v>206653906</v>
      </c>
      <c r="G61" s="232" t="s">
        <v>4071</v>
      </c>
      <c r="H61" s="214" t="s">
        <v>4121</v>
      </c>
      <c r="I61" s="195" t="s">
        <v>3946</v>
      </c>
      <c r="J61" s="195" t="s">
        <v>3934</v>
      </c>
      <c r="K61" s="198" t="s">
        <v>4122</v>
      </c>
      <c r="L61" s="243" t="s">
        <v>565</v>
      </c>
      <c r="M61" s="243" t="s">
        <v>4220</v>
      </c>
      <c r="N61" s="252" t="s">
        <v>4407</v>
      </c>
      <c r="O61" s="346">
        <v>51</v>
      </c>
    </row>
    <row r="62" spans="2:15" ht="69.95" hidden="1" customHeight="1">
      <c r="B62" s="345">
        <v>49</v>
      </c>
      <c r="C62" s="199">
        <v>4</v>
      </c>
      <c r="D62" s="195" t="s">
        <v>4097</v>
      </c>
      <c r="E62" s="219" t="s">
        <v>4098</v>
      </c>
      <c r="F62" s="196">
        <v>633328</v>
      </c>
      <c r="G62" s="232" t="s">
        <v>4099</v>
      </c>
      <c r="H62" s="214" t="s">
        <v>4100</v>
      </c>
      <c r="I62" s="195" t="s">
        <v>4098</v>
      </c>
      <c r="J62" s="195" t="s">
        <v>3920</v>
      </c>
      <c r="K62" s="198" t="s">
        <v>4101</v>
      </c>
      <c r="L62" s="243" t="s">
        <v>565</v>
      </c>
      <c r="M62" s="243" t="s">
        <v>4220</v>
      </c>
      <c r="N62" s="252" t="s">
        <v>4407</v>
      </c>
      <c r="O62" s="346">
        <v>51</v>
      </c>
    </row>
    <row r="63" spans="2:15" ht="69.95" hidden="1" customHeight="1">
      <c r="B63" s="345">
        <v>50</v>
      </c>
      <c r="C63" s="199">
        <v>4</v>
      </c>
      <c r="D63" s="195" t="s">
        <v>4102</v>
      </c>
      <c r="E63" s="219" t="s">
        <v>4098</v>
      </c>
      <c r="F63" s="196">
        <v>3233276</v>
      </c>
      <c r="G63" s="232" t="s">
        <v>4103</v>
      </c>
      <c r="H63" s="214" t="s">
        <v>4104</v>
      </c>
      <c r="I63" s="195" t="s">
        <v>4098</v>
      </c>
      <c r="J63" s="195" t="s">
        <v>3920</v>
      </c>
      <c r="K63" s="198" t="s">
        <v>4105</v>
      </c>
      <c r="L63" s="243" t="s">
        <v>565</v>
      </c>
      <c r="M63" s="243" t="s">
        <v>4220</v>
      </c>
      <c r="N63" s="252" t="s">
        <v>4407</v>
      </c>
      <c r="O63" s="346">
        <v>51</v>
      </c>
    </row>
    <row r="64" spans="2:15" ht="69.95" hidden="1" customHeight="1">
      <c r="B64" s="345">
        <v>51</v>
      </c>
      <c r="C64" s="199">
        <v>4</v>
      </c>
      <c r="D64" s="195" t="s">
        <v>4091</v>
      </c>
      <c r="E64" s="219" t="s">
        <v>4086</v>
      </c>
      <c r="F64" s="196">
        <v>595000</v>
      </c>
      <c r="G64" s="232" t="s">
        <v>4087</v>
      </c>
      <c r="H64" s="214" t="s">
        <v>4092</v>
      </c>
      <c r="I64" s="195" t="s">
        <v>4089</v>
      </c>
      <c r="J64" s="195" t="s">
        <v>3920</v>
      </c>
      <c r="K64" s="198" t="s">
        <v>4093</v>
      </c>
      <c r="L64" s="243" t="s">
        <v>565</v>
      </c>
      <c r="M64" s="243" t="s">
        <v>4220</v>
      </c>
      <c r="N64" s="252" t="s">
        <v>4407</v>
      </c>
      <c r="O64" s="346">
        <v>51</v>
      </c>
    </row>
    <row r="65" spans="2:15" ht="69.95" hidden="1" customHeight="1">
      <c r="B65" s="345">
        <v>52</v>
      </c>
      <c r="C65" s="199">
        <v>4</v>
      </c>
      <c r="D65" s="195" t="s">
        <v>4094</v>
      </c>
      <c r="E65" s="219" t="s">
        <v>4086</v>
      </c>
      <c r="F65" s="196">
        <v>239665141</v>
      </c>
      <c r="G65" s="232" t="s">
        <v>3920</v>
      </c>
      <c r="H65" s="214" t="s">
        <v>4095</v>
      </c>
      <c r="I65" s="195" t="s">
        <v>4089</v>
      </c>
      <c r="J65" s="195" t="s">
        <v>3920</v>
      </c>
      <c r="K65" s="198" t="s">
        <v>4096</v>
      </c>
      <c r="L65" s="243" t="s">
        <v>565</v>
      </c>
      <c r="M65" s="243" t="s">
        <v>4220</v>
      </c>
      <c r="N65" s="252" t="s">
        <v>4407</v>
      </c>
      <c r="O65" s="346">
        <v>51</v>
      </c>
    </row>
    <row r="66" spans="2:15" ht="69.95" hidden="1" customHeight="1">
      <c r="B66" s="345">
        <v>53</v>
      </c>
      <c r="C66" s="199">
        <v>4</v>
      </c>
      <c r="D66" s="195" t="s">
        <v>4085</v>
      </c>
      <c r="E66" s="219" t="s">
        <v>4086</v>
      </c>
      <c r="F66" s="196">
        <v>26735000</v>
      </c>
      <c r="G66" s="232" t="s">
        <v>4087</v>
      </c>
      <c r="H66" s="214" t="s">
        <v>4088</v>
      </c>
      <c r="I66" s="195" t="s">
        <v>4089</v>
      </c>
      <c r="J66" s="195" t="s">
        <v>3920</v>
      </c>
      <c r="K66" s="198" t="s">
        <v>4090</v>
      </c>
      <c r="L66" s="243" t="s">
        <v>565</v>
      </c>
      <c r="M66" s="243" t="s">
        <v>4220</v>
      </c>
      <c r="N66" s="252" t="s">
        <v>4407</v>
      </c>
      <c r="O66" s="346">
        <v>51</v>
      </c>
    </row>
    <row r="67" spans="2:15" ht="69.95" hidden="1" customHeight="1">
      <c r="B67" s="345">
        <v>54</v>
      </c>
      <c r="C67" s="199">
        <v>4</v>
      </c>
      <c r="D67" s="195" t="s">
        <v>4082</v>
      </c>
      <c r="E67" s="219" t="s">
        <v>4019</v>
      </c>
      <c r="F67" s="196">
        <v>208979992</v>
      </c>
      <c r="G67" s="232" t="s">
        <v>4079</v>
      </c>
      <c r="H67" s="214" t="s">
        <v>4083</v>
      </c>
      <c r="I67" s="195" t="s">
        <v>4018</v>
      </c>
      <c r="J67" s="195" t="s">
        <v>3934</v>
      </c>
      <c r="K67" s="198" t="s">
        <v>4084</v>
      </c>
      <c r="L67" s="243" t="s">
        <v>565</v>
      </c>
      <c r="M67" s="243" t="s">
        <v>4220</v>
      </c>
      <c r="N67" s="252" t="s">
        <v>4407</v>
      </c>
      <c r="O67" s="346">
        <v>51</v>
      </c>
    </row>
    <row r="68" spans="2:15" ht="69.95" hidden="1" customHeight="1">
      <c r="B68" s="345">
        <v>55</v>
      </c>
      <c r="C68" s="199">
        <v>4</v>
      </c>
      <c r="D68" s="195" t="s">
        <v>4078</v>
      </c>
      <c r="E68" s="219" t="s">
        <v>4019</v>
      </c>
      <c r="F68" s="196">
        <v>3233300</v>
      </c>
      <c r="G68" s="232" t="s">
        <v>4079</v>
      </c>
      <c r="H68" s="214" t="s">
        <v>4080</v>
      </c>
      <c r="I68" s="195" t="s">
        <v>4018</v>
      </c>
      <c r="J68" s="195" t="s">
        <v>3934</v>
      </c>
      <c r="K68" s="198" t="s">
        <v>4081</v>
      </c>
      <c r="L68" s="243" t="s">
        <v>565</v>
      </c>
      <c r="M68" s="243" t="s">
        <v>4220</v>
      </c>
      <c r="N68" s="252" t="s">
        <v>4407</v>
      </c>
      <c r="O68" s="346">
        <v>51</v>
      </c>
    </row>
    <row r="69" spans="2:15" ht="69.95" hidden="1" customHeight="1">
      <c r="B69" s="345">
        <v>56</v>
      </c>
      <c r="C69" s="199">
        <v>4</v>
      </c>
      <c r="D69" s="195" t="s">
        <v>4074</v>
      </c>
      <c r="E69" s="219" t="s">
        <v>4053</v>
      </c>
      <c r="F69" s="196">
        <v>121465086</v>
      </c>
      <c r="G69" s="232" t="s">
        <v>4075</v>
      </c>
      <c r="H69" s="214" t="s">
        <v>4076</v>
      </c>
      <c r="I69" s="195" t="s">
        <v>4019</v>
      </c>
      <c r="J69" s="195" t="s">
        <v>3920</v>
      </c>
      <c r="K69" s="198" t="s">
        <v>4077</v>
      </c>
      <c r="L69" s="243" t="s">
        <v>565</v>
      </c>
      <c r="M69" s="243" t="s">
        <v>4220</v>
      </c>
      <c r="N69" s="252" t="s">
        <v>4407</v>
      </c>
      <c r="O69" s="346">
        <v>51</v>
      </c>
    </row>
    <row r="70" spans="2:15" ht="69.95" hidden="1" customHeight="1">
      <c r="B70" s="345">
        <v>57</v>
      </c>
      <c r="C70" s="199">
        <v>4</v>
      </c>
      <c r="D70" s="199" t="s">
        <v>3964</v>
      </c>
      <c r="E70" s="218" t="s">
        <v>3965</v>
      </c>
      <c r="F70" s="215">
        <f>6840000+360000</f>
        <v>7200000</v>
      </c>
      <c r="G70" s="228" t="s">
        <v>3920</v>
      </c>
      <c r="H70" s="199" t="s">
        <v>3966</v>
      </c>
      <c r="I70" s="199" t="s">
        <v>3965</v>
      </c>
      <c r="J70" s="199" t="s">
        <v>3920</v>
      </c>
      <c r="K70" s="201" t="s">
        <v>3967</v>
      </c>
      <c r="L70" s="243" t="s">
        <v>528</v>
      </c>
      <c r="M70" s="243" t="s">
        <v>4251</v>
      </c>
      <c r="N70" s="209" t="s">
        <v>7763</v>
      </c>
      <c r="O70" s="346">
        <v>52</v>
      </c>
    </row>
    <row r="71" spans="2:15" ht="69.95" hidden="1" customHeight="1">
      <c r="B71" s="345">
        <v>58</v>
      </c>
      <c r="C71" s="199">
        <v>4</v>
      </c>
      <c r="D71" s="199" t="s">
        <v>4002</v>
      </c>
      <c r="E71" s="218" t="s">
        <v>3996</v>
      </c>
      <c r="F71" s="215">
        <v>6060000</v>
      </c>
      <c r="G71" s="228" t="s">
        <v>3920</v>
      </c>
      <c r="H71" s="200" t="s">
        <v>4003</v>
      </c>
      <c r="I71" s="199" t="s">
        <v>3991</v>
      </c>
      <c r="J71" s="199" t="s">
        <v>3920</v>
      </c>
      <c r="K71" s="201" t="s">
        <v>4004</v>
      </c>
      <c r="L71" s="243" t="s">
        <v>524</v>
      </c>
      <c r="M71" s="243" t="s">
        <v>4252</v>
      </c>
      <c r="N71" s="209" t="s">
        <v>7763</v>
      </c>
      <c r="O71" s="346">
        <v>52</v>
      </c>
    </row>
    <row r="72" spans="2:15" ht="69.95" hidden="1" customHeight="1">
      <c r="B72" s="345">
        <v>59</v>
      </c>
      <c r="C72" s="199">
        <v>4</v>
      </c>
      <c r="D72" s="199" t="s">
        <v>4005</v>
      </c>
      <c r="E72" s="218" t="s">
        <v>3996</v>
      </c>
      <c r="F72" s="215">
        <v>1800000</v>
      </c>
      <c r="G72" s="228" t="s">
        <v>3920</v>
      </c>
      <c r="H72" s="200" t="s">
        <v>4006</v>
      </c>
      <c r="I72" s="199" t="s">
        <v>3991</v>
      </c>
      <c r="J72" s="199" t="s">
        <v>3920</v>
      </c>
      <c r="K72" s="201" t="s">
        <v>4007</v>
      </c>
      <c r="L72" s="243" t="s">
        <v>524</v>
      </c>
      <c r="M72" s="243" t="s">
        <v>4253</v>
      </c>
      <c r="N72" s="209" t="s">
        <v>7763</v>
      </c>
      <c r="O72" s="346">
        <v>52</v>
      </c>
    </row>
    <row r="73" spans="2:15" ht="69.95" hidden="1" customHeight="1">
      <c r="B73" s="345">
        <v>60</v>
      </c>
      <c r="C73" s="199">
        <v>4</v>
      </c>
      <c r="D73" s="199" t="s">
        <v>4008</v>
      </c>
      <c r="E73" s="218" t="s">
        <v>3996</v>
      </c>
      <c r="F73" s="215">
        <v>6320000</v>
      </c>
      <c r="G73" s="228" t="s">
        <v>3920</v>
      </c>
      <c r="H73" s="200" t="s">
        <v>4009</v>
      </c>
      <c r="I73" s="199" t="s">
        <v>3991</v>
      </c>
      <c r="J73" s="199" t="s">
        <v>3920</v>
      </c>
      <c r="K73" s="201" t="s">
        <v>4010</v>
      </c>
      <c r="L73" s="243" t="s">
        <v>528</v>
      </c>
      <c r="M73" s="243" t="s">
        <v>4254</v>
      </c>
      <c r="N73" s="209" t="s">
        <v>7763</v>
      </c>
      <c r="O73" s="346">
        <v>52</v>
      </c>
    </row>
    <row r="74" spans="2:15" ht="69.95" hidden="1" customHeight="1">
      <c r="B74" s="345">
        <v>61</v>
      </c>
      <c r="C74" s="199">
        <v>4</v>
      </c>
      <c r="D74" s="199" t="s">
        <v>4011</v>
      </c>
      <c r="E74" s="218" t="s">
        <v>3996</v>
      </c>
      <c r="F74" s="215">
        <v>3570000</v>
      </c>
      <c r="G74" s="228" t="s">
        <v>3920</v>
      </c>
      <c r="H74" s="200" t="s">
        <v>4012</v>
      </c>
      <c r="I74" s="199" t="s">
        <v>3991</v>
      </c>
      <c r="J74" s="199" t="s">
        <v>3920</v>
      </c>
      <c r="K74" s="201" t="s">
        <v>4013</v>
      </c>
      <c r="L74" s="243" t="s">
        <v>532</v>
      </c>
      <c r="M74" s="243" t="s">
        <v>4219</v>
      </c>
      <c r="N74" s="209" t="s">
        <v>7763</v>
      </c>
      <c r="O74" s="346">
        <v>52</v>
      </c>
    </row>
    <row r="75" spans="2:15" ht="69.95" hidden="1" customHeight="1">
      <c r="B75" s="345">
        <v>62</v>
      </c>
      <c r="C75" s="199">
        <v>4</v>
      </c>
      <c r="D75" s="199" t="s">
        <v>4014</v>
      </c>
      <c r="E75" s="218" t="s">
        <v>3996</v>
      </c>
      <c r="F75" s="215">
        <v>1040000</v>
      </c>
      <c r="G75" s="228" t="s">
        <v>3920</v>
      </c>
      <c r="H75" s="200" t="s">
        <v>4015</v>
      </c>
      <c r="I75" s="199" t="s">
        <v>3991</v>
      </c>
      <c r="J75" s="199" t="s">
        <v>3920</v>
      </c>
      <c r="K75" s="201" t="s">
        <v>4016</v>
      </c>
      <c r="L75" s="243" t="s">
        <v>524</v>
      </c>
      <c r="M75" s="243" t="s">
        <v>4253</v>
      </c>
      <c r="N75" s="209" t="s">
        <v>7763</v>
      </c>
      <c r="O75" s="346">
        <v>52</v>
      </c>
    </row>
    <row r="76" spans="2:15" ht="69.95" hidden="1" customHeight="1">
      <c r="B76" s="345">
        <v>63</v>
      </c>
      <c r="C76" s="199">
        <v>4</v>
      </c>
      <c r="D76" s="195" t="s">
        <v>4017</v>
      </c>
      <c r="E76" s="219" t="s">
        <v>4019</v>
      </c>
      <c r="F76" s="196">
        <v>8760000</v>
      </c>
      <c r="G76" s="228" t="s">
        <v>3920</v>
      </c>
      <c r="H76" s="195" t="s">
        <v>4027</v>
      </c>
      <c r="I76" s="195" t="s">
        <v>4018</v>
      </c>
      <c r="J76" s="195" t="s">
        <v>3920</v>
      </c>
      <c r="K76" s="198" t="s">
        <v>4028</v>
      </c>
      <c r="L76" s="243" t="s">
        <v>532</v>
      </c>
      <c r="M76" s="243" t="s">
        <v>4255</v>
      </c>
      <c r="N76" s="209" t="s">
        <v>7763</v>
      </c>
      <c r="O76" s="346">
        <v>52</v>
      </c>
    </row>
    <row r="77" spans="2:15" ht="69.95" hidden="1" customHeight="1">
      <c r="B77" s="345">
        <v>64</v>
      </c>
      <c r="C77" s="199">
        <v>4</v>
      </c>
      <c r="D77" s="195" t="s">
        <v>4024</v>
      </c>
      <c r="E77" s="219" t="s">
        <v>4019</v>
      </c>
      <c r="F77" s="196">
        <v>4980000</v>
      </c>
      <c r="G77" s="228" t="s">
        <v>3920</v>
      </c>
      <c r="H77" s="195" t="s">
        <v>4037</v>
      </c>
      <c r="I77" s="195" t="s">
        <v>4018</v>
      </c>
      <c r="J77" s="195" t="s">
        <v>3920</v>
      </c>
      <c r="K77" s="198" t="s">
        <v>4038</v>
      </c>
      <c r="L77" s="243" t="s">
        <v>532</v>
      </c>
      <c r="M77" s="243" t="s">
        <v>4255</v>
      </c>
      <c r="N77" s="209" t="s">
        <v>7763</v>
      </c>
      <c r="O77" s="346">
        <v>52</v>
      </c>
    </row>
    <row r="78" spans="2:15" ht="69.95" hidden="1" customHeight="1">
      <c r="B78" s="345">
        <v>65</v>
      </c>
      <c r="C78" s="199">
        <v>4</v>
      </c>
      <c r="D78" s="195" t="s">
        <v>4021</v>
      </c>
      <c r="E78" s="219" t="s">
        <v>4019</v>
      </c>
      <c r="F78" s="196">
        <v>34977460</v>
      </c>
      <c r="G78" s="228" t="s">
        <v>3920</v>
      </c>
      <c r="H78" s="195" t="s">
        <v>4031</v>
      </c>
      <c r="I78" s="195" t="s">
        <v>4018</v>
      </c>
      <c r="J78" s="195" t="s">
        <v>3920</v>
      </c>
      <c r="K78" s="198" t="s">
        <v>4032</v>
      </c>
      <c r="L78" s="243" t="s">
        <v>565</v>
      </c>
      <c r="M78" s="243" t="s">
        <v>4218</v>
      </c>
      <c r="N78" s="209" t="s">
        <v>7763</v>
      </c>
      <c r="O78" s="346">
        <v>52</v>
      </c>
    </row>
    <row r="79" spans="2:15" ht="69.95" hidden="1" customHeight="1">
      <c r="B79" s="345">
        <v>66</v>
      </c>
      <c r="C79" s="199">
        <v>4</v>
      </c>
      <c r="D79" s="195" t="s">
        <v>4022</v>
      </c>
      <c r="E79" s="219" t="s">
        <v>4019</v>
      </c>
      <c r="F79" s="196">
        <v>5656000</v>
      </c>
      <c r="G79" s="228" t="s">
        <v>3920</v>
      </c>
      <c r="H79" s="195" t="s">
        <v>4033</v>
      </c>
      <c r="I79" s="195" t="s">
        <v>4018</v>
      </c>
      <c r="J79" s="195" t="s">
        <v>3920</v>
      </c>
      <c r="K79" s="198" t="s">
        <v>4034</v>
      </c>
      <c r="L79" s="243" t="s">
        <v>524</v>
      </c>
      <c r="M79" s="243" t="s">
        <v>4252</v>
      </c>
      <c r="N79" s="209" t="s">
        <v>7763</v>
      </c>
      <c r="O79" s="346">
        <v>52</v>
      </c>
    </row>
    <row r="80" spans="2:15" ht="69.95" hidden="1" customHeight="1">
      <c r="B80" s="345">
        <v>67</v>
      </c>
      <c r="C80" s="199">
        <v>4</v>
      </c>
      <c r="D80" s="195" t="s">
        <v>4043</v>
      </c>
      <c r="E80" s="219" t="s">
        <v>4019</v>
      </c>
      <c r="F80" s="196">
        <v>6180000</v>
      </c>
      <c r="G80" s="228" t="s">
        <v>3920</v>
      </c>
      <c r="H80" s="195" t="s">
        <v>4045</v>
      </c>
      <c r="I80" s="195" t="s">
        <v>4018</v>
      </c>
      <c r="J80" s="195" t="s">
        <v>3920</v>
      </c>
      <c r="K80" s="198" t="s">
        <v>4046</v>
      </c>
      <c r="L80" s="243" t="s">
        <v>528</v>
      </c>
      <c r="M80" s="243" t="s">
        <v>4251</v>
      </c>
      <c r="N80" s="209" t="s">
        <v>7763</v>
      </c>
      <c r="O80" s="346">
        <v>52</v>
      </c>
    </row>
    <row r="81" spans="2:15" ht="69.95" hidden="1" customHeight="1">
      <c r="B81" s="345">
        <v>68</v>
      </c>
      <c r="C81" s="199">
        <v>4</v>
      </c>
      <c r="D81" s="195" t="s">
        <v>4023</v>
      </c>
      <c r="E81" s="219" t="s">
        <v>4019</v>
      </c>
      <c r="F81" s="196">
        <v>5900000</v>
      </c>
      <c r="G81" s="228" t="s">
        <v>3920</v>
      </c>
      <c r="H81" s="195" t="s">
        <v>4035</v>
      </c>
      <c r="I81" s="195" t="s">
        <v>4018</v>
      </c>
      <c r="J81" s="195" t="s">
        <v>3920</v>
      </c>
      <c r="K81" s="198" t="s">
        <v>4036</v>
      </c>
      <c r="L81" s="243" t="s">
        <v>532</v>
      </c>
      <c r="M81" s="243" t="s">
        <v>4219</v>
      </c>
      <c r="N81" s="209" t="s">
        <v>7763</v>
      </c>
      <c r="O81" s="346">
        <v>52</v>
      </c>
    </row>
    <row r="82" spans="2:15" ht="69.95" hidden="1" customHeight="1">
      <c r="B82" s="345">
        <v>69</v>
      </c>
      <c r="C82" s="199">
        <v>4</v>
      </c>
      <c r="D82" s="195" t="s">
        <v>4025</v>
      </c>
      <c r="E82" s="219" t="s">
        <v>4019</v>
      </c>
      <c r="F82" s="196">
        <v>6330000</v>
      </c>
      <c r="G82" s="228" t="s">
        <v>3920</v>
      </c>
      <c r="H82" s="195" t="s">
        <v>4039</v>
      </c>
      <c r="I82" s="195" t="s">
        <v>4018</v>
      </c>
      <c r="J82" s="195" t="s">
        <v>3920</v>
      </c>
      <c r="K82" s="198" t="s">
        <v>4040</v>
      </c>
      <c r="L82" s="243" t="s">
        <v>532</v>
      </c>
      <c r="M82" s="243" t="s">
        <v>4219</v>
      </c>
      <c r="N82" s="209" t="s">
        <v>7763</v>
      </c>
      <c r="O82" s="346">
        <v>52</v>
      </c>
    </row>
    <row r="83" spans="2:15" ht="69.95" customHeight="1">
      <c r="B83" s="345">
        <v>70</v>
      </c>
      <c r="C83" s="199">
        <v>4</v>
      </c>
      <c r="D83" s="195" t="s">
        <v>4026</v>
      </c>
      <c r="E83" s="219" t="s">
        <v>4019</v>
      </c>
      <c r="F83" s="196">
        <v>75325796</v>
      </c>
      <c r="G83" s="229" t="s">
        <v>3723</v>
      </c>
      <c r="H83" s="195" t="s">
        <v>4041</v>
      </c>
      <c r="I83" s="195" t="s">
        <v>4018</v>
      </c>
      <c r="J83" s="195" t="s">
        <v>3920</v>
      </c>
      <c r="K83" s="198" t="s">
        <v>4042</v>
      </c>
      <c r="L83" s="243"/>
      <c r="M83" s="243"/>
      <c r="N83" s="252" t="s">
        <v>3723</v>
      </c>
      <c r="O83" s="346">
        <v>52</v>
      </c>
    </row>
    <row r="84" spans="2:15" ht="69.95" customHeight="1">
      <c r="B84" s="345">
        <v>71</v>
      </c>
      <c r="C84" s="199">
        <v>4</v>
      </c>
      <c r="D84" s="195" t="s">
        <v>4044</v>
      </c>
      <c r="E84" s="219" t="s">
        <v>4019</v>
      </c>
      <c r="F84" s="196">
        <v>19929200</v>
      </c>
      <c r="G84" s="229" t="s">
        <v>3723</v>
      </c>
      <c r="H84" s="195" t="s">
        <v>4047</v>
      </c>
      <c r="I84" s="195" t="s">
        <v>4018</v>
      </c>
      <c r="J84" s="195" t="s">
        <v>3920</v>
      </c>
      <c r="K84" s="198" t="s">
        <v>4048</v>
      </c>
      <c r="L84" s="243"/>
      <c r="M84" s="243"/>
      <c r="N84" s="252" t="s">
        <v>3723</v>
      </c>
      <c r="O84" s="346">
        <v>52</v>
      </c>
    </row>
    <row r="85" spans="2:15" ht="69.95" hidden="1" customHeight="1">
      <c r="B85" s="345">
        <v>72</v>
      </c>
      <c r="C85" s="199">
        <v>4</v>
      </c>
      <c r="D85" s="195" t="s">
        <v>4178</v>
      </c>
      <c r="E85" s="219" t="s">
        <v>4159</v>
      </c>
      <c r="F85" s="196">
        <v>14352838</v>
      </c>
      <c r="G85" s="228" t="s">
        <v>3920</v>
      </c>
      <c r="H85" s="195" t="s">
        <v>4179</v>
      </c>
      <c r="I85" s="195" t="s">
        <v>4180</v>
      </c>
      <c r="J85" s="195" t="s">
        <v>3920</v>
      </c>
      <c r="K85" s="198" t="s">
        <v>4181</v>
      </c>
      <c r="L85" s="243" t="s">
        <v>565</v>
      </c>
      <c r="M85" s="243" t="s">
        <v>4218</v>
      </c>
      <c r="N85" s="209" t="s">
        <v>7763</v>
      </c>
      <c r="O85" s="346">
        <v>52</v>
      </c>
    </row>
    <row r="86" spans="2:15" ht="69.95" hidden="1" customHeight="1">
      <c r="B86" s="345">
        <v>73</v>
      </c>
      <c r="C86" s="199">
        <v>4</v>
      </c>
      <c r="D86" s="195" t="s">
        <v>4182</v>
      </c>
      <c r="E86" s="219" t="s">
        <v>4159</v>
      </c>
      <c r="F86" s="196">
        <v>3712700</v>
      </c>
      <c r="G86" s="228" t="s">
        <v>3920</v>
      </c>
      <c r="H86" s="195" t="s">
        <v>4183</v>
      </c>
      <c r="I86" s="195" t="s">
        <v>4161</v>
      </c>
      <c r="J86" s="195" t="s">
        <v>3920</v>
      </c>
      <c r="K86" s="198" t="s">
        <v>4184</v>
      </c>
      <c r="L86" s="243" t="s">
        <v>565</v>
      </c>
      <c r="M86" s="243" t="s">
        <v>4218</v>
      </c>
      <c r="N86" s="209" t="s">
        <v>7763</v>
      </c>
      <c r="O86" s="346">
        <v>52</v>
      </c>
    </row>
    <row r="87" spans="2:15" ht="69.95" hidden="1" customHeight="1">
      <c r="B87" s="345">
        <v>74</v>
      </c>
      <c r="C87" s="199">
        <v>4</v>
      </c>
      <c r="D87" s="195" t="s">
        <v>4166</v>
      </c>
      <c r="E87" s="219" t="s">
        <v>4159</v>
      </c>
      <c r="F87" s="196">
        <v>205000</v>
      </c>
      <c r="G87" s="228" t="s">
        <v>3920</v>
      </c>
      <c r="H87" s="195" t="s">
        <v>4167</v>
      </c>
      <c r="I87" s="195" t="s">
        <v>4161</v>
      </c>
      <c r="J87" s="195" t="s">
        <v>3920</v>
      </c>
      <c r="K87" s="198" t="s">
        <v>4168</v>
      </c>
      <c r="L87" s="243" t="s">
        <v>532</v>
      </c>
      <c r="M87" s="243" t="s">
        <v>4219</v>
      </c>
      <c r="N87" s="209" t="s">
        <v>7763</v>
      </c>
      <c r="O87" s="346">
        <v>52</v>
      </c>
    </row>
    <row r="88" spans="2:15" ht="69.95" hidden="1" customHeight="1">
      <c r="B88" s="345">
        <v>75</v>
      </c>
      <c r="C88" s="199">
        <v>4</v>
      </c>
      <c r="D88" s="195" t="s">
        <v>4163</v>
      </c>
      <c r="E88" s="219" t="s">
        <v>4159</v>
      </c>
      <c r="F88" s="196">
        <v>524500</v>
      </c>
      <c r="G88" s="228" t="s">
        <v>3920</v>
      </c>
      <c r="H88" s="195" t="s">
        <v>4164</v>
      </c>
      <c r="I88" s="195" t="s">
        <v>4161</v>
      </c>
      <c r="J88" s="195" t="s">
        <v>3920</v>
      </c>
      <c r="K88" s="198" t="s">
        <v>4165</v>
      </c>
      <c r="L88" s="243" t="s">
        <v>532</v>
      </c>
      <c r="M88" s="243" t="s">
        <v>4255</v>
      </c>
      <c r="N88" s="209" t="s">
        <v>7763</v>
      </c>
      <c r="O88" s="346">
        <v>52</v>
      </c>
    </row>
    <row r="89" spans="2:15" ht="69.95" hidden="1" customHeight="1">
      <c r="B89" s="345">
        <v>76</v>
      </c>
      <c r="C89" s="199">
        <v>4</v>
      </c>
      <c r="D89" s="195" t="s">
        <v>4158</v>
      </c>
      <c r="E89" s="219" t="s">
        <v>4159</v>
      </c>
      <c r="F89" s="196">
        <v>1790000</v>
      </c>
      <c r="G89" s="228" t="s">
        <v>3920</v>
      </c>
      <c r="H89" s="195" t="s">
        <v>4160</v>
      </c>
      <c r="I89" s="195" t="s">
        <v>4161</v>
      </c>
      <c r="J89" s="195" t="s">
        <v>3920</v>
      </c>
      <c r="K89" s="198" t="s">
        <v>4162</v>
      </c>
      <c r="L89" s="243" t="s">
        <v>532</v>
      </c>
      <c r="M89" s="243" t="s">
        <v>4255</v>
      </c>
      <c r="N89" s="209" t="s">
        <v>7763</v>
      </c>
      <c r="O89" s="346">
        <v>52</v>
      </c>
    </row>
    <row r="90" spans="2:15" ht="69.95" hidden="1" customHeight="1">
      <c r="B90" s="345">
        <v>77</v>
      </c>
      <c r="C90" s="199">
        <v>4</v>
      </c>
      <c r="D90" s="195" t="s">
        <v>4169</v>
      </c>
      <c r="E90" s="219" t="s">
        <v>4159</v>
      </c>
      <c r="F90" s="196">
        <v>1000000</v>
      </c>
      <c r="G90" s="228" t="s">
        <v>3920</v>
      </c>
      <c r="H90" s="195" t="s">
        <v>4170</v>
      </c>
      <c r="I90" s="195" t="s">
        <v>4161</v>
      </c>
      <c r="J90" s="195" t="s">
        <v>3920</v>
      </c>
      <c r="K90" s="198" t="s">
        <v>4171</v>
      </c>
      <c r="L90" s="243" t="s">
        <v>524</v>
      </c>
      <c r="M90" s="243" t="s">
        <v>4252</v>
      </c>
      <c r="N90" s="209" t="s">
        <v>7763</v>
      </c>
      <c r="O90" s="346">
        <v>52</v>
      </c>
    </row>
    <row r="91" spans="2:15" ht="69.95" hidden="1" customHeight="1">
      <c r="B91" s="345">
        <v>78</v>
      </c>
      <c r="C91" s="199">
        <v>5</v>
      </c>
      <c r="D91" s="195" t="s">
        <v>4207</v>
      </c>
      <c r="E91" s="219" t="s">
        <v>4070</v>
      </c>
      <c r="F91" s="215">
        <v>63640000</v>
      </c>
      <c r="G91" s="227" t="s">
        <v>3931</v>
      </c>
      <c r="H91" s="195" t="s">
        <v>4208</v>
      </c>
      <c r="I91" s="195" t="s">
        <v>4053</v>
      </c>
      <c r="J91" s="195" t="s">
        <v>3934</v>
      </c>
      <c r="K91" s="198" t="s">
        <v>4209</v>
      </c>
      <c r="L91" s="243" t="s">
        <v>565</v>
      </c>
      <c r="M91" s="243" t="s">
        <v>4218</v>
      </c>
      <c r="N91" s="252" t="s">
        <v>4408</v>
      </c>
      <c r="O91" s="346">
        <v>52</v>
      </c>
    </row>
    <row r="92" spans="2:15" ht="69.95" hidden="1" customHeight="1">
      <c r="B92" s="345">
        <v>79</v>
      </c>
      <c r="C92" s="199">
        <v>5</v>
      </c>
      <c r="D92" s="195" t="s">
        <v>4069</v>
      </c>
      <c r="E92" s="219" t="s">
        <v>4070</v>
      </c>
      <c r="F92" s="196">
        <v>210863345</v>
      </c>
      <c r="G92" s="232" t="s">
        <v>4071</v>
      </c>
      <c r="H92" s="214" t="s">
        <v>4072</v>
      </c>
      <c r="I92" s="195" t="s">
        <v>3991</v>
      </c>
      <c r="J92" s="195" t="s">
        <v>3934</v>
      </c>
      <c r="K92" s="198" t="s">
        <v>4073</v>
      </c>
      <c r="L92" s="243" t="s">
        <v>565</v>
      </c>
      <c r="M92" s="243" t="s">
        <v>4220</v>
      </c>
      <c r="N92" s="252" t="s">
        <v>4407</v>
      </c>
      <c r="O92" s="346">
        <v>51</v>
      </c>
    </row>
    <row r="93" spans="2:15" ht="69.95" hidden="1" customHeight="1">
      <c r="B93" s="345">
        <v>80</v>
      </c>
      <c r="C93" s="199">
        <v>5</v>
      </c>
      <c r="D93" s="195" t="s">
        <v>4215</v>
      </c>
      <c r="E93" s="219" t="s">
        <v>4214</v>
      </c>
      <c r="F93" s="196">
        <v>236089382</v>
      </c>
      <c r="G93" s="232" t="s">
        <v>3920</v>
      </c>
      <c r="H93" s="239" t="s">
        <v>4216</v>
      </c>
      <c r="I93" s="195" t="s">
        <v>4186</v>
      </c>
      <c r="J93" s="195" t="s">
        <v>3920</v>
      </c>
      <c r="K93" s="198" t="s">
        <v>4217</v>
      </c>
      <c r="L93" s="243" t="s">
        <v>565</v>
      </c>
      <c r="M93" s="243" t="s">
        <v>4220</v>
      </c>
      <c r="N93" s="252" t="s">
        <v>4407</v>
      </c>
      <c r="O93" s="346">
        <v>51</v>
      </c>
    </row>
    <row r="94" spans="2:15" ht="69.95" hidden="1" customHeight="1">
      <c r="B94" s="345">
        <v>81</v>
      </c>
      <c r="C94" s="199">
        <v>5</v>
      </c>
      <c r="D94" s="195" t="s">
        <v>4237</v>
      </c>
      <c r="E94" s="219" t="s">
        <v>4238</v>
      </c>
      <c r="F94" s="196">
        <v>26312000</v>
      </c>
      <c r="G94" s="232" t="s">
        <v>4087</v>
      </c>
      <c r="H94" s="214" t="s">
        <v>4239</v>
      </c>
      <c r="I94" s="195" t="s">
        <v>4238</v>
      </c>
      <c r="J94" s="195" t="s">
        <v>3920</v>
      </c>
      <c r="K94" s="198" t="s">
        <v>4240</v>
      </c>
      <c r="L94" s="243" t="s">
        <v>565</v>
      </c>
      <c r="M94" s="243" t="s">
        <v>4220</v>
      </c>
      <c r="N94" s="252" t="s">
        <v>4407</v>
      </c>
      <c r="O94" s="346">
        <v>51</v>
      </c>
    </row>
    <row r="95" spans="2:15" ht="69.95" hidden="1" customHeight="1">
      <c r="B95" s="345">
        <v>82</v>
      </c>
      <c r="C95" s="199">
        <v>5</v>
      </c>
      <c r="D95" s="195" t="s">
        <v>4241</v>
      </c>
      <c r="E95" s="219" t="s">
        <v>4242</v>
      </c>
      <c r="F95" s="196">
        <v>4745975</v>
      </c>
      <c r="G95" s="232" t="s">
        <v>3920</v>
      </c>
      <c r="H95" s="195" t="s">
        <v>4243</v>
      </c>
      <c r="I95" s="195" t="s">
        <v>4244</v>
      </c>
      <c r="J95" s="195" t="s">
        <v>3920</v>
      </c>
      <c r="K95" s="198" t="s">
        <v>4245</v>
      </c>
      <c r="L95" s="243" t="s">
        <v>565</v>
      </c>
      <c r="M95" s="243" t="s">
        <v>4220</v>
      </c>
      <c r="N95" s="252" t="s">
        <v>4407</v>
      </c>
      <c r="O95" s="346">
        <v>51</v>
      </c>
    </row>
    <row r="96" spans="2:15" ht="69.95" hidden="1" customHeight="1">
      <c r="B96" s="345">
        <v>83</v>
      </c>
      <c r="C96" s="199">
        <v>5</v>
      </c>
      <c r="D96" s="195" t="s">
        <v>4246</v>
      </c>
      <c r="E96" s="219" t="s">
        <v>4242</v>
      </c>
      <c r="F96" s="196">
        <v>221543</v>
      </c>
      <c r="G96" s="232" t="s">
        <v>4099</v>
      </c>
      <c r="H96" s="195" t="s">
        <v>4247</v>
      </c>
      <c r="I96" s="195" t="s">
        <v>4244</v>
      </c>
      <c r="J96" s="195" t="s">
        <v>3920</v>
      </c>
      <c r="K96" s="198" t="s">
        <v>4248</v>
      </c>
      <c r="L96" s="243" t="s">
        <v>565</v>
      </c>
      <c r="M96" s="243" t="s">
        <v>4220</v>
      </c>
      <c r="N96" s="252" t="s">
        <v>4407</v>
      </c>
      <c r="O96" s="346">
        <v>51</v>
      </c>
    </row>
    <row r="97" spans="2:15" ht="69.95" hidden="1" customHeight="1">
      <c r="B97" s="345">
        <v>84</v>
      </c>
      <c r="C97" s="199">
        <v>5</v>
      </c>
      <c r="D97" s="195" t="s">
        <v>4280</v>
      </c>
      <c r="E97" s="219" t="s">
        <v>4259</v>
      </c>
      <c r="F97" s="196">
        <v>2372988</v>
      </c>
      <c r="G97" s="232" t="s">
        <v>4075</v>
      </c>
      <c r="H97" s="195" t="s">
        <v>4281</v>
      </c>
      <c r="I97" s="195" t="s">
        <v>4261</v>
      </c>
      <c r="J97" s="195" t="s">
        <v>3920</v>
      </c>
      <c r="K97" s="198" t="s">
        <v>4081</v>
      </c>
      <c r="L97" s="236" t="s">
        <v>565</v>
      </c>
      <c r="M97" s="236" t="s">
        <v>4220</v>
      </c>
      <c r="N97" s="252" t="s">
        <v>4407</v>
      </c>
      <c r="O97" s="346">
        <v>51</v>
      </c>
    </row>
    <row r="98" spans="2:15" ht="69.95" hidden="1" customHeight="1">
      <c r="B98" s="345">
        <v>85</v>
      </c>
      <c r="C98" s="199">
        <v>5</v>
      </c>
      <c r="D98" s="195" t="s">
        <v>4185</v>
      </c>
      <c r="E98" s="219" t="s">
        <v>4186</v>
      </c>
      <c r="F98" s="196">
        <v>540000000</v>
      </c>
      <c r="G98" s="248" t="s">
        <v>4187</v>
      </c>
      <c r="H98" s="195" t="s">
        <v>4188</v>
      </c>
      <c r="I98" s="195" t="s">
        <v>4189</v>
      </c>
      <c r="J98" s="195" t="s">
        <v>3920</v>
      </c>
      <c r="K98" s="198" t="s">
        <v>4190</v>
      </c>
      <c r="L98" s="243" t="s">
        <v>565</v>
      </c>
      <c r="M98" s="243" t="s">
        <v>4218</v>
      </c>
      <c r="N98" s="252" t="s">
        <v>4409</v>
      </c>
      <c r="O98" s="346">
        <v>53</v>
      </c>
    </row>
    <row r="99" spans="2:15" ht="69.95" hidden="1" customHeight="1">
      <c r="B99" s="345">
        <v>86</v>
      </c>
      <c r="C99" s="199">
        <v>5</v>
      </c>
      <c r="D99" s="195" t="s">
        <v>4191</v>
      </c>
      <c r="E99" s="219" t="s">
        <v>4189</v>
      </c>
      <c r="F99" s="196">
        <v>900500</v>
      </c>
      <c r="G99" s="228" t="s">
        <v>3920</v>
      </c>
      <c r="H99" s="195" t="s">
        <v>4192</v>
      </c>
      <c r="I99" s="195" t="s">
        <v>4193</v>
      </c>
      <c r="J99" s="195" t="s">
        <v>3920</v>
      </c>
      <c r="K99" s="198" t="s">
        <v>4194</v>
      </c>
      <c r="L99" s="243" t="s">
        <v>532</v>
      </c>
      <c r="M99" s="243" t="s">
        <v>4219</v>
      </c>
      <c r="N99" s="209" t="s">
        <v>7763</v>
      </c>
      <c r="O99" s="346">
        <v>52</v>
      </c>
    </row>
    <row r="100" spans="2:15" ht="69.95" hidden="1" customHeight="1">
      <c r="B100" s="345">
        <v>87</v>
      </c>
      <c r="C100" s="199">
        <v>5</v>
      </c>
      <c r="D100" s="195" t="s">
        <v>4198</v>
      </c>
      <c r="E100" s="219" t="s">
        <v>4189</v>
      </c>
      <c r="F100" s="196">
        <v>3600000</v>
      </c>
      <c r="G100" s="228" t="s">
        <v>3920</v>
      </c>
      <c r="H100" s="195" t="s">
        <v>4199</v>
      </c>
      <c r="I100" s="195" t="s">
        <v>4193</v>
      </c>
      <c r="J100" s="195" t="s">
        <v>3920</v>
      </c>
      <c r="K100" s="198" t="s">
        <v>4200</v>
      </c>
      <c r="L100" s="243" t="s">
        <v>532</v>
      </c>
      <c r="M100" s="243" t="s">
        <v>4219</v>
      </c>
      <c r="N100" s="209" t="s">
        <v>7763</v>
      </c>
      <c r="O100" s="346">
        <v>52</v>
      </c>
    </row>
    <row r="101" spans="2:15" ht="69.95" hidden="1" customHeight="1">
      <c r="B101" s="345">
        <v>88</v>
      </c>
      <c r="C101" s="199">
        <v>5</v>
      </c>
      <c r="D101" s="195" t="s">
        <v>4201</v>
      </c>
      <c r="E101" s="219" t="s">
        <v>4189</v>
      </c>
      <c r="F101" s="196">
        <v>10960600</v>
      </c>
      <c r="G101" s="228" t="s">
        <v>3920</v>
      </c>
      <c r="H101" s="195" t="s">
        <v>4202</v>
      </c>
      <c r="I101" s="195" t="s">
        <v>4193</v>
      </c>
      <c r="J101" s="195" t="s">
        <v>3920</v>
      </c>
      <c r="K101" s="198" t="s">
        <v>4203</v>
      </c>
      <c r="L101" s="243" t="s">
        <v>532</v>
      </c>
      <c r="M101" s="243" t="s">
        <v>4219</v>
      </c>
      <c r="N101" s="209" t="s">
        <v>7763</v>
      </c>
      <c r="O101" s="346">
        <v>52</v>
      </c>
    </row>
    <row r="102" spans="2:15" ht="69.95" hidden="1" customHeight="1">
      <c r="B102" s="345">
        <v>89</v>
      </c>
      <c r="C102" s="199">
        <v>5</v>
      </c>
      <c r="D102" s="195" t="s">
        <v>4204</v>
      </c>
      <c r="E102" s="219" t="s">
        <v>4189</v>
      </c>
      <c r="F102" s="196">
        <v>930000</v>
      </c>
      <c r="G102" s="228" t="s">
        <v>3920</v>
      </c>
      <c r="H102" s="195" t="s">
        <v>4205</v>
      </c>
      <c r="I102" s="195" t="s">
        <v>4193</v>
      </c>
      <c r="J102" s="195" t="s">
        <v>3920</v>
      </c>
      <c r="K102" s="198" t="s">
        <v>4206</v>
      </c>
      <c r="L102" s="243" t="s">
        <v>528</v>
      </c>
      <c r="M102" s="243" t="s">
        <v>4251</v>
      </c>
      <c r="N102" s="209" t="s">
        <v>7763</v>
      </c>
      <c r="O102" s="346">
        <v>52</v>
      </c>
    </row>
    <row r="103" spans="2:15" ht="69.95" hidden="1" customHeight="1">
      <c r="B103" s="345">
        <v>90</v>
      </c>
      <c r="C103" s="199">
        <v>5</v>
      </c>
      <c r="D103" s="195" t="s">
        <v>4195</v>
      </c>
      <c r="E103" s="219" t="s">
        <v>4189</v>
      </c>
      <c r="F103" s="196">
        <v>872000</v>
      </c>
      <c r="G103" s="228" t="s">
        <v>3920</v>
      </c>
      <c r="H103" s="195" t="s">
        <v>4196</v>
      </c>
      <c r="I103" s="195" t="s">
        <v>4193</v>
      </c>
      <c r="J103" s="195" t="s">
        <v>3920</v>
      </c>
      <c r="K103" s="198" t="s">
        <v>4197</v>
      </c>
      <c r="L103" s="243" t="s">
        <v>524</v>
      </c>
      <c r="M103" s="243" t="s">
        <v>4252</v>
      </c>
      <c r="N103" s="209" t="s">
        <v>7763</v>
      </c>
      <c r="O103" s="346">
        <v>52</v>
      </c>
    </row>
    <row r="104" spans="2:15" ht="69.95" hidden="1" customHeight="1">
      <c r="B104" s="345">
        <v>91</v>
      </c>
      <c r="C104" s="199">
        <v>5</v>
      </c>
      <c r="D104" s="197" t="s">
        <v>4234</v>
      </c>
      <c r="E104" s="250" t="s">
        <v>4228</v>
      </c>
      <c r="F104" s="226">
        <v>114200000</v>
      </c>
      <c r="G104" s="248" t="s">
        <v>4187</v>
      </c>
      <c r="H104" s="197" t="s">
        <v>4235</v>
      </c>
      <c r="I104" s="197" t="s">
        <v>4214</v>
      </c>
      <c r="J104" s="197" t="s">
        <v>3920</v>
      </c>
      <c r="K104" s="198" t="s">
        <v>4236</v>
      </c>
      <c r="L104" s="243" t="s">
        <v>565</v>
      </c>
      <c r="M104" s="243" t="s">
        <v>4218</v>
      </c>
      <c r="N104" s="252" t="s">
        <v>4409</v>
      </c>
      <c r="O104" s="346">
        <v>53</v>
      </c>
    </row>
    <row r="105" spans="2:15" ht="69.95" customHeight="1">
      <c r="B105" s="345">
        <v>92</v>
      </c>
      <c r="C105" s="199">
        <v>5</v>
      </c>
      <c r="D105" s="197" t="s">
        <v>4227</v>
      </c>
      <c r="E105" s="250" t="s">
        <v>4228</v>
      </c>
      <c r="F105" s="226">
        <v>93939616</v>
      </c>
      <c r="G105" s="229" t="s">
        <v>3723</v>
      </c>
      <c r="H105" s="197" t="s">
        <v>4229</v>
      </c>
      <c r="I105" s="197" t="s">
        <v>4230</v>
      </c>
      <c r="J105" s="197" t="s">
        <v>3920</v>
      </c>
      <c r="K105" s="198" t="s">
        <v>4231</v>
      </c>
      <c r="L105" s="243"/>
      <c r="M105" s="243"/>
      <c r="N105" s="252" t="s">
        <v>3723</v>
      </c>
      <c r="O105" s="346">
        <v>52</v>
      </c>
    </row>
    <row r="106" spans="2:15" ht="69.95" customHeight="1">
      <c r="B106" s="345">
        <v>93</v>
      </c>
      <c r="C106" s="199">
        <v>5</v>
      </c>
      <c r="D106" s="197" t="s">
        <v>4232</v>
      </c>
      <c r="E106" s="250" t="s">
        <v>4228</v>
      </c>
      <c r="F106" s="226">
        <v>1500000</v>
      </c>
      <c r="G106" s="229" t="s">
        <v>3723</v>
      </c>
      <c r="H106" s="197" t="s">
        <v>4233</v>
      </c>
      <c r="I106" s="197" t="s">
        <v>4230</v>
      </c>
      <c r="J106" s="197" t="s">
        <v>3920</v>
      </c>
      <c r="K106" s="198" t="s">
        <v>4231</v>
      </c>
      <c r="L106" s="243"/>
      <c r="M106" s="243"/>
      <c r="N106" s="252" t="s">
        <v>3723</v>
      </c>
      <c r="O106" s="346">
        <v>52</v>
      </c>
    </row>
    <row r="107" spans="2:15" ht="69.95" hidden="1" customHeight="1">
      <c r="B107" s="345">
        <v>94</v>
      </c>
      <c r="C107" s="199">
        <v>5</v>
      </c>
      <c r="D107" s="195" t="s">
        <v>4274</v>
      </c>
      <c r="E107" s="219" t="s">
        <v>4259</v>
      </c>
      <c r="F107" s="196">
        <v>448000</v>
      </c>
      <c r="G107" s="228" t="s">
        <v>3920</v>
      </c>
      <c r="H107" s="195" t="s">
        <v>4275</v>
      </c>
      <c r="I107" s="195" t="s">
        <v>4261</v>
      </c>
      <c r="J107" s="195" t="s">
        <v>3920</v>
      </c>
      <c r="K107" s="198" t="s">
        <v>4276</v>
      </c>
      <c r="L107" s="236" t="s">
        <v>532</v>
      </c>
      <c r="M107" s="236" t="s">
        <v>4219</v>
      </c>
      <c r="N107" s="209" t="s">
        <v>7763</v>
      </c>
      <c r="O107" s="346">
        <v>52</v>
      </c>
    </row>
    <row r="108" spans="2:15" ht="69.95" hidden="1" customHeight="1">
      <c r="B108" s="345">
        <v>95</v>
      </c>
      <c r="C108" s="199">
        <v>5</v>
      </c>
      <c r="D108" s="195" t="s">
        <v>4287</v>
      </c>
      <c r="E108" s="219" t="s">
        <v>4259</v>
      </c>
      <c r="F108" s="196">
        <v>1040000</v>
      </c>
      <c r="G108" s="228" t="s">
        <v>3920</v>
      </c>
      <c r="H108" s="195" t="s">
        <v>4288</v>
      </c>
      <c r="I108" s="195" t="s">
        <v>4261</v>
      </c>
      <c r="J108" s="195" t="s">
        <v>3920</v>
      </c>
      <c r="K108" s="198" t="s">
        <v>4289</v>
      </c>
      <c r="L108" s="236" t="s">
        <v>524</v>
      </c>
      <c r="M108" s="236" t="s">
        <v>4253</v>
      </c>
      <c r="N108" s="209" t="s">
        <v>7763</v>
      </c>
      <c r="O108" s="346">
        <v>52</v>
      </c>
    </row>
    <row r="109" spans="2:15" ht="69.95" hidden="1" customHeight="1">
      <c r="B109" s="345">
        <v>96</v>
      </c>
      <c r="C109" s="199">
        <v>5</v>
      </c>
      <c r="D109" s="195" t="s">
        <v>4271</v>
      </c>
      <c r="E109" s="219" t="s">
        <v>4259</v>
      </c>
      <c r="F109" s="196">
        <v>14922000</v>
      </c>
      <c r="G109" s="228" t="s">
        <v>3920</v>
      </c>
      <c r="H109" s="195" t="s">
        <v>4272</v>
      </c>
      <c r="I109" s="195" t="s">
        <v>4261</v>
      </c>
      <c r="J109" s="195" t="s">
        <v>3920</v>
      </c>
      <c r="K109" s="198" t="s">
        <v>4273</v>
      </c>
      <c r="L109" s="236" t="s">
        <v>524</v>
      </c>
      <c r="M109" s="236" t="s">
        <v>4252</v>
      </c>
      <c r="N109" s="209" t="s">
        <v>7763</v>
      </c>
      <c r="O109" s="346">
        <v>52</v>
      </c>
    </row>
    <row r="110" spans="2:15" ht="69.95" hidden="1" customHeight="1">
      <c r="B110" s="345">
        <v>97</v>
      </c>
      <c r="C110" s="199">
        <v>5</v>
      </c>
      <c r="D110" s="195" t="s">
        <v>4277</v>
      </c>
      <c r="E110" s="219" t="s">
        <v>4259</v>
      </c>
      <c r="F110" s="196">
        <v>3184000</v>
      </c>
      <c r="G110" s="228" t="s">
        <v>3920</v>
      </c>
      <c r="H110" s="195" t="s">
        <v>4278</v>
      </c>
      <c r="I110" s="195" t="s">
        <v>4261</v>
      </c>
      <c r="J110" s="195" t="s">
        <v>3920</v>
      </c>
      <c r="K110" s="198" t="s">
        <v>4279</v>
      </c>
      <c r="L110" s="236" t="s">
        <v>532</v>
      </c>
      <c r="M110" s="236" t="s">
        <v>4219</v>
      </c>
      <c r="N110" s="209" t="s">
        <v>7763</v>
      </c>
      <c r="O110" s="346">
        <v>52</v>
      </c>
    </row>
    <row r="111" spans="2:15" ht="69.95" hidden="1" customHeight="1">
      <c r="B111" s="345">
        <v>98</v>
      </c>
      <c r="C111" s="199">
        <v>5</v>
      </c>
      <c r="D111" s="195" t="s">
        <v>4282</v>
      </c>
      <c r="E111" s="219" t="s">
        <v>4259</v>
      </c>
      <c r="F111" s="196">
        <v>3620000</v>
      </c>
      <c r="G111" s="228" t="s">
        <v>3920</v>
      </c>
      <c r="H111" s="195" t="s">
        <v>4283</v>
      </c>
      <c r="I111" s="195" t="s">
        <v>4261</v>
      </c>
      <c r="J111" s="195" t="s">
        <v>3920</v>
      </c>
      <c r="K111" s="198" t="s">
        <v>4284</v>
      </c>
      <c r="L111" s="236" t="s">
        <v>524</v>
      </c>
      <c r="M111" s="236" t="s">
        <v>4252</v>
      </c>
      <c r="N111" s="209" t="s">
        <v>7763</v>
      </c>
      <c r="O111" s="346">
        <v>52</v>
      </c>
    </row>
    <row r="112" spans="2:15" ht="69.95" hidden="1" customHeight="1">
      <c r="B112" s="345">
        <v>99</v>
      </c>
      <c r="C112" s="199">
        <v>5</v>
      </c>
      <c r="D112" s="195" t="s">
        <v>4268</v>
      </c>
      <c r="E112" s="219" t="s">
        <v>4259</v>
      </c>
      <c r="F112" s="196">
        <v>1250000</v>
      </c>
      <c r="G112" s="228" t="s">
        <v>3920</v>
      </c>
      <c r="H112" s="195" t="s">
        <v>4269</v>
      </c>
      <c r="I112" s="195" t="s">
        <v>4261</v>
      </c>
      <c r="J112" s="195" t="s">
        <v>3920</v>
      </c>
      <c r="K112" s="198" t="s">
        <v>4270</v>
      </c>
      <c r="L112" s="236" t="s">
        <v>524</v>
      </c>
      <c r="M112" s="236" t="s">
        <v>4253</v>
      </c>
      <c r="N112" s="209" t="s">
        <v>7763</v>
      </c>
      <c r="O112" s="346">
        <v>52</v>
      </c>
    </row>
    <row r="113" spans="2:15" ht="69.95" customHeight="1">
      <c r="B113" s="345">
        <v>100</v>
      </c>
      <c r="C113" s="199">
        <v>5</v>
      </c>
      <c r="D113" s="195" t="s">
        <v>4285</v>
      </c>
      <c r="E113" s="219" t="s">
        <v>4259</v>
      </c>
      <c r="F113" s="196">
        <v>74895594</v>
      </c>
      <c r="G113" s="229" t="s">
        <v>3723</v>
      </c>
      <c r="H113" s="195" t="s">
        <v>4286</v>
      </c>
      <c r="I113" s="195" t="s">
        <v>4261</v>
      </c>
      <c r="J113" s="195" t="s">
        <v>3920</v>
      </c>
      <c r="K113" s="198" t="s">
        <v>4265</v>
      </c>
      <c r="L113" s="236"/>
      <c r="M113" s="236"/>
      <c r="N113" s="252" t="s">
        <v>3723</v>
      </c>
      <c r="O113" s="346">
        <v>52</v>
      </c>
    </row>
    <row r="114" spans="2:15" ht="69.95" customHeight="1">
      <c r="B114" s="345">
        <v>101</v>
      </c>
      <c r="C114" s="199">
        <v>5</v>
      </c>
      <c r="D114" s="195" t="s">
        <v>4263</v>
      </c>
      <c r="E114" s="219" t="s">
        <v>4259</v>
      </c>
      <c r="F114" s="196">
        <v>10182883</v>
      </c>
      <c r="G114" s="229" t="s">
        <v>3723</v>
      </c>
      <c r="H114" s="195" t="s">
        <v>4264</v>
      </c>
      <c r="I114" s="195" t="s">
        <v>4261</v>
      </c>
      <c r="J114" s="195" t="s">
        <v>3920</v>
      </c>
      <c r="K114" s="198" t="s">
        <v>4265</v>
      </c>
      <c r="L114" s="236"/>
      <c r="M114" s="236"/>
      <c r="N114" s="252" t="s">
        <v>3723</v>
      </c>
      <c r="O114" s="346">
        <v>52</v>
      </c>
    </row>
    <row r="115" spans="2:15" ht="69.95" customHeight="1">
      <c r="B115" s="345">
        <v>102</v>
      </c>
      <c r="C115" s="199">
        <v>5</v>
      </c>
      <c r="D115" s="195" t="s">
        <v>4266</v>
      </c>
      <c r="E115" s="219" t="s">
        <v>4259</v>
      </c>
      <c r="F115" s="196">
        <v>8760100</v>
      </c>
      <c r="G115" s="229" t="s">
        <v>3723</v>
      </c>
      <c r="H115" s="195" t="s">
        <v>4267</v>
      </c>
      <c r="I115" s="195" t="s">
        <v>4261</v>
      </c>
      <c r="J115" s="195" t="s">
        <v>3920</v>
      </c>
      <c r="K115" s="198" t="s">
        <v>4265</v>
      </c>
      <c r="L115" s="236"/>
      <c r="M115" s="236"/>
      <c r="N115" s="252" t="s">
        <v>3723</v>
      </c>
      <c r="O115" s="346">
        <v>52</v>
      </c>
    </row>
    <row r="116" spans="2:15" ht="69.95" customHeight="1">
      <c r="B116" s="345">
        <v>103</v>
      </c>
      <c r="C116" s="199">
        <v>5</v>
      </c>
      <c r="D116" s="195" t="s">
        <v>4258</v>
      </c>
      <c r="E116" s="219" t="s">
        <v>4259</v>
      </c>
      <c r="F116" s="196">
        <v>312088731</v>
      </c>
      <c r="G116" s="230" t="s">
        <v>3944</v>
      </c>
      <c r="H116" s="195" t="s">
        <v>4260</v>
      </c>
      <c r="I116" s="195" t="s">
        <v>4261</v>
      </c>
      <c r="J116" s="195" t="s">
        <v>3947</v>
      </c>
      <c r="K116" s="198" t="s">
        <v>4262</v>
      </c>
      <c r="L116" s="236"/>
      <c r="M116" s="236"/>
      <c r="N116" s="252" t="s">
        <v>3724</v>
      </c>
      <c r="O116" s="346">
        <v>52</v>
      </c>
    </row>
    <row r="117" spans="2:15" ht="69.95" hidden="1" customHeight="1">
      <c r="B117" s="345">
        <v>104</v>
      </c>
      <c r="C117" s="199">
        <v>6</v>
      </c>
      <c r="D117" s="195" t="s">
        <v>4300</v>
      </c>
      <c r="E117" s="219" t="s">
        <v>4294</v>
      </c>
      <c r="F117" s="215">
        <v>63640000</v>
      </c>
      <c r="G117" s="227" t="s">
        <v>3931</v>
      </c>
      <c r="H117" s="249" t="s">
        <v>4301</v>
      </c>
      <c r="I117" s="195" t="s">
        <v>4244</v>
      </c>
      <c r="J117" s="195" t="s">
        <v>3934</v>
      </c>
      <c r="K117" s="198" t="s">
        <v>4302</v>
      </c>
      <c r="L117" s="236" t="s">
        <v>565</v>
      </c>
      <c r="M117" s="236" t="s">
        <v>4218</v>
      </c>
      <c r="N117" s="252" t="s">
        <v>4408</v>
      </c>
      <c r="O117" s="346">
        <v>52</v>
      </c>
    </row>
    <row r="118" spans="2:15" ht="69.95" hidden="1" customHeight="1">
      <c r="B118" s="345">
        <v>105</v>
      </c>
      <c r="C118" s="199">
        <v>6</v>
      </c>
      <c r="D118" s="195" t="s">
        <v>4303</v>
      </c>
      <c r="E118" s="219" t="s">
        <v>4305</v>
      </c>
      <c r="F118" s="196">
        <v>11850000</v>
      </c>
      <c r="G118" s="241" t="s">
        <v>3920</v>
      </c>
      <c r="H118" s="197" t="s">
        <v>4306</v>
      </c>
      <c r="I118" s="195" t="s">
        <v>4304</v>
      </c>
      <c r="J118" s="195" t="s">
        <v>3920</v>
      </c>
      <c r="K118" s="198" t="s">
        <v>4307</v>
      </c>
      <c r="L118" s="236" t="s">
        <v>532</v>
      </c>
      <c r="M118" s="236" t="s">
        <v>4219</v>
      </c>
      <c r="N118" s="252" t="s">
        <v>4406</v>
      </c>
      <c r="O118" s="346">
        <v>52</v>
      </c>
    </row>
    <row r="119" spans="2:15" ht="69.95" hidden="1" customHeight="1">
      <c r="B119" s="345">
        <v>106</v>
      </c>
      <c r="C119" s="199">
        <v>6</v>
      </c>
      <c r="D119" s="195" t="s">
        <v>4323</v>
      </c>
      <c r="E119" s="219" t="s">
        <v>4305</v>
      </c>
      <c r="F119" s="196">
        <v>8750000</v>
      </c>
      <c r="G119" s="241" t="s">
        <v>4187</v>
      </c>
      <c r="H119" s="197" t="s">
        <v>4324</v>
      </c>
      <c r="I119" s="195" t="s">
        <v>4304</v>
      </c>
      <c r="J119" s="195" t="s">
        <v>3920</v>
      </c>
      <c r="K119" s="198" t="s">
        <v>4325</v>
      </c>
      <c r="L119" s="236" t="s">
        <v>532</v>
      </c>
      <c r="M119" s="236" t="s">
        <v>4219</v>
      </c>
      <c r="N119" s="252" t="s">
        <v>4406</v>
      </c>
      <c r="O119" s="346">
        <v>52</v>
      </c>
    </row>
    <row r="120" spans="2:15" ht="69.95" hidden="1" customHeight="1">
      <c r="B120" s="345">
        <v>107</v>
      </c>
      <c r="C120" s="199">
        <v>6</v>
      </c>
      <c r="D120" s="195" t="s">
        <v>4320</v>
      </c>
      <c r="E120" s="219" t="s">
        <v>4305</v>
      </c>
      <c r="F120" s="196">
        <v>136000000</v>
      </c>
      <c r="G120" s="241" t="s">
        <v>4187</v>
      </c>
      <c r="H120" s="197" t="s">
        <v>4321</v>
      </c>
      <c r="I120" s="195" t="s">
        <v>4304</v>
      </c>
      <c r="J120" s="195" t="s">
        <v>3920</v>
      </c>
      <c r="K120" s="198" t="s">
        <v>4322</v>
      </c>
      <c r="L120" s="236" t="s">
        <v>532</v>
      </c>
      <c r="M120" s="236" t="s">
        <v>4219</v>
      </c>
      <c r="N120" s="252" t="s">
        <v>4406</v>
      </c>
      <c r="O120" s="346">
        <v>52</v>
      </c>
    </row>
    <row r="121" spans="2:15" ht="69.95" hidden="1" customHeight="1">
      <c r="B121" s="345">
        <v>108</v>
      </c>
      <c r="C121" s="199">
        <v>6</v>
      </c>
      <c r="D121" s="195" t="s">
        <v>4335</v>
      </c>
      <c r="E121" s="219" t="s">
        <v>4305</v>
      </c>
      <c r="F121" s="196">
        <v>202275000</v>
      </c>
      <c r="G121" s="241" t="s">
        <v>4187</v>
      </c>
      <c r="H121" s="197" t="s">
        <v>4336</v>
      </c>
      <c r="I121" s="195" t="s">
        <v>4304</v>
      </c>
      <c r="J121" s="195" t="s">
        <v>3920</v>
      </c>
      <c r="K121" s="198" t="s">
        <v>4337</v>
      </c>
      <c r="L121" s="236" t="s">
        <v>532</v>
      </c>
      <c r="M121" s="236" t="s">
        <v>4219</v>
      </c>
      <c r="N121" s="252" t="s">
        <v>4406</v>
      </c>
      <c r="O121" s="346">
        <v>52</v>
      </c>
    </row>
    <row r="122" spans="2:15" ht="69.95" hidden="1" customHeight="1">
      <c r="B122" s="345">
        <v>109</v>
      </c>
      <c r="C122" s="199">
        <v>6</v>
      </c>
      <c r="D122" s="195" t="s">
        <v>4308</v>
      </c>
      <c r="E122" s="219" t="s">
        <v>4305</v>
      </c>
      <c r="F122" s="196">
        <v>32800000</v>
      </c>
      <c r="G122" s="241" t="s">
        <v>4187</v>
      </c>
      <c r="H122" s="197" t="s">
        <v>4309</v>
      </c>
      <c r="I122" s="195" t="s">
        <v>4304</v>
      </c>
      <c r="J122" s="195" t="s">
        <v>3920</v>
      </c>
      <c r="K122" s="198" t="s">
        <v>4310</v>
      </c>
      <c r="L122" s="236" t="s">
        <v>532</v>
      </c>
      <c r="M122" s="236" t="s">
        <v>4219</v>
      </c>
      <c r="N122" s="252" t="s">
        <v>4406</v>
      </c>
      <c r="O122" s="346">
        <v>52</v>
      </c>
    </row>
    <row r="123" spans="2:15" ht="69.95" hidden="1" customHeight="1">
      <c r="B123" s="345">
        <v>110</v>
      </c>
      <c r="C123" s="199">
        <v>6</v>
      </c>
      <c r="D123" s="195" t="s">
        <v>4326</v>
      </c>
      <c r="E123" s="219" t="s">
        <v>4305</v>
      </c>
      <c r="F123" s="196">
        <v>39150000</v>
      </c>
      <c r="G123" s="241" t="s">
        <v>4187</v>
      </c>
      <c r="H123" s="197" t="s">
        <v>4327</v>
      </c>
      <c r="I123" s="195" t="s">
        <v>4304</v>
      </c>
      <c r="J123" s="195" t="s">
        <v>3920</v>
      </c>
      <c r="K123" s="198" t="s">
        <v>4328</v>
      </c>
      <c r="L123" s="236" t="s">
        <v>532</v>
      </c>
      <c r="M123" s="236" t="s">
        <v>4219</v>
      </c>
      <c r="N123" s="252" t="s">
        <v>4406</v>
      </c>
      <c r="O123" s="346">
        <v>52</v>
      </c>
    </row>
    <row r="124" spans="2:15" ht="69.95" hidden="1" customHeight="1">
      <c r="B124" s="345">
        <v>111</v>
      </c>
      <c r="C124" s="199">
        <v>6</v>
      </c>
      <c r="D124" s="214" t="s">
        <v>4341</v>
      </c>
      <c r="E124" s="220" t="s">
        <v>4342</v>
      </c>
      <c r="F124" s="215">
        <v>180000000</v>
      </c>
      <c r="G124" s="245" t="s">
        <v>3920</v>
      </c>
      <c r="H124" s="214" t="s">
        <v>4343</v>
      </c>
      <c r="I124" s="214" t="s">
        <v>4305</v>
      </c>
      <c r="J124" s="214" t="s">
        <v>3920</v>
      </c>
      <c r="K124" s="216" t="s">
        <v>4344</v>
      </c>
      <c r="L124" s="236" t="s">
        <v>532</v>
      </c>
      <c r="M124" s="236" t="s">
        <v>4219</v>
      </c>
      <c r="N124" s="252" t="s">
        <v>4406</v>
      </c>
      <c r="O124" s="346">
        <v>52</v>
      </c>
    </row>
    <row r="125" spans="2:15" ht="69.95" hidden="1" customHeight="1">
      <c r="B125" s="345">
        <v>112</v>
      </c>
      <c r="C125" s="199">
        <v>6</v>
      </c>
      <c r="D125" s="214" t="s">
        <v>4363</v>
      </c>
      <c r="E125" s="220" t="s">
        <v>4342</v>
      </c>
      <c r="F125" s="215">
        <v>30000000</v>
      </c>
      <c r="G125" s="241" t="s">
        <v>3920</v>
      </c>
      <c r="H125" s="214" t="s">
        <v>4364</v>
      </c>
      <c r="I125" s="214" t="s">
        <v>4305</v>
      </c>
      <c r="J125" s="214" t="s">
        <v>3920</v>
      </c>
      <c r="K125" s="216" t="s">
        <v>4365</v>
      </c>
      <c r="L125" s="236" t="s">
        <v>532</v>
      </c>
      <c r="M125" s="236" t="s">
        <v>4219</v>
      </c>
      <c r="N125" s="252" t="s">
        <v>4406</v>
      </c>
      <c r="O125" s="346">
        <v>52</v>
      </c>
    </row>
    <row r="126" spans="2:15" ht="69.95" hidden="1" customHeight="1">
      <c r="B126" s="345">
        <v>113</v>
      </c>
      <c r="C126" s="199">
        <v>6</v>
      </c>
      <c r="D126" s="195" t="s">
        <v>4372</v>
      </c>
      <c r="E126" s="219" t="s">
        <v>4373</v>
      </c>
      <c r="F126" s="196">
        <v>6750000</v>
      </c>
      <c r="G126" s="241" t="s">
        <v>4187</v>
      </c>
      <c r="H126" s="195" t="s">
        <v>4374</v>
      </c>
      <c r="I126" s="195" t="s">
        <v>4305</v>
      </c>
      <c r="J126" s="195" t="s">
        <v>3920</v>
      </c>
      <c r="K126" s="216" t="s">
        <v>4375</v>
      </c>
      <c r="L126" s="236" t="s">
        <v>532</v>
      </c>
      <c r="M126" s="236" t="s">
        <v>4219</v>
      </c>
      <c r="N126" s="252" t="s">
        <v>4406</v>
      </c>
      <c r="O126" s="346">
        <v>52</v>
      </c>
    </row>
    <row r="127" spans="2:15" ht="69.95" hidden="1" customHeight="1">
      <c r="B127" s="345">
        <v>114</v>
      </c>
      <c r="C127" s="199">
        <v>6</v>
      </c>
      <c r="D127" s="195" t="s">
        <v>4376</v>
      </c>
      <c r="E127" s="219" t="s">
        <v>4373</v>
      </c>
      <c r="F127" s="196">
        <v>14000000</v>
      </c>
      <c r="G127" s="241" t="s">
        <v>4187</v>
      </c>
      <c r="H127" s="195" t="s">
        <v>4377</v>
      </c>
      <c r="I127" s="195" t="s">
        <v>4305</v>
      </c>
      <c r="J127" s="195" t="s">
        <v>3920</v>
      </c>
      <c r="K127" s="216" t="s">
        <v>4378</v>
      </c>
      <c r="L127" s="236" t="s">
        <v>532</v>
      </c>
      <c r="M127" s="236" t="s">
        <v>4219</v>
      </c>
      <c r="N127" s="252" t="s">
        <v>4406</v>
      </c>
      <c r="O127" s="346">
        <v>52</v>
      </c>
    </row>
    <row r="128" spans="2:15" ht="69.95" hidden="1" customHeight="1">
      <c r="B128" s="345">
        <v>115</v>
      </c>
      <c r="C128" s="199">
        <v>6</v>
      </c>
      <c r="D128" s="195" t="s">
        <v>4388</v>
      </c>
      <c r="E128" s="219" t="s">
        <v>4373</v>
      </c>
      <c r="F128" s="196">
        <v>185225000</v>
      </c>
      <c r="G128" s="241" t="s">
        <v>4187</v>
      </c>
      <c r="H128" s="195" t="s">
        <v>4389</v>
      </c>
      <c r="I128" s="195" t="s">
        <v>4305</v>
      </c>
      <c r="J128" s="195" t="s">
        <v>3920</v>
      </c>
      <c r="K128" s="216" t="s">
        <v>4390</v>
      </c>
      <c r="L128" s="236" t="s">
        <v>532</v>
      </c>
      <c r="M128" s="236" t="s">
        <v>4219</v>
      </c>
      <c r="N128" s="252" t="s">
        <v>4406</v>
      </c>
      <c r="O128" s="346">
        <v>52</v>
      </c>
    </row>
    <row r="129" spans="2:15" ht="69.95" hidden="1" customHeight="1">
      <c r="B129" s="345">
        <v>116</v>
      </c>
      <c r="C129" s="199">
        <v>6</v>
      </c>
      <c r="D129" s="195" t="s">
        <v>4382</v>
      </c>
      <c r="E129" s="219" t="s">
        <v>4373</v>
      </c>
      <c r="F129" s="196">
        <v>436225000</v>
      </c>
      <c r="G129" s="241" t="s">
        <v>4187</v>
      </c>
      <c r="H129" s="195" t="s">
        <v>4383</v>
      </c>
      <c r="I129" s="195" t="s">
        <v>4305</v>
      </c>
      <c r="J129" s="195" t="s">
        <v>3920</v>
      </c>
      <c r="K129" s="216" t="s">
        <v>4384</v>
      </c>
      <c r="L129" s="236" t="s">
        <v>532</v>
      </c>
      <c r="M129" s="236" t="s">
        <v>4219</v>
      </c>
      <c r="N129" s="252" t="s">
        <v>4406</v>
      </c>
      <c r="O129" s="346">
        <v>52</v>
      </c>
    </row>
    <row r="130" spans="2:15" ht="69.95" hidden="1" customHeight="1">
      <c r="B130" s="345">
        <v>117</v>
      </c>
      <c r="C130" s="199">
        <v>6</v>
      </c>
      <c r="D130" s="195" t="s">
        <v>4403</v>
      </c>
      <c r="E130" s="219" t="s">
        <v>4373</v>
      </c>
      <c r="F130" s="196">
        <v>9000000</v>
      </c>
      <c r="G130" s="241" t="s">
        <v>4187</v>
      </c>
      <c r="H130" s="195" t="s">
        <v>4404</v>
      </c>
      <c r="I130" s="195" t="s">
        <v>4342</v>
      </c>
      <c r="J130" s="195" t="s">
        <v>3920</v>
      </c>
      <c r="K130" s="216" t="s">
        <v>4405</v>
      </c>
      <c r="L130" s="236" t="s">
        <v>532</v>
      </c>
      <c r="M130" s="236" t="s">
        <v>4219</v>
      </c>
      <c r="N130" s="252" t="s">
        <v>4406</v>
      </c>
      <c r="O130" s="346">
        <v>52</v>
      </c>
    </row>
    <row r="131" spans="2:15" ht="69.95" hidden="1" customHeight="1">
      <c r="B131" s="345">
        <v>118</v>
      </c>
      <c r="C131" s="199">
        <v>6</v>
      </c>
      <c r="D131" s="195" t="s">
        <v>4394</v>
      </c>
      <c r="E131" s="219" t="s">
        <v>4373</v>
      </c>
      <c r="F131" s="196">
        <v>36000000</v>
      </c>
      <c r="G131" s="241" t="s">
        <v>4187</v>
      </c>
      <c r="H131" s="195" t="s">
        <v>4395</v>
      </c>
      <c r="I131" s="195" t="s">
        <v>4342</v>
      </c>
      <c r="J131" s="195" t="s">
        <v>3920</v>
      </c>
      <c r="K131" s="216" t="s">
        <v>4396</v>
      </c>
      <c r="L131" s="236" t="s">
        <v>532</v>
      </c>
      <c r="M131" s="236" t="s">
        <v>4219</v>
      </c>
      <c r="N131" s="252" t="s">
        <v>4406</v>
      </c>
      <c r="O131" s="346">
        <v>52</v>
      </c>
    </row>
    <row r="132" spans="2:15" ht="69.95" hidden="1" customHeight="1">
      <c r="B132" s="345">
        <v>119</v>
      </c>
      <c r="C132" s="199">
        <v>6</v>
      </c>
      <c r="D132" s="195" t="s">
        <v>4391</v>
      </c>
      <c r="E132" s="219" t="s">
        <v>4373</v>
      </c>
      <c r="F132" s="196">
        <v>46500000</v>
      </c>
      <c r="G132" s="241" t="s">
        <v>4187</v>
      </c>
      <c r="H132" s="195" t="s">
        <v>4392</v>
      </c>
      <c r="I132" s="195" t="s">
        <v>4342</v>
      </c>
      <c r="J132" s="195" t="s">
        <v>3920</v>
      </c>
      <c r="K132" s="216" t="s">
        <v>4393</v>
      </c>
      <c r="L132" s="236" t="s">
        <v>532</v>
      </c>
      <c r="M132" s="236" t="s">
        <v>4219</v>
      </c>
      <c r="N132" s="252" t="s">
        <v>4406</v>
      </c>
      <c r="O132" s="346">
        <v>52</v>
      </c>
    </row>
    <row r="133" spans="2:15" ht="69.95" hidden="1" customHeight="1">
      <c r="B133" s="345">
        <v>120</v>
      </c>
      <c r="C133" s="199">
        <v>6</v>
      </c>
      <c r="D133" s="195" t="s">
        <v>4385</v>
      </c>
      <c r="E133" s="219" t="s">
        <v>4373</v>
      </c>
      <c r="F133" s="196">
        <v>10000000</v>
      </c>
      <c r="G133" s="241" t="s">
        <v>4187</v>
      </c>
      <c r="H133" s="195" t="s">
        <v>4386</v>
      </c>
      <c r="I133" s="195" t="s">
        <v>4342</v>
      </c>
      <c r="J133" s="195" t="s">
        <v>3920</v>
      </c>
      <c r="K133" s="216" t="s">
        <v>4387</v>
      </c>
      <c r="L133" s="236" t="s">
        <v>532</v>
      </c>
      <c r="M133" s="236" t="s">
        <v>4219</v>
      </c>
      <c r="N133" s="252" t="s">
        <v>4406</v>
      </c>
      <c r="O133" s="346">
        <v>52</v>
      </c>
    </row>
    <row r="134" spans="2:15" ht="69.95" hidden="1" customHeight="1">
      <c r="B134" s="345">
        <v>121</v>
      </c>
      <c r="C134" s="199">
        <v>6</v>
      </c>
      <c r="D134" s="195" t="s">
        <v>4400</v>
      </c>
      <c r="E134" s="219" t="s">
        <v>4373</v>
      </c>
      <c r="F134" s="196">
        <v>15500000</v>
      </c>
      <c r="G134" s="241" t="s">
        <v>4187</v>
      </c>
      <c r="H134" s="195" t="s">
        <v>4401</v>
      </c>
      <c r="I134" s="195" t="s">
        <v>4342</v>
      </c>
      <c r="J134" s="195" t="s">
        <v>3920</v>
      </c>
      <c r="K134" s="216" t="s">
        <v>4402</v>
      </c>
      <c r="L134" s="236" t="s">
        <v>532</v>
      </c>
      <c r="M134" s="236" t="s">
        <v>4219</v>
      </c>
      <c r="N134" s="252" t="s">
        <v>4406</v>
      </c>
      <c r="O134" s="346">
        <v>52</v>
      </c>
    </row>
    <row r="135" spans="2:15" ht="69.95" hidden="1" customHeight="1">
      <c r="B135" s="345">
        <v>122</v>
      </c>
      <c r="C135" s="199">
        <v>6</v>
      </c>
      <c r="D135" s="195" t="s">
        <v>4379</v>
      </c>
      <c r="E135" s="219" t="s">
        <v>4373</v>
      </c>
      <c r="F135" s="196">
        <v>25000000</v>
      </c>
      <c r="G135" s="241" t="s">
        <v>4187</v>
      </c>
      <c r="H135" s="195" t="s">
        <v>4380</v>
      </c>
      <c r="I135" s="195" t="s">
        <v>4342</v>
      </c>
      <c r="J135" s="195" t="s">
        <v>3920</v>
      </c>
      <c r="K135" s="216" t="s">
        <v>4381</v>
      </c>
      <c r="L135" s="236" t="s">
        <v>532</v>
      </c>
      <c r="M135" s="236" t="s">
        <v>4219</v>
      </c>
      <c r="N135" s="252" t="s">
        <v>4406</v>
      </c>
      <c r="O135" s="346">
        <v>52</v>
      </c>
    </row>
    <row r="136" spans="2:15" ht="69.95" hidden="1" customHeight="1">
      <c r="B136" s="345">
        <v>123</v>
      </c>
      <c r="C136" s="199">
        <v>6</v>
      </c>
      <c r="D136" s="195" t="s">
        <v>4415</v>
      </c>
      <c r="E136" s="219" t="s">
        <v>4412</v>
      </c>
      <c r="F136" s="196">
        <v>30000000</v>
      </c>
      <c r="G136" s="241" t="s">
        <v>3920</v>
      </c>
      <c r="H136" s="195" t="s">
        <v>4416</v>
      </c>
      <c r="I136" s="195" t="s">
        <v>4305</v>
      </c>
      <c r="J136" s="195" t="s">
        <v>3920</v>
      </c>
      <c r="K136" s="198" t="s">
        <v>4417</v>
      </c>
      <c r="L136" s="236" t="s">
        <v>532</v>
      </c>
      <c r="M136" s="236" t="s">
        <v>4219</v>
      </c>
      <c r="N136" s="252" t="s">
        <v>4406</v>
      </c>
      <c r="O136" s="346">
        <v>52</v>
      </c>
    </row>
    <row r="137" spans="2:15" ht="69.95" hidden="1" customHeight="1">
      <c r="B137" s="345">
        <v>124</v>
      </c>
      <c r="C137" s="199">
        <v>6</v>
      </c>
      <c r="D137" s="195" t="s">
        <v>4420</v>
      </c>
      <c r="E137" s="219" t="s">
        <v>4412</v>
      </c>
      <c r="F137" s="196">
        <v>55500000</v>
      </c>
      <c r="G137" s="241" t="s">
        <v>4187</v>
      </c>
      <c r="H137" s="195" t="s">
        <v>4421</v>
      </c>
      <c r="I137" s="195" t="s">
        <v>4305</v>
      </c>
      <c r="J137" s="195" t="s">
        <v>3920</v>
      </c>
      <c r="K137" s="198" t="s">
        <v>4422</v>
      </c>
      <c r="L137" s="236" t="s">
        <v>532</v>
      </c>
      <c r="M137" s="236" t="s">
        <v>4219</v>
      </c>
      <c r="N137" s="252" t="s">
        <v>4406</v>
      </c>
      <c r="O137" s="346">
        <v>52</v>
      </c>
    </row>
    <row r="138" spans="2:15" ht="69.95" hidden="1" customHeight="1">
      <c r="B138" s="345">
        <v>125</v>
      </c>
      <c r="C138" s="199">
        <v>6</v>
      </c>
      <c r="D138" s="195" t="s">
        <v>4423</v>
      </c>
      <c r="E138" s="219" t="s">
        <v>4412</v>
      </c>
      <c r="F138" s="196">
        <v>152000000</v>
      </c>
      <c r="G138" s="241" t="s">
        <v>4187</v>
      </c>
      <c r="H138" s="195" t="s">
        <v>4424</v>
      </c>
      <c r="I138" s="195" t="s">
        <v>4305</v>
      </c>
      <c r="J138" s="195" t="s">
        <v>3920</v>
      </c>
      <c r="K138" s="198" t="s">
        <v>4425</v>
      </c>
      <c r="L138" s="236" t="s">
        <v>532</v>
      </c>
      <c r="M138" s="236" t="s">
        <v>4219</v>
      </c>
      <c r="N138" s="252" t="s">
        <v>4406</v>
      </c>
      <c r="O138" s="346">
        <v>52</v>
      </c>
    </row>
    <row r="139" spans="2:15" ht="69.95" hidden="1" customHeight="1">
      <c r="B139" s="345">
        <v>126</v>
      </c>
      <c r="C139" s="199">
        <v>6</v>
      </c>
      <c r="D139" s="195" t="s">
        <v>4426</v>
      </c>
      <c r="E139" s="219" t="s">
        <v>4412</v>
      </c>
      <c r="F139" s="196">
        <v>16250000</v>
      </c>
      <c r="G139" s="241" t="s">
        <v>4187</v>
      </c>
      <c r="H139" s="195" t="s">
        <v>4427</v>
      </c>
      <c r="I139" s="195" t="s">
        <v>4305</v>
      </c>
      <c r="J139" s="195" t="s">
        <v>3920</v>
      </c>
      <c r="K139" s="198" t="s">
        <v>4428</v>
      </c>
      <c r="L139" s="236" t="s">
        <v>532</v>
      </c>
      <c r="M139" s="236" t="s">
        <v>4219</v>
      </c>
      <c r="N139" s="252" t="s">
        <v>4406</v>
      </c>
      <c r="O139" s="346">
        <v>52</v>
      </c>
    </row>
    <row r="140" spans="2:15" ht="69.95" hidden="1" customHeight="1">
      <c r="B140" s="345">
        <v>127</v>
      </c>
      <c r="C140" s="199">
        <v>6</v>
      </c>
      <c r="D140" s="195" t="s">
        <v>4293</v>
      </c>
      <c r="E140" s="219" t="s">
        <v>4294</v>
      </c>
      <c r="F140" s="215">
        <v>210863345</v>
      </c>
      <c r="G140" s="232" t="s">
        <v>4071</v>
      </c>
      <c r="H140" s="249" t="s">
        <v>4295</v>
      </c>
      <c r="I140" s="195" t="s">
        <v>4230</v>
      </c>
      <c r="J140" s="195" t="s">
        <v>3934</v>
      </c>
      <c r="K140" s="198" t="s">
        <v>4296</v>
      </c>
      <c r="L140" s="236" t="s">
        <v>565</v>
      </c>
      <c r="M140" s="236" t="s">
        <v>4220</v>
      </c>
      <c r="N140" s="252" t="s">
        <v>4407</v>
      </c>
      <c r="O140" s="346">
        <v>51</v>
      </c>
    </row>
    <row r="141" spans="2:15" ht="69.95" hidden="1" customHeight="1">
      <c r="B141" s="345">
        <v>128</v>
      </c>
      <c r="C141" s="199">
        <v>6</v>
      </c>
      <c r="D141" s="195" t="s">
        <v>4297</v>
      </c>
      <c r="E141" s="219" t="s">
        <v>4294</v>
      </c>
      <c r="F141" s="215">
        <v>4697567</v>
      </c>
      <c r="G141" s="232" t="s">
        <v>4071</v>
      </c>
      <c r="H141" s="249" t="s">
        <v>4298</v>
      </c>
      <c r="I141" s="195" t="s">
        <v>4230</v>
      </c>
      <c r="J141" s="195" t="s">
        <v>3934</v>
      </c>
      <c r="K141" s="198" t="s">
        <v>4299</v>
      </c>
      <c r="L141" s="236" t="s">
        <v>565</v>
      </c>
      <c r="M141" s="236" t="s">
        <v>4220</v>
      </c>
      <c r="N141" s="252" t="s">
        <v>4407</v>
      </c>
      <c r="O141" s="346">
        <v>51</v>
      </c>
    </row>
    <row r="142" spans="2:15" ht="69.95" hidden="1" customHeight="1">
      <c r="B142" s="345">
        <v>129</v>
      </c>
      <c r="C142" s="199">
        <v>6</v>
      </c>
      <c r="D142" s="195" t="s">
        <v>4411</v>
      </c>
      <c r="E142" s="219" t="s">
        <v>4412</v>
      </c>
      <c r="F142" s="196">
        <v>241668914</v>
      </c>
      <c r="G142" s="232" t="s">
        <v>3920</v>
      </c>
      <c r="H142" s="195" t="s">
        <v>4413</v>
      </c>
      <c r="I142" s="195" t="s">
        <v>4373</v>
      </c>
      <c r="J142" s="195" t="s">
        <v>3920</v>
      </c>
      <c r="K142" s="198" t="s">
        <v>4414</v>
      </c>
      <c r="L142" s="236" t="s">
        <v>565</v>
      </c>
      <c r="M142" s="236" t="s">
        <v>4220</v>
      </c>
      <c r="N142" s="251" t="s">
        <v>4407</v>
      </c>
      <c r="O142" s="346">
        <v>51</v>
      </c>
    </row>
    <row r="143" spans="2:15" ht="69.95" hidden="1" customHeight="1">
      <c r="B143" s="345">
        <v>130</v>
      </c>
      <c r="C143" s="199">
        <v>6</v>
      </c>
      <c r="D143" s="195" t="s">
        <v>4338</v>
      </c>
      <c r="E143" s="219" t="s">
        <v>4305</v>
      </c>
      <c r="F143" s="196">
        <v>3000000</v>
      </c>
      <c r="G143" s="242" t="s">
        <v>3920</v>
      </c>
      <c r="H143" s="197" t="s">
        <v>4339</v>
      </c>
      <c r="I143" s="195" t="s">
        <v>4261</v>
      </c>
      <c r="J143" s="195" t="s">
        <v>3920</v>
      </c>
      <c r="K143" s="198" t="s">
        <v>4340</v>
      </c>
      <c r="L143" s="244" t="s">
        <v>524</v>
      </c>
      <c r="M143" s="244" t="s">
        <v>4252</v>
      </c>
      <c r="N143" s="209" t="s">
        <v>7763</v>
      </c>
      <c r="O143" s="346">
        <v>52</v>
      </c>
    </row>
    <row r="144" spans="2:15" ht="69.95" hidden="1" customHeight="1">
      <c r="B144" s="345">
        <v>131</v>
      </c>
      <c r="C144" s="199">
        <v>6</v>
      </c>
      <c r="D144" s="214" t="s">
        <v>4357</v>
      </c>
      <c r="E144" s="220" t="s">
        <v>4342</v>
      </c>
      <c r="F144" s="215">
        <v>6450000</v>
      </c>
      <c r="G144" s="242" t="s">
        <v>3920</v>
      </c>
      <c r="H144" s="214" t="s">
        <v>4358</v>
      </c>
      <c r="I144" s="214" t="s">
        <v>4305</v>
      </c>
      <c r="J144" s="214" t="s">
        <v>3920</v>
      </c>
      <c r="K144" s="216" t="s">
        <v>4359</v>
      </c>
      <c r="L144" s="236" t="s">
        <v>532</v>
      </c>
      <c r="M144" s="236" t="s">
        <v>4219</v>
      </c>
      <c r="N144" s="209" t="s">
        <v>7763</v>
      </c>
      <c r="O144" s="346">
        <v>52</v>
      </c>
    </row>
    <row r="145" spans="2:15" ht="69.95" hidden="1" customHeight="1">
      <c r="B145" s="345">
        <v>132</v>
      </c>
      <c r="C145" s="199">
        <v>6</v>
      </c>
      <c r="D145" s="195" t="s">
        <v>4329</v>
      </c>
      <c r="E145" s="219" t="s">
        <v>4305</v>
      </c>
      <c r="F145" s="196">
        <v>11343740</v>
      </c>
      <c r="G145" s="242" t="s">
        <v>3920</v>
      </c>
      <c r="H145" s="197" t="s">
        <v>4330</v>
      </c>
      <c r="I145" s="195" t="s">
        <v>4304</v>
      </c>
      <c r="J145" s="195" t="s">
        <v>3920</v>
      </c>
      <c r="K145" s="198" t="s">
        <v>4331</v>
      </c>
      <c r="L145" s="236" t="s">
        <v>528</v>
      </c>
      <c r="M145" s="236" t="s">
        <v>4254</v>
      </c>
      <c r="N145" s="209" t="s">
        <v>7763</v>
      </c>
      <c r="O145" s="346">
        <v>52</v>
      </c>
    </row>
    <row r="146" spans="2:15" ht="69.95" hidden="1" customHeight="1">
      <c r="B146" s="345">
        <v>133</v>
      </c>
      <c r="C146" s="199">
        <v>6</v>
      </c>
      <c r="D146" s="195" t="s">
        <v>4314</v>
      </c>
      <c r="E146" s="219" t="s">
        <v>4305</v>
      </c>
      <c r="F146" s="196">
        <v>2118000</v>
      </c>
      <c r="G146" s="242" t="s">
        <v>3920</v>
      </c>
      <c r="H146" s="197" t="s">
        <v>4315</v>
      </c>
      <c r="I146" s="195" t="s">
        <v>4304</v>
      </c>
      <c r="J146" s="195" t="s">
        <v>3920</v>
      </c>
      <c r="K146" s="198" t="s">
        <v>4316</v>
      </c>
      <c r="L146" s="236" t="s">
        <v>532</v>
      </c>
      <c r="M146" s="236" t="s">
        <v>4255</v>
      </c>
      <c r="N146" s="209" t="s">
        <v>7763</v>
      </c>
      <c r="O146" s="346">
        <v>52</v>
      </c>
    </row>
    <row r="147" spans="2:15" ht="69.95" hidden="1" customHeight="1">
      <c r="B147" s="345">
        <v>134</v>
      </c>
      <c r="C147" s="199">
        <v>6</v>
      </c>
      <c r="D147" s="195" t="s">
        <v>4332</v>
      </c>
      <c r="E147" s="219" t="s">
        <v>4305</v>
      </c>
      <c r="F147" s="196">
        <v>11404870</v>
      </c>
      <c r="G147" s="242" t="s">
        <v>3920</v>
      </c>
      <c r="H147" s="197" t="s">
        <v>4333</v>
      </c>
      <c r="I147" s="195" t="s">
        <v>4304</v>
      </c>
      <c r="J147" s="195" t="s">
        <v>3920</v>
      </c>
      <c r="K147" s="198" t="s">
        <v>4334</v>
      </c>
      <c r="L147" s="236" t="s">
        <v>528</v>
      </c>
      <c r="M147" s="236" t="s">
        <v>4254</v>
      </c>
      <c r="N147" s="209" t="s">
        <v>7763</v>
      </c>
      <c r="O147" s="346">
        <v>52</v>
      </c>
    </row>
    <row r="148" spans="2:15" ht="69.95" hidden="1" customHeight="1">
      <c r="B148" s="345">
        <v>135</v>
      </c>
      <c r="C148" s="199">
        <v>6</v>
      </c>
      <c r="D148" s="195" t="s">
        <v>4317</v>
      </c>
      <c r="E148" s="219" t="s">
        <v>4305</v>
      </c>
      <c r="F148" s="196">
        <v>7200000</v>
      </c>
      <c r="G148" s="242" t="s">
        <v>3920</v>
      </c>
      <c r="H148" s="197" t="s">
        <v>4318</v>
      </c>
      <c r="I148" s="195" t="s">
        <v>4304</v>
      </c>
      <c r="J148" s="195" t="s">
        <v>3920</v>
      </c>
      <c r="K148" s="198" t="s">
        <v>4319</v>
      </c>
      <c r="L148" s="236" t="s">
        <v>528</v>
      </c>
      <c r="M148" s="236" t="s">
        <v>4251</v>
      </c>
      <c r="N148" s="209" t="s">
        <v>7763</v>
      </c>
      <c r="O148" s="346">
        <v>52</v>
      </c>
    </row>
    <row r="149" spans="2:15" ht="69.95" hidden="1" customHeight="1">
      <c r="B149" s="345">
        <v>136</v>
      </c>
      <c r="C149" s="199">
        <v>6</v>
      </c>
      <c r="D149" s="195" t="s">
        <v>4311</v>
      </c>
      <c r="E149" s="219" t="s">
        <v>4305</v>
      </c>
      <c r="F149" s="196">
        <v>10500000</v>
      </c>
      <c r="G149" s="242" t="s">
        <v>3920</v>
      </c>
      <c r="H149" s="197" t="s">
        <v>4312</v>
      </c>
      <c r="I149" s="195" t="s">
        <v>4304</v>
      </c>
      <c r="J149" s="195" t="s">
        <v>3920</v>
      </c>
      <c r="K149" s="198" t="s">
        <v>4313</v>
      </c>
      <c r="L149" s="236" t="s">
        <v>532</v>
      </c>
      <c r="M149" s="236" t="s">
        <v>4219</v>
      </c>
      <c r="N149" s="209" t="s">
        <v>7763</v>
      </c>
      <c r="O149" s="346">
        <v>52</v>
      </c>
    </row>
    <row r="150" spans="2:15" ht="69.95" hidden="1" customHeight="1">
      <c r="B150" s="345">
        <v>137</v>
      </c>
      <c r="C150" s="199">
        <v>6</v>
      </c>
      <c r="D150" s="214" t="s">
        <v>4366</v>
      </c>
      <c r="E150" s="220" t="s">
        <v>4342</v>
      </c>
      <c r="F150" s="215">
        <v>1650000</v>
      </c>
      <c r="G150" s="242" t="s">
        <v>3920</v>
      </c>
      <c r="H150" s="214" t="s">
        <v>4367</v>
      </c>
      <c r="I150" s="214" t="s">
        <v>4305</v>
      </c>
      <c r="J150" s="214" t="s">
        <v>3920</v>
      </c>
      <c r="K150" s="216" t="s">
        <v>4368</v>
      </c>
      <c r="L150" s="236" t="s">
        <v>528</v>
      </c>
      <c r="M150" s="236" t="s">
        <v>4254</v>
      </c>
      <c r="N150" s="209" t="s">
        <v>7763</v>
      </c>
      <c r="O150" s="346">
        <v>52</v>
      </c>
    </row>
    <row r="151" spans="2:15" ht="69.95" hidden="1" customHeight="1">
      <c r="B151" s="345">
        <v>138</v>
      </c>
      <c r="C151" s="199">
        <v>6</v>
      </c>
      <c r="D151" s="214" t="s">
        <v>4369</v>
      </c>
      <c r="E151" s="220" t="s">
        <v>4342</v>
      </c>
      <c r="F151" s="215">
        <v>4074431</v>
      </c>
      <c r="G151" s="242" t="s">
        <v>3920</v>
      </c>
      <c r="H151" s="214" t="s">
        <v>4370</v>
      </c>
      <c r="I151" s="214" t="s">
        <v>4305</v>
      </c>
      <c r="J151" s="214" t="s">
        <v>3920</v>
      </c>
      <c r="K151" s="216" t="s">
        <v>4371</v>
      </c>
      <c r="L151" s="236" t="s">
        <v>532</v>
      </c>
      <c r="M151" s="236" t="s">
        <v>4255</v>
      </c>
      <c r="N151" s="209" t="s">
        <v>7763</v>
      </c>
      <c r="O151" s="346">
        <v>52</v>
      </c>
    </row>
    <row r="152" spans="2:15" ht="69.95" hidden="1" customHeight="1">
      <c r="B152" s="345">
        <v>139</v>
      </c>
      <c r="C152" s="199">
        <v>6</v>
      </c>
      <c r="D152" s="214" t="s">
        <v>4348</v>
      </c>
      <c r="E152" s="220" t="s">
        <v>4342</v>
      </c>
      <c r="F152" s="215">
        <v>15880573</v>
      </c>
      <c r="G152" s="246" t="s">
        <v>3920</v>
      </c>
      <c r="H152" s="214" t="s">
        <v>4349</v>
      </c>
      <c r="I152" s="214" t="s">
        <v>4305</v>
      </c>
      <c r="J152" s="214" t="s">
        <v>3920</v>
      </c>
      <c r="K152" s="216" t="s">
        <v>4350</v>
      </c>
      <c r="L152" s="236" t="s">
        <v>532</v>
      </c>
      <c r="M152" s="236" t="s">
        <v>4219</v>
      </c>
      <c r="N152" s="209" t="s">
        <v>7763</v>
      </c>
      <c r="O152" s="346">
        <v>52</v>
      </c>
    </row>
    <row r="153" spans="2:15" ht="69.95" hidden="1" customHeight="1">
      <c r="B153" s="345">
        <v>140</v>
      </c>
      <c r="C153" s="199">
        <v>6</v>
      </c>
      <c r="D153" s="195" t="s">
        <v>4397</v>
      </c>
      <c r="E153" s="219" t="s">
        <v>4373</v>
      </c>
      <c r="F153" s="196">
        <v>3700700</v>
      </c>
      <c r="G153" s="242" t="s">
        <v>3920</v>
      </c>
      <c r="H153" s="195" t="s">
        <v>4398</v>
      </c>
      <c r="I153" s="195" t="s">
        <v>4305</v>
      </c>
      <c r="J153" s="195" t="s">
        <v>3920</v>
      </c>
      <c r="K153" s="216" t="s">
        <v>4399</v>
      </c>
      <c r="L153" s="236" t="s">
        <v>528</v>
      </c>
      <c r="M153" s="236" t="s">
        <v>4254</v>
      </c>
      <c r="N153" s="209" t="s">
        <v>7763</v>
      </c>
      <c r="O153" s="346">
        <v>52</v>
      </c>
    </row>
    <row r="154" spans="2:15" ht="69.95" hidden="1" customHeight="1">
      <c r="B154" s="345">
        <v>141</v>
      </c>
      <c r="C154" s="199">
        <v>6</v>
      </c>
      <c r="D154" s="214" t="s">
        <v>4345</v>
      </c>
      <c r="E154" s="220" t="s">
        <v>4342</v>
      </c>
      <c r="F154" s="215">
        <v>3840000</v>
      </c>
      <c r="G154" s="246" t="s">
        <v>3920</v>
      </c>
      <c r="H154" s="214" t="s">
        <v>4346</v>
      </c>
      <c r="I154" s="214" t="s">
        <v>4305</v>
      </c>
      <c r="J154" s="214" t="s">
        <v>3920</v>
      </c>
      <c r="K154" s="216" t="s">
        <v>4347</v>
      </c>
      <c r="L154" s="236" t="s">
        <v>532</v>
      </c>
      <c r="M154" s="236" t="s">
        <v>4219</v>
      </c>
      <c r="N154" s="209" t="s">
        <v>7763</v>
      </c>
      <c r="O154" s="346">
        <v>52</v>
      </c>
    </row>
    <row r="155" spans="2:15" ht="69.95" hidden="1" customHeight="1">
      <c r="B155" s="345">
        <v>142</v>
      </c>
      <c r="C155" s="199">
        <v>6</v>
      </c>
      <c r="D155" s="214" t="s">
        <v>4354</v>
      </c>
      <c r="E155" s="220" t="s">
        <v>4342</v>
      </c>
      <c r="F155" s="215">
        <v>25425327</v>
      </c>
      <c r="G155" s="246" t="s">
        <v>3920</v>
      </c>
      <c r="H155" s="214" t="s">
        <v>4355</v>
      </c>
      <c r="I155" s="214" t="s">
        <v>4305</v>
      </c>
      <c r="J155" s="214" t="s">
        <v>3920</v>
      </c>
      <c r="K155" s="216" t="s">
        <v>4356</v>
      </c>
      <c r="L155" s="236" t="s">
        <v>524</v>
      </c>
      <c r="M155" s="236" t="s">
        <v>4252</v>
      </c>
      <c r="N155" s="209" t="s">
        <v>7763</v>
      </c>
      <c r="O155" s="346">
        <v>52</v>
      </c>
    </row>
    <row r="156" spans="2:15" ht="69.95" hidden="1" customHeight="1">
      <c r="B156" s="345">
        <v>143</v>
      </c>
      <c r="C156" s="199">
        <v>6</v>
      </c>
      <c r="D156" s="214" t="s">
        <v>4351</v>
      </c>
      <c r="E156" s="220" t="s">
        <v>4342</v>
      </c>
      <c r="F156" s="215">
        <v>15508650</v>
      </c>
      <c r="G156" s="246" t="s">
        <v>3920</v>
      </c>
      <c r="H156" s="214" t="s">
        <v>4352</v>
      </c>
      <c r="I156" s="214" t="s">
        <v>4305</v>
      </c>
      <c r="J156" s="214" t="s">
        <v>3920</v>
      </c>
      <c r="K156" s="216" t="s">
        <v>4353</v>
      </c>
      <c r="L156" s="236" t="s">
        <v>528</v>
      </c>
      <c r="M156" s="236" t="s">
        <v>4251</v>
      </c>
      <c r="N156" s="209" t="s">
        <v>7763</v>
      </c>
      <c r="O156" s="346">
        <v>52</v>
      </c>
    </row>
    <row r="157" spans="2:15" ht="69.95" hidden="1" customHeight="1">
      <c r="B157" s="345">
        <v>144</v>
      </c>
      <c r="C157" s="199">
        <v>6</v>
      </c>
      <c r="D157" s="214" t="s">
        <v>4360</v>
      </c>
      <c r="E157" s="220" t="s">
        <v>4342</v>
      </c>
      <c r="F157" s="215">
        <v>27294800</v>
      </c>
      <c r="G157" s="242" t="s">
        <v>3920</v>
      </c>
      <c r="H157" s="214" t="s">
        <v>4361</v>
      </c>
      <c r="I157" s="214" t="s">
        <v>4305</v>
      </c>
      <c r="J157" s="214" t="s">
        <v>3920</v>
      </c>
      <c r="K157" s="216" t="s">
        <v>4362</v>
      </c>
      <c r="L157" s="236" t="s">
        <v>528</v>
      </c>
      <c r="M157" s="236" t="s">
        <v>4251</v>
      </c>
      <c r="N157" s="209" t="s">
        <v>7763</v>
      </c>
      <c r="O157" s="346">
        <v>52</v>
      </c>
    </row>
    <row r="158" spans="2:15" ht="69.95" customHeight="1">
      <c r="B158" s="345">
        <v>145</v>
      </c>
      <c r="C158" s="199">
        <v>6</v>
      </c>
      <c r="D158" s="195" t="s">
        <v>4418</v>
      </c>
      <c r="E158" s="219" t="s">
        <v>4412</v>
      </c>
      <c r="F158" s="196">
        <v>7559500</v>
      </c>
      <c r="G158" s="230" t="s">
        <v>3944</v>
      </c>
      <c r="H158" s="195" t="s">
        <v>4419</v>
      </c>
      <c r="I158" s="195" t="s">
        <v>4373</v>
      </c>
      <c r="J158" s="195" t="s">
        <v>3947</v>
      </c>
      <c r="K158" s="198" t="s">
        <v>4262</v>
      </c>
      <c r="L158" s="236"/>
      <c r="M158" s="236"/>
      <c r="N158" s="252" t="s">
        <v>3724</v>
      </c>
      <c r="O158" s="346">
        <v>52</v>
      </c>
    </row>
    <row r="159" spans="2:15" ht="69.95" hidden="1" customHeight="1">
      <c r="B159" s="345">
        <v>146</v>
      </c>
      <c r="C159" s="199">
        <v>6</v>
      </c>
      <c r="D159" s="195" t="s">
        <v>4432</v>
      </c>
      <c r="E159" s="219" t="s">
        <v>4433</v>
      </c>
      <c r="F159" s="196">
        <v>136770850</v>
      </c>
      <c r="G159" s="241" t="s">
        <v>3920</v>
      </c>
      <c r="H159" s="195" t="s">
        <v>4434</v>
      </c>
      <c r="I159" s="195" t="s">
        <v>4435</v>
      </c>
      <c r="J159" s="195" t="s">
        <v>3920</v>
      </c>
      <c r="K159" s="216" t="s">
        <v>4436</v>
      </c>
      <c r="L159" s="236" t="s">
        <v>532</v>
      </c>
      <c r="M159" s="236" t="s">
        <v>4219</v>
      </c>
      <c r="N159" s="252" t="s">
        <v>4406</v>
      </c>
      <c r="O159" s="346">
        <v>52</v>
      </c>
    </row>
    <row r="160" spans="2:15" ht="69.95" hidden="1" customHeight="1">
      <c r="B160" s="345">
        <v>147</v>
      </c>
      <c r="C160" s="199">
        <v>6</v>
      </c>
      <c r="D160" s="195" t="s">
        <v>4437</v>
      </c>
      <c r="E160" s="219" t="s">
        <v>4433</v>
      </c>
      <c r="F160" s="196">
        <v>48815040</v>
      </c>
      <c r="G160" s="242" t="s">
        <v>3920</v>
      </c>
      <c r="H160" s="195" t="s">
        <v>4438</v>
      </c>
      <c r="I160" s="195" t="s">
        <v>4435</v>
      </c>
      <c r="J160" s="195" t="s">
        <v>3920</v>
      </c>
      <c r="K160" s="216" t="s">
        <v>4439</v>
      </c>
      <c r="L160" s="236" t="s">
        <v>528</v>
      </c>
      <c r="M160" s="236" t="s">
        <v>4251</v>
      </c>
      <c r="N160" s="209" t="s">
        <v>7763</v>
      </c>
      <c r="O160" s="346">
        <v>52</v>
      </c>
    </row>
    <row r="161" spans="2:15" ht="69.95" hidden="1" customHeight="1">
      <c r="B161" s="345">
        <v>148</v>
      </c>
      <c r="C161" s="199">
        <v>6</v>
      </c>
      <c r="D161" s="195" t="s">
        <v>4440</v>
      </c>
      <c r="E161" s="219" t="s">
        <v>4433</v>
      </c>
      <c r="F161" s="196">
        <v>360000</v>
      </c>
      <c r="G161" s="242" t="s">
        <v>3920</v>
      </c>
      <c r="H161" s="195" t="s">
        <v>4441</v>
      </c>
      <c r="I161" s="195" t="s">
        <v>4435</v>
      </c>
      <c r="J161" s="195" t="s">
        <v>3920</v>
      </c>
      <c r="K161" s="216" t="s">
        <v>4442</v>
      </c>
      <c r="L161" s="236" t="s">
        <v>524</v>
      </c>
      <c r="M161" s="236" t="s">
        <v>4253</v>
      </c>
      <c r="N161" s="209" t="s">
        <v>7763</v>
      </c>
      <c r="O161" s="346">
        <v>52</v>
      </c>
    </row>
    <row r="162" spans="2:15" ht="69.95" hidden="1" customHeight="1">
      <c r="B162" s="345">
        <v>149</v>
      </c>
      <c r="C162" s="199">
        <v>6</v>
      </c>
      <c r="D162" s="195" t="s">
        <v>4443</v>
      </c>
      <c r="E162" s="219" t="s">
        <v>4433</v>
      </c>
      <c r="F162" s="196">
        <v>2110000</v>
      </c>
      <c r="G162" s="242" t="s">
        <v>3920</v>
      </c>
      <c r="H162" s="195" t="s">
        <v>4444</v>
      </c>
      <c r="I162" s="195" t="s">
        <v>4435</v>
      </c>
      <c r="J162" s="195" t="s">
        <v>3920</v>
      </c>
      <c r="K162" s="216" t="s">
        <v>4445</v>
      </c>
      <c r="L162" s="236" t="s">
        <v>524</v>
      </c>
      <c r="M162" s="236" t="s">
        <v>4252</v>
      </c>
      <c r="N162" s="209" t="s">
        <v>7763</v>
      </c>
      <c r="O162" s="346">
        <v>52</v>
      </c>
    </row>
    <row r="163" spans="2:15" ht="69.95" hidden="1" customHeight="1">
      <c r="B163" s="345">
        <v>150</v>
      </c>
      <c r="C163" s="199">
        <v>6</v>
      </c>
      <c r="D163" s="195" t="s">
        <v>4446</v>
      </c>
      <c r="E163" s="219" t="s">
        <v>4433</v>
      </c>
      <c r="F163" s="196">
        <v>9185000</v>
      </c>
      <c r="G163" s="242" t="s">
        <v>3920</v>
      </c>
      <c r="H163" s="195" t="s">
        <v>4447</v>
      </c>
      <c r="I163" s="195" t="s">
        <v>4435</v>
      </c>
      <c r="J163" s="195" t="s">
        <v>3920</v>
      </c>
      <c r="K163" s="216" t="s">
        <v>4448</v>
      </c>
      <c r="L163" s="236" t="s">
        <v>532</v>
      </c>
      <c r="M163" s="236" t="s">
        <v>4255</v>
      </c>
      <c r="N163" s="209" t="s">
        <v>7763</v>
      </c>
      <c r="O163" s="346">
        <v>52</v>
      </c>
    </row>
    <row r="164" spans="2:15" ht="69.95" hidden="1" customHeight="1">
      <c r="B164" s="345">
        <v>151</v>
      </c>
      <c r="C164" s="199">
        <v>6</v>
      </c>
      <c r="D164" s="195" t="s">
        <v>4449</v>
      </c>
      <c r="E164" s="219" t="s">
        <v>4433</v>
      </c>
      <c r="F164" s="196">
        <v>14635000</v>
      </c>
      <c r="G164" s="242" t="s">
        <v>3920</v>
      </c>
      <c r="H164" s="195" t="s">
        <v>4450</v>
      </c>
      <c r="I164" s="195" t="s">
        <v>4435</v>
      </c>
      <c r="J164" s="195" t="s">
        <v>3920</v>
      </c>
      <c r="K164" s="216" t="s">
        <v>4451</v>
      </c>
      <c r="L164" s="236" t="s">
        <v>532</v>
      </c>
      <c r="M164" s="236" t="s">
        <v>4219</v>
      </c>
      <c r="N164" s="209" t="s">
        <v>7763</v>
      </c>
      <c r="O164" s="346">
        <v>52</v>
      </c>
    </row>
    <row r="165" spans="2:15" ht="69.95" hidden="1" customHeight="1">
      <c r="B165" s="345">
        <v>152</v>
      </c>
      <c r="C165" s="199">
        <v>6</v>
      </c>
      <c r="D165" s="195" t="s">
        <v>4452</v>
      </c>
      <c r="E165" s="219" t="s">
        <v>4433</v>
      </c>
      <c r="F165" s="196">
        <v>25208100</v>
      </c>
      <c r="G165" s="242" t="s">
        <v>3920</v>
      </c>
      <c r="H165" s="195" t="s">
        <v>4453</v>
      </c>
      <c r="I165" s="195" t="s">
        <v>4435</v>
      </c>
      <c r="J165" s="195" t="s">
        <v>3920</v>
      </c>
      <c r="K165" s="216" t="s">
        <v>4454</v>
      </c>
      <c r="L165" s="236" t="s">
        <v>532</v>
      </c>
      <c r="M165" s="236" t="s">
        <v>4255</v>
      </c>
      <c r="N165" s="209" t="s">
        <v>7763</v>
      </c>
      <c r="O165" s="346">
        <v>52</v>
      </c>
    </row>
    <row r="166" spans="2:15" ht="69.95" hidden="1" customHeight="1">
      <c r="B166" s="345">
        <v>153</v>
      </c>
      <c r="C166" s="199">
        <v>6</v>
      </c>
      <c r="D166" s="195" t="s">
        <v>4455</v>
      </c>
      <c r="E166" s="219" t="s">
        <v>4433</v>
      </c>
      <c r="F166" s="196">
        <v>9875000</v>
      </c>
      <c r="G166" s="241" t="s">
        <v>3920</v>
      </c>
      <c r="H166" s="195" t="s">
        <v>4456</v>
      </c>
      <c r="I166" s="195" t="s">
        <v>4435</v>
      </c>
      <c r="J166" s="195" t="s">
        <v>3920</v>
      </c>
      <c r="K166" s="216" t="s">
        <v>4457</v>
      </c>
      <c r="L166" s="236" t="s">
        <v>532</v>
      </c>
      <c r="M166" s="236" t="s">
        <v>4219</v>
      </c>
      <c r="N166" s="252" t="s">
        <v>4406</v>
      </c>
      <c r="O166" s="346">
        <v>52</v>
      </c>
    </row>
    <row r="167" spans="2:15" ht="69.95" hidden="1" customHeight="1">
      <c r="B167" s="345">
        <v>154</v>
      </c>
      <c r="C167" s="199">
        <v>6</v>
      </c>
      <c r="D167" s="195" t="s">
        <v>4458</v>
      </c>
      <c r="E167" s="219" t="s">
        <v>4433</v>
      </c>
      <c r="F167" s="196">
        <v>3950000</v>
      </c>
      <c r="G167" s="241" t="s">
        <v>3920</v>
      </c>
      <c r="H167" s="195" t="s">
        <v>4459</v>
      </c>
      <c r="I167" s="195" t="s">
        <v>4435</v>
      </c>
      <c r="J167" s="195" t="s">
        <v>3920</v>
      </c>
      <c r="K167" s="216" t="s">
        <v>4460</v>
      </c>
      <c r="L167" s="236" t="s">
        <v>532</v>
      </c>
      <c r="M167" s="236" t="s">
        <v>4219</v>
      </c>
      <c r="N167" s="252" t="s">
        <v>4406</v>
      </c>
      <c r="O167" s="346">
        <v>52</v>
      </c>
    </row>
    <row r="168" spans="2:15" ht="69.95" hidden="1" customHeight="1">
      <c r="B168" s="345">
        <v>155</v>
      </c>
      <c r="C168" s="199">
        <v>6</v>
      </c>
      <c r="D168" s="195" t="s">
        <v>4461</v>
      </c>
      <c r="E168" s="219" t="s">
        <v>4433</v>
      </c>
      <c r="F168" s="196">
        <v>3950000</v>
      </c>
      <c r="G168" s="241" t="s">
        <v>3920</v>
      </c>
      <c r="H168" s="195" t="s">
        <v>4462</v>
      </c>
      <c r="I168" s="195" t="s">
        <v>4435</v>
      </c>
      <c r="J168" s="195" t="s">
        <v>3920</v>
      </c>
      <c r="K168" s="216" t="s">
        <v>4460</v>
      </c>
      <c r="L168" s="236" t="s">
        <v>532</v>
      </c>
      <c r="M168" s="236" t="s">
        <v>4219</v>
      </c>
      <c r="N168" s="252" t="s">
        <v>4406</v>
      </c>
      <c r="O168" s="346">
        <v>52</v>
      </c>
    </row>
    <row r="169" spans="2:15" ht="69.95" hidden="1" customHeight="1">
      <c r="B169" s="345">
        <v>156</v>
      </c>
      <c r="C169" s="251">
        <v>6</v>
      </c>
      <c r="D169" s="195" t="s">
        <v>4463</v>
      </c>
      <c r="E169" s="219" t="s">
        <v>4464</v>
      </c>
      <c r="F169" s="196">
        <v>424528</v>
      </c>
      <c r="G169" s="232" t="s">
        <v>3920</v>
      </c>
      <c r="H169" s="195" t="s">
        <v>4465</v>
      </c>
      <c r="I169" s="195" t="s">
        <v>4435</v>
      </c>
      <c r="J169" s="195" t="s">
        <v>3920</v>
      </c>
      <c r="K169" s="216" t="s">
        <v>4466</v>
      </c>
      <c r="L169" s="236" t="s">
        <v>565</v>
      </c>
      <c r="M169" s="236" t="s">
        <v>4220</v>
      </c>
      <c r="N169" s="252" t="s">
        <v>4407</v>
      </c>
      <c r="O169" s="347">
        <v>51</v>
      </c>
    </row>
    <row r="170" spans="2:15" ht="69.95" hidden="1" customHeight="1">
      <c r="B170" s="345">
        <v>157</v>
      </c>
      <c r="C170" s="251">
        <v>6</v>
      </c>
      <c r="D170" s="195" t="s">
        <v>4467</v>
      </c>
      <c r="E170" s="219" t="s">
        <v>4464</v>
      </c>
      <c r="F170" s="196">
        <v>16698000</v>
      </c>
      <c r="G170" s="232" t="s">
        <v>4087</v>
      </c>
      <c r="H170" s="195" t="s">
        <v>4468</v>
      </c>
      <c r="I170" s="195" t="s">
        <v>4435</v>
      </c>
      <c r="J170" s="195" t="s">
        <v>3920</v>
      </c>
      <c r="K170" s="216" t="s">
        <v>4469</v>
      </c>
      <c r="L170" s="236" t="s">
        <v>565</v>
      </c>
      <c r="M170" s="236" t="s">
        <v>4220</v>
      </c>
      <c r="N170" s="252" t="s">
        <v>4407</v>
      </c>
      <c r="O170" s="347">
        <v>51</v>
      </c>
    </row>
    <row r="171" spans="2:15" ht="69.95" hidden="1" customHeight="1">
      <c r="B171" s="345">
        <v>158</v>
      </c>
      <c r="C171" s="251">
        <v>6</v>
      </c>
      <c r="D171" s="195" t="s">
        <v>4471</v>
      </c>
      <c r="E171" s="219" t="s">
        <v>4472</v>
      </c>
      <c r="F171" s="196">
        <v>1200000</v>
      </c>
      <c r="G171" s="242" t="s">
        <v>3920</v>
      </c>
      <c r="H171" s="195" t="s">
        <v>4473</v>
      </c>
      <c r="I171" s="195" t="s">
        <v>4474</v>
      </c>
      <c r="J171" s="195" t="s">
        <v>3920</v>
      </c>
      <c r="K171" s="198" t="s">
        <v>4475</v>
      </c>
      <c r="L171" s="236" t="s">
        <v>524</v>
      </c>
      <c r="M171" s="236" t="s">
        <v>4252</v>
      </c>
      <c r="N171" s="209" t="s">
        <v>7763</v>
      </c>
      <c r="O171" s="347">
        <v>52</v>
      </c>
    </row>
    <row r="172" spans="2:15" ht="69.95" hidden="1" customHeight="1">
      <c r="B172" s="345">
        <v>159</v>
      </c>
      <c r="C172" s="251">
        <v>6</v>
      </c>
      <c r="D172" s="195" t="s">
        <v>4476</v>
      </c>
      <c r="E172" s="219" t="s">
        <v>4472</v>
      </c>
      <c r="F172" s="196">
        <v>9950000</v>
      </c>
      <c r="G172" s="241" t="s">
        <v>4187</v>
      </c>
      <c r="H172" s="195" t="s">
        <v>4477</v>
      </c>
      <c r="I172" s="195" t="s">
        <v>4474</v>
      </c>
      <c r="J172" s="195" t="s">
        <v>3920</v>
      </c>
      <c r="K172" s="198" t="s">
        <v>4478</v>
      </c>
      <c r="L172" s="236" t="s">
        <v>532</v>
      </c>
      <c r="M172" s="236" t="s">
        <v>4219</v>
      </c>
      <c r="N172" s="252" t="s">
        <v>4406</v>
      </c>
      <c r="O172" s="347">
        <v>52</v>
      </c>
    </row>
    <row r="173" spans="2:15" ht="69.95" hidden="1" customHeight="1">
      <c r="B173" s="345">
        <v>160</v>
      </c>
      <c r="C173" s="251">
        <v>6</v>
      </c>
      <c r="D173" s="195" t="s">
        <v>4479</v>
      </c>
      <c r="E173" s="219" t="s">
        <v>4472</v>
      </c>
      <c r="F173" s="196">
        <v>1810000</v>
      </c>
      <c r="G173" s="242" t="s">
        <v>3920</v>
      </c>
      <c r="H173" s="195" t="s">
        <v>4480</v>
      </c>
      <c r="I173" s="195" t="s">
        <v>4474</v>
      </c>
      <c r="J173" s="195" t="s">
        <v>3920</v>
      </c>
      <c r="K173" s="198" t="s">
        <v>4481</v>
      </c>
      <c r="L173" s="236" t="s">
        <v>524</v>
      </c>
      <c r="M173" s="236" t="s">
        <v>4252</v>
      </c>
      <c r="N173" s="209" t="s">
        <v>7763</v>
      </c>
      <c r="O173" s="347">
        <v>52</v>
      </c>
    </row>
    <row r="174" spans="2:15" ht="69.95" hidden="1" customHeight="1">
      <c r="B174" s="345">
        <v>161</v>
      </c>
      <c r="C174" s="251">
        <v>6</v>
      </c>
      <c r="D174" s="195" t="s">
        <v>4692</v>
      </c>
      <c r="E174" s="219" t="s">
        <v>4693</v>
      </c>
      <c r="F174" s="196">
        <v>618347</v>
      </c>
      <c r="G174" s="232" t="s">
        <v>4099</v>
      </c>
      <c r="H174" s="195" t="s">
        <v>4694</v>
      </c>
      <c r="I174" s="195" t="s">
        <v>4695</v>
      </c>
      <c r="J174" s="195" t="s">
        <v>3920</v>
      </c>
      <c r="K174" s="198" t="s">
        <v>4696</v>
      </c>
      <c r="L174" s="236" t="s">
        <v>565</v>
      </c>
      <c r="M174" s="236" t="s">
        <v>4220</v>
      </c>
      <c r="N174" s="251" t="s">
        <v>4407</v>
      </c>
      <c r="O174" s="347">
        <v>51</v>
      </c>
    </row>
    <row r="175" spans="2:15" ht="69.95" hidden="1" customHeight="1">
      <c r="B175" s="345">
        <v>162</v>
      </c>
      <c r="C175" s="251">
        <v>6</v>
      </c>
      <c r="D175" s="195" t="s">
        <v>4697</v>
      </c>
      <c r="E175" s="195" t="s">
        <v>4698</v>
      </c>
      <c r="F175" s="196">
        <v>1137000</v>
      </c>
      <c r="G175" s="242" t="s">
        <v>3920</v>
      </c>
      <c r="H175" s="195" t="s">
        <v>4699</v>
      </c>
      <c r="I175" s="195" t="s">
        <v>4700</v>
      </c>
      <c r="J175" s="195" t="s">
        <v>3920</v>
      </c>
      <c r="K175" s="198" t="s">
        <v>4701</v>
      </c>
      <c r="L175" s="236" t="s">
        <v>532</v>
      </c>
      <c r="M175" s="236" t="s">
        <v>4219</v>
      </c>
      <c r="N175" s="209" t="s">
        <v>7763</v>
      </c>
      <c r="O175" s="347">
        <v>52</v>
      </c>
    </row>
    <row r="176" spans="2:15" ht="69.95" hidden="1" customHeight="1">
      <c r="B176" s="345">
        <v>163</v>
      </c>
      <c r="C176" s="251">
        <v>6</v>
      </c>
      <c r="D176" s="195" t="s">
        <v>4702</v>
      </c>
      <c r="E176" s="195" t="s">
        <v>4698</v>
      </c>
      <c r="F176" s="196">
        <v>9957100</v>
      </c>
      <c r="G176" s="242" t="s">
        <v>3920</v>
      </c>
      <c r="H176" s="195" t="s">
        <v>4703</v>
      </c>
      <c r="I176" s="195" t="s">
        <v>4700</v>
      </c>
      <c r="J176" s="195" t="s">
        <v>3920</v>
      </c>
      <c r="K176" s="198" t="s">
        <v>4704</v>
      </c>
      <c r="L176" s="236" t="s">
        <v>532</v>
      </c>
      <c r="M176" s="236" t="s">
        <v>4219</v>
      </c>
      <c r="N176" s="209" t="s">
        <v>7763</v>
      </c>
      <c r="O176" s="347">
        <v>52</v>
      </c>
    </row>
    <row r="177" spans="2:15" ht="69.95" hidden="1" customHeight="1">
      <c r="B177" s="345">
        <v>164</v>
      </c>
      <c r="C177" s="251">
        <v>6</v>
      </c>
      <c r="D177" s="195" t="s">
        <v>4705</v>
      </c>
      <c r="E177" s="219" t="s">
        <v>4706</v>
      </c>
      <c r="F177" s="196">
        <v>11000000</v>
      </c>
      <c r="G177" s="241" t="s">
        <v>4187</v>
      </c>
      <c r="H177" s="195" t="s">
        <v>4707</v>
      </c>
      <c r="I177" s="195" t="s">
        <v>4698</v>
      </c>
      <c r="J177" s="195" t="s">
        <v>3920</v>
      </c>
      <c r="K177" s="198" t="s">
        <v>4708</v>
      </c>
      <c r="L177" s="236" t="s">
        <v>532</v>
      </c>
      <c r="M177" s="236" t="s">
        <v>4219</v>
      </c>
      <c r="N177" s="251" t="s">
        <v>4406</v>
      </c>
      <c r="O177" s="347">
        <v>52</v>
      </c>
    </row>
    <row r="178" spans="2:15" ht="69.95" hidden="1" customHeight="1">
      <c r="B178" s="345">
        <v>165</v>
      </c>
      <c r="C178" s="251">
        <v>6</v>
      </c>
      <c r="D178" s="195" t="s">
        <v>4709</v>
      </c>
      <c r="E178" s="219" t="s">
        <v>4706</v>
      </c>
      <c r="F178" s="196">
        <v>23400000</v>
      </c>
      <c r="G178" s="241" t="s">
        <v>4187</v>
      </c>
      <c r="H178" s="195" t="s">
        <v>4710</v>
      </c>
      <c r="I178" s="195" t="s">
        <v>4698</v>
      </c>
      <c r="J178" s="195" t="s">
        <v>3920</v>
      </c>
      <c r="K178" s="198" t="s">
        <v>4711</v>
      </c>
      <c r="L178" s="236" t="s">
        <v>532</v>
      </c>
      <c r="M178" s="236" t="s">
        <v>4219</v>
      </c>
      <c r="N178" s="251" t="s">
        <v>4406</v>
      </c>
      <c r="O178" s="347">
        <v>52</v>
      </c>
    </row>
    <row r="179" spans="2:15" ht="69.95" hidden="1" customHeight="1">
      <c r="B179" s="345">
        <v>166</v>
      </c>
      <c r="C179" s="251">
        <v>6</v>
      </c>
      <c r="D179" s="195" t="s">
        <v>4712</v>
      </c>
      <c r="E179" s="219" t="s">
        <v>4706</v>
      </c>
      <c r="F179" s="196">
        <v>233000000</v>
      </c>
      <c r="G179" s="241" t="s">
        <v>4187</v>
      </c>
      <c r="H179" s="195" t="s">
        <v>4713</v>
      </c>
      <c r="I179" s="195" t="s">
        <v>4698</v>
      </c>
      <c r="J179" s="195" t="s">
        <v>3920</v>
      </c>
      <c r="K179" s="198" t="s">
        <v>4714</v>
      </c>
      <c r="L179" s="236" t="s">
        <v>532</v>
      </c>
      <c r="M179" s="236" t="s">
        <v>4219</v>
      </c>
      <c r="N179" s="251" t="s">
        <v>4406</v>
      </c>
      <c r="O179" s="347">
        <v>52</v>
      </c>
    </row>
    <row r="180" spans="2:15" ht="69.95" hidden="1" customHeight="1">
      <c r="B180" s="345">
        <v>167</v>
      </c>
      <c r="C180" s="251">
        <v>6</v>
      </c>
      <c r="D180" s="195" t="s">
        <v>4715</v>
      </c>
      <c r="E180" s="219" t="s">
        <v>4706</v>
      </c>
      <c r="F180" s="196">
        <v>59950000</v>
      </c>
      <c r="G180" s="241" t="s">
        <v>4187</v>
      </c>
      <c r="H180" s="195" t="s">
        <v>4716</v>
      </c>
      <c r="I180" s="195" t="s">
        <v>4698</v>
      </c>
      <c r="J180" s="195" t="s">
        <v>3920</v>
      </c>
      <c r="K180" s="198" t="s">
        <v>4717</v>
      </c>
      <c r="L180" s="236" t="s">
        <v>532</v>
      </c>
      <c r="M180" s="236" t="s">
        <v>4219</v>
      </c>
      <c r="N180" s="251" t="s">
        <v>4406</v>
      </c>
      <c r="O180" s="347">
        <v>52</v>
      </c>
    </row>
    <row r="181" spans="2:15" ht="69.95" hidden="1" customHeight="1">
      <c r="B181" s="345">
        <v>168</v>
      </c>
      <c r="C181" s="251">
        <v>6</v>
      </c>
      <c r="D181" s="195" t="s">
        <v>4718</v>
      </c>
      <c r="E181" s="219" t="s">
        <v>4706</v>
      </c>
      <c r="F181" s="196">
        <v>33000000</v>
      </c>
      <c r="G181" s="241" t="s">
        <v>4187</v>
      </c>
      <c r="H181" s="195" t="s">
        <v>4719</v>
      </c>
      <c r="I181" s="195" t="s">
        <v>4698</v>
      </c>
      <c r="J181" s="195" t="s">
        <v>3920</v>
      </c>
      <c r="K181" s="198" t="s">
        <v>4720</v>
      </c>
      <c r="L181" s="236" t="s">
        <v>532</v>
      </c>
      <c r="M181" s="236" t="s">
        <v>4219</v>
      </c>
      <c r="N181" s="251" t="s">
        <v>4406</v>
      </c>
      <c r="O181" s="347">
        <v>52</v>
      </c>
    </row>
    <row r="182" spans="2:15" ht="69.95" hidden="1" customHeight="1">
      <c r="B182" s="345">
        <v>169</v>
      </c>
      <c r="C182" s="251">
        <v>6</v>
      </c>
      <c r="D182" s="195" t="s">
        <v>4721</v>
      </c>
      <c r="E182" s="219" t="s">
        <v>4706</v>
      </c>
      <c r="F182" s="196">
        <v>12705000</v>
      </c>
      <c r="G182" s="241" t="s">
        <v>4187</v>
      </c>
      <c r="H182" s="195" t="s">
        <v>4722</v>
      </c>
      <c r="I182" s="195" t="s">
        <v>4698</v>
      </c>
      <c r="J182" s="195" t="s">
        <v>3920</v>
      </c>
      <c r="K182" s="198" t="s">
        <v>4723</v>
      </c>
      <c r="L182" s="236" t="s">
        <v>532</v>
      </c>
      <c r="M182" s="236" t="s">
        <v>4219</v>
      </c>
      <c r="N182" s="251" t="s">
        <v>4406</v>
      </c>
      <c r="O182" s="347">
        <v>52</v>
      </c>
    </row>
    <row r="183" spans="2:15" ht="69.95" hidden="1" customHeight="1">
      <c r="B183" s="345">
        <v>170</v>
      </c>
      <c r="C183" s="251">
        <v>6</v>
      </c>
      <c r="D183" s="195" t="s">
        <v>4724</v>
      </c>
      <c r="E183" s="219" t="s">
        <v>4706</v>
      </c>
      <c r="F183" s="196">
        <v>11500000</v>
      </c>
      <c r="G183" s="241" t="s">
        <v>4187</v>
      </c>
      <c r="H183" s="195" t="s">
        <v>4725</v>
      </c>
      <c r="I183" s="195" t="s">
        <v>4698</v>
      </c>
      <c r="J183" s="195" t="s">
        <v>3920</v>
      </c>
      <c r="K183" s="198" t="s">
        <v>4726</v>
      </c>
      <c r="L183" s="236" t="s">
        <v>532</v>
      </c>
      <c r="M183" s="236" t="s">
        <v>4219</v>
      </c>
      <c r="N183" s="251" t="s">
        <v>4406</v>
      </c>
      <c r="O183" s="347">
        <v>52</v>
      </c>
    </row>
    <row r="184" spans="2:15" ht="69.95" hidden="1" customHeight="1">
      <c r="B184" s="345">
        <v>171</v>
      </c>
      <c r="C184" s="251">
        <v>6</v>
      </c>
      <c r="D184" s="195" t="s">
        <v>4727</v>
      </c>
      <c r="E184" s="219" t="s">
        <v>4706</v>
      </c>
      <c r="F184" s="196">
        <v>20000000</v>
      </c>
      <c r="G184" s="241" t="s">
        <v>4187</v>
      </c>
      <c r="H184" s="195" t="s">
        <v>4728</v>
      </c>
      <c r="I184" s="195" t="s">
        <v>4698</v>
      </c>
      <c r="J184" s="195" t="s">
        <v>3920</v>
      </c>
      <c r="K184" s="198" t="s">
        <v>4729</v>
      </c>
      <c r="L184" s="236" t="s">
        <v>532</v>
      </c>
      <c r="M184" s="236" t="s">
        <v>4219</v>
      </c>
      <c r="N184" s="251" t="s">
        <v>4406</v>
      </c>
      <c r="O184" s="347">
        <v>52</v>
      </c>
    </row>
    <row r="185" spans="2:15" ht="69.95" hidden="1" customHeight="1">
      <c r="B185" s="345">
        <v>172</v>
      </c>
      <c r="C185" s="251">
        <v>7</v>
      </c>
      <c r="D185" s="195" t="s">
        <v>4730</v>
      </c>
      <c r="E185" s="219" t="s">
        <v>4731</v>
      </c>
      <c r="F185" s="196">
        <v>210098588</v>
      </c>
      <c r="G185" s="232" t="s">
        <v>4071</v>
      </c>
      <c r="H185" s="195" t="s">
        <v>4732</v>
      </c>
      <c r="I185" s="195" t="s">
        <v>4412</v>
      </c>
      <c r="J185" s="195" t="s">
        <v>3934</v>
      </c>
      <c r="K185" s="198" t="s">
        <v>4733</v>
      </c>
      <c r="L185" s="236" t="s">
        <v>565</v>
      </c>
      <c r="M185" s="236" t="s">
        <v>4220</v>
      </c>
      <c r="N185" s="251" t="s">
        <v>4407</v>
      </c>
      <c r="O185" s="347">
        <v>51</v>
      </c>
    </row>
    <row r="186" spans="2:15" ht="69.95" hidden="1" customHeight="1">
      <c r="B186" s="345">
        <v>173</v>
      </c>
      <c r="C186" s="251">
        <v>7</v>
      </c>
      <c r="D186" s="195" t="s">
        <v>4734</v>
      </c>
      <c r="E186" s="219" t="s">
        <v>4731</v>
      </c>
      <c r="F186" s="196">
        <v>217887192</v>
      </c>
      <c r="G186" s="232" t="s">
        <v>4735</v>
      </c>
      <c r="H186" s="195" t="s">
        <v>4736</v>
      </c>
      <c r="I186" s="195" t="s">
        <v>4700</v>
      </c>
      <c r="J186" s="195" t="s">
        <v>3934</v>
      </c>
      <c r="K186" s="198" t="s">
        <v>4737</v>
      </c>
      <c r="L186" s="236" t="s">
        <v>565</v>
      </c>
      <c r="M186" s="236" t="s">
        <v>4220</v>
      </c>
      <c r="N186" s="251" t="s">
        <v>4407</v>
      </c>
      <c r="O186" s="347">
        <v>51</v>
      </c>
    </row>
    <row r="187" spans="2:15" ht="69.95" hidden="1" customHeight="1">
      <c r="B187" s="345">
        <v>174</v>
      </c>
      <c r="C187" s="251">
        <v>7</v>
      </c>
      <c r="D187" s="195" t="s">
        <v>4740</v>
      </c>
      <c r="E187" s="219" t="s">
        <v>4741</v>
      </c>
      <c r="F187" s="196">
        <v>121840910</v>
      </c>
      <c r="G187" s="232" t="s">
        <v>4742</v>
      </c>
      <c r="H187" s="195" t="s">
        <v>4743</v>
      </c>
      <c r="I187" s="195" t="s">
        <v>4731</v>
      </c>
      <c r="J187" s="195" t="s">
        <v>3920</v>
      </c>
      <c r="K187" s="198" t="s">
        <v>4744</v>
      </c>
      <c r="L187" s="236" t="s">
        <v>565</v>
      </c>
      <c r="M187" s="236" t="s">
        <v>4220</v>
      </c>
      <c r="N187" s="251" t="s">
        <v>4407</v>
      </c>
      <c r="O187" s="347">
        <v>51</v>
      </c>
    </row>
    <row r="188" spans="2:15" ht="69.95" customHeight="1">
      <c r="B188" s="345">
        <v>175</v>
      </c>
      <c r="C188" s="251">
        <v>7</v>
      </c>
      <c r="D188" s="195" t="s">
        <v>4745</v>
      </c>
      <c r="E188" s="219" t="s">
        <v>4741</v>
      </c>
      <c r="F188" s="196">
        <v>93423902</v>
      </c>
      <c r="G188" s="229" t="s">
        <v>3723</v>
      </c>
      <c r="H188" s="195" t="s">
        <v>4746</v>
      </c>
      <c r="I188" s="195" t="s">
        <v>4731</v>
      </c>
      <c r="J188" s="195" t="s">
        <v>3920</v>
      </c>
      <c r="K188" s="198" t="s">
        <v>4747</v>
      </c>
      <c r="L188" s="236"/>
      <c r="M188" s="236"/>
      <c r="N188" s="252" t="s">
        <v>3723</v>
      </c>
      <c r="O188" s="347">
        <v>52</v>
      </c>
    </row>
    <row r="189" spans="2:15" ht="69.95" hidden="1" customHeight="1">
      <c r="B189" s="345">
        <v>176</v>
      </c>
      <c r="C189" s="251">
        <v>7</v>
      </c>
      <c r="D189" s="195" t="s">
        <v>4748</v>
      </c>
      <c r="E189" s="219" t="s">
        <v>4741</v>
      </c>
      <c r="F189" s="215">
        <v>63640000</v>
      </c>
      <c r="G189" s="227" t="s">
        <v>3917</v>
      </c>
      <c r="H189" s="195" t="s">
        <v>4749</v>
      </c>
      <c r="I189" s="195" t="s">
        <v>4731</v>
      </c>
      <c r="J189" s="195" t="s">
        <v>3920</v>
      </c>
      <c r="K189" s="198" t="s">
        <v>4750</v>
      </c>
      <c r="L189" s="236" t="s">
        <v>565</v>
      </c>
      <c r="M189" s="236" t="s">
        <v>4218</v>
      </c>
      <c r="N189" s="251" t="s">
        <v>4408</v>
      </c>
      <c r="O189" s="347">
        <v>52</v>
      </c>
    </row>
    <row r="190" spans="2:15" ht="69.95" hidden="1" customHeight="1">
      <c r="B190" s="345">
        <v>177</v>
      </c>
      <c r="C190" s="251">
        <v>7</v>
      </c>
      <c r="D190" s="195" t="s">
        <v>4751</v>
      </c>
      <c r="E190" s="219" t="s">
        <v>4752</v>
      </c>
      <c r="F190" s="196">
        <v>7415300</v>
      </c>
      <c r="G190" s="242" t="s">
        <v>3920</v>
      </c>
      <c r="H190" s="195" t="s">
        <v>4753</v>
      </c>
      <c r="I190" s="195" t="s">
        <v>4754</v>
      </c>
      <c r="J190" s="195" t="s">
        <v>3920</v>
      </c>
      <c r="K190" s="198" t="s">
        <v>4755</v>
      </c>
      <c r="L190" s="236" t="s">
        <v>532</v>
      </c>
      <c r="M190" s="236" t="s">
        <v>4219</v>
      </c>
      <c r="N190" s="209" t="s">
        <v>7763</v>
      </c>
      <c r="O190" s="347">
        <v>52</v>
      </c>
    </row>
    <row r="191" spans="2:15" ht="69.95" hidden="1" customHeight="1">
      <c r="B191" s="345">
        <v>178</v>
      </c>
      <c r="C191" s="251">
        <v>7</v>
      </c>
      <c r="D191" s="195" t="s">
        <v>4756</v>
      </c>
      <c r="E191" s="219" t="s">
        <v>4752</v>
      </c>
      <c r="F191" s="196">
        <v>46539280</v>
      </c>
      <c r="G191" s="242" t="s">
        <v>3920</v>
      </c>
      <c r="H191" s="195" t="s">
        <v>4757</v>
      </c>
      <c r="I191" s="195" t="s">
        <v>4754</v>
      </c>
      <c r="J191" s="195" t="s">
        <v>3920</v>
      </c>
      <c r="K191" s="198" t="s">
        <v>4758</v>
      </c>
      <c r="L191" s="236" t="s">
        <v>565</v>
      </c>
      <c r="M191" s="236" t="s">
        <v>4218</v>
      </c>
      <c r="N191" s="209" t="s">
        <v>7763</v>
      </c>
      <c r="O191" s="347">
        <v>52</v>
      </c>
    </row>
    <row r="192" spans="2:15" ht="69.95" hidden="1" customHeight="1">
      <c r="B192" s="345">
        <v>179</v>
      </c>
      <c r="C192" s="251">
        <v>7</v>
      </c>
      <c r="D192" s="195" t="s">
        <v>4759</v>
      </c>
      <c r="E192" s="219" t="s">
        <v>4752</v>
      </c>
      <c r="F192" s="196">
        <v>2994000</v>
      </c>
      <c r="G192" s="242" t="s">
        <v>3920</v>
      </c>
      <c r="H192" s="195" t="s">
        <v>4760</v>
      </c>
      <c r="I192" s="195" t="s">
        <v>4754</v>
      </c>
      <c r="J192" s="195" t="s">
        <v>3920</v>
      </c>
      <c r="K192" s="198" t="s">
        <v>4761</v>
      </c>
      <c r="L192" s="236" t="s">
        <v>528</v>
      </c>
      <c r="M192" s="236" t="s">
        <v>4254</v>
      </c>
      <c r="N192" s="209" t="s">
        <v>7763</v>
      </c>
      <c r="O192" s="347">
        <v>52</v>
      </c>
    </row>
    <row r="193" spans="2:17" ht="69.95" hidden="1" customHeight="1">
      <c r="B193" s="345">
        <v>180</v>
      </c>
      <c r="C193" s="251">
        <v>7</v>
      </c>
      <c r="D193" s="195" t="s">
        <v>4762</v>
      </c>
      <c r="E193" s="219" t="s">
        <v>4763</v>
      </c>
      <c r="F193" s="196">
        <v>1120000</v>
      </c>
      <c r="G193" s="242" t="s">
        <v>3920</v>
      </c>
      <c r="H193" s="195" t="s">
        <v>4764</v>
      </c>
      <c r="I193" s="195" t="s">
        <v>4765</v>
      </c>
      <c r="J193" s="195" t="s">
        <v>3920</v>
      </c>
      <c r="K193" s="198" t="s">
        <v>4766</v>
      </c>
      <c r="L193" s="236" t="s">
        <v>524</v>
      </c>
      <c r="M193" s="236" t="s">
        <v>4252</v>
      </c>
      <c r="N193" s="209" t="s">
        <v>7763</v>
      </c>
      <c r="O193" s="347">
        <v>52</v>
      </c>
    </row>
    <row r="194" spans="2:17" ht="69.95" hidden="1" customHeight="1">
      <c r="B194" s="345">
        <v>181</v>
      </c>
      <c r="C194" s="251">
        <v>7</v>
      </c>
      <c r="D194" s="195" t="s">
        <v>4767</v>
      </c>
      <c r="E194" s="219" t="s">
        <v>4763</v>
      </c>
      <c r="F194" s="196">
        <v>241399832</v>
      </c>
      <c r="G194" s="232" t="s">
        <v>3920</v>
      </c>
      <c r="H194" s="195" t="s">
        <v>4768</v>
      </c>
      <c r="I194" s="195" t="s">
        <v>4765</v>
      </c>
      <c r="J194" s="195" t="s">
        <v>3920</v>
      </c>
      <c r="K194" s="198" t="s">
        <v>4769</v>
      </c>
      <c r="L194" s="236" t="s">
        <v>565</v>
      </c>
      <c r="M194" s="236" t="s">
        <v>4218</v>
      </c>
      <c r="N194" s="251" t="s">
        <v>4407</v>
      </c>
      <c r="O194" s="347">
        <v>51</v>
      </c>
    </row>
    <row r="195" spans="2:17" ht="69.95" hidden="1" customHeight="1">
      <c r="B195" s="345">
        <v>182</v>
      </c>
      <c r="C195" s="251">
        <v>7</v>
      </c>
      <c r="D195" s="195" t="s">
        <v>4770</v>
      </c>
      <c r="E195" s="219" t="s">
        <v>4763</v>
      </c>
      <c r="F195" s="196">
        <v>33484900</v>
      </c>
      <c r="G195" s="242" t="s">
        <v>3920</v>
      </c>
      <c r="H195" s="195" t="s">
        <v>4771</v>
      </c>
      <c r="I195" s="195" t="s">
        <v>4765</v>
      </c>
      <c r="J195" s="195" t="s">
        <v>3920</v>
      </c>
      <c r="K195" s="198" t="s">
        <v>4772</v>
      </c>
      <c r="L195" s="236" t="s">
        <v>528</v>
      </c>
      <c r="M195" s="236" t="s">
        <v>4251</v>
      </c>
      <c r="N195" s="209" t="s">
        <v>7763</v>
      </c>
      <c r="O195" s="347">
        <v>52</v>
      </c>
    </row>
    <row r="196" spans="2:17" ht="69.95" hidden="1" customHeight="1">
      <c r="B196" s="345">
        <v>183</v>
      </c>
      <c r="C196" s="251">
        <v>7</v>
      </c>
      <c r="D196" s="195" t="s">
        <v>4773</v>
      </c>
      <c r="E196" s="219" t="s">
        <v>4763</v>
      </c>
      <c r="F196" s="196">
        <v>10000000</v>
      </c>
      <c r="G196" s="242" t="s">
        <v>3920</v>
      </c>
      <c r="H196" s="195" t="s">
        <v>4774</v>
      </c>
      <c r="I196" s="195" t="s">
        <v>4765</v>
      </c>
      <c r="J196" s="195" t="s">
        <v>3920</v>
      </c>
      <c r="K196" s="198" t="s">
        <v>4775</v>
      </c>
      <c r="L196" s="236" t="s">
        <v>524</v>
      </c>
      <c r="M196" s="236" t="s">
        <v>4253</v>
      </c>
      <c r="N196" s="209" t="s">
        <v>7763</v>
      </c>
      <c r="O196" s="347">
        <v>52</v>
      </c>
    </row>
    <row r="197" spans="2:17" ht="69.95" hidden="1" customHeight="1">
      <c r="B197" s="345">
        <v>184</v>
      </c>
      <c r="C197" s="199">
        <v>7</v>
      </c>
      <c r="D197" s="195" t="s">
        <v>4777</v>
      </c>
      <c r="E197" s="195" t="s">
        <v>4778</v>
      </c>
      <c r="F197" s="196">
        <v>5863000</v>
      </c>
      <c r="G197" s="242" t="s">
        <v>3920</v>
      </c>
      <c r="H197" s="195" t="s">
        <v>4779</v>
      </c>
      <c r="I197" s="195" t="s">
        <v>4780</v>
      </c>
      <c r="J197" s="195" t="s">
        <v>3920</v>
      </c>
      <c r="K197" s="198" t="s">
        <v>4781</v>
      </c>
      <c r="L197" s="236" t="s">
        <v>532</v>
      </c>
      <c r="M197" s="236" t="s">
        <v>4219</v>
      </c>
      <c r="N197" s="209" t="s">
        <v>7763</v>
      </c>
      <c r="O197" s="346">
        <v>52</v>
      </c>
      <c r="P197" s="355"/>
    </row>
    <row r="198" spans="2:17" ht="69.95" hidden="1" customHeight="1">
      <c r="B198" s="345">
        <v>185</v>
      </c>
      <c r="C198" s="199">
        <v>7</v>
      </c>
      <c r="D198" s="195" t="s">
        <v>4782</v>
      </c>
      <c r="E198" s="195" t="s">
        <v>4778</v>
      </c>
      <c r="F198" s="196">
        <v>1530000</v>
      </c>
      <c r="G198" s="242" t="s">
        <v>3920</v>
      </c>
      <c r="H198" s="195" t="s">
        <v>4783</v>
      </c>
      <c r="I198" s="195" t="s">
        <v>4780</v>
      </c>
      <c r="J198" s="195" t="s">
        <v>3920</v>
      </c>
      <c r="K198" s="198" t="s">
        <v>4784</v>
      </c>
      <c r="L198" s="236" t="s">
        <v>524</v>
      </c>
      <c r="M198" s="236" t="s">
        <v>4252</v>
      </c>
      <c r="N198" s="209" t="s">
        <v>7763</v>
      </c>
      <c r="O198" s="346">
        <v>52</v>
      </c>
      <c r="P198" s="355"/>
    </row>
    <row r="199" spans="2:17" ht="69.95" hidden="1" customHeight="1">
      <c r="B199" s="345">
        <v>186</v>
      </c>
      <c r="C199" s="199">
        <v>7</v>
      </c>
      <c r="D199" s="195" t="s">
        <v>4785</v>
      </c>
      <c r="E199" s="195" t="s">
        <v>4778</v>
      </c>
      <c r="F199" s="196">
        <v>9690500</v>
      </c>
      <c r="G199" s="242" t="s">
        <v>3920</v>
      </c>
      <c r="H199" s="195" t="s">
        <v>4786</v>
      </c>
      <c r="I199" s="195" t="s">
        <v>4780</v>
      </c>
      <c r="J199" s="195" t="s">
        <v>3920</v>
      </c>
      <c r="K199" s="198" t="s">
        <v>4787</v>
      </c>
      <c r="L199" s="236" t="s">
        <v>528</v>
      </c>
      <c r="M199" s="236" t="s">
        <v>4251</v>
      </c>
      <c r="N199" s="209" t="s">
        <v>7763</v>
      </c>
      <c r="O199" s="346">
        <v>52</v>
      </c>
      <c r="P199" s="355"/>
    </row>
    <row r="200" spans="2:17" ht="69.95" hidden="1" customHeight="1">
      <c r="B200" s="345">
        <v>187</v>
      </c>
      <c r="C200" s="199">
        <v>7</v>
      </c>
      <c r="D200" s="195" t="s">
        <v>4788</v>
      </c>
      <c r="E200" s="195" t="s">
        <v>4778</v>
      </c>
      <c r="F200" s="196">
        <v>53204130</v>
      </c>
      <c r="G200" s="242" t="s">
        <v>3920</v>
      </c>
      <c r="H200" s="195" t="s">
        <v>4789</v>
      </c>
      <c r="I200" s="195" t="s">
        <v>4780</v>
      </c>
      <c r="J200" s="195" t="s">
        <v>3920</v>
      </c>
      <c r="K200" s="198" t="s">
        <v>4790</v>
      </c>
      <c r="L200" s="236" t="s">
        <v>565</v>
      </c>
      <c r="M200" s="236" t="s">
        <v>4218</v>
      </c>
      <c r="N200" s="209" t="s">
        <v>7763</v>
      </c>
      <c r="O200" s="346">
        <v>52</v>
      </c>
      <c r="P200" s="355"/>
    </row>
    <row r="201" spans="2:17" ht="69.95" customHeight="1">
      <c r="B201" s="345">
        <v>188</v>
      </c>
      <c r="C201" s="199">
        <v>7</v>
      </c>
      <c r="D201" s="195" t="s">
        <v>4791</v>
      </c>
      <c r="E201" s="195" t="s">
        <v>4778</v>
      </c>
      <c r="F201" s="196">
        <v>99715771</v>
      </c>
      <c r="G201" s="229" t="s">
        <v>3723</v>
      </c>
      <c r="H201" s="195" t="s">
        <v>4792</v>
      </c>
      <c r="I201" s="195" t="s">
        <v>4780</v>
      </c>
      <c r="J201" s="195" t="s">
        <v>3920</v>
      </c>
      <c r="K201" s="198" t="s">
        <v>4793</v>
      </c>
      <c r="L201" s="236"/>
      <c r="M201" s="236"/>
      <c r="N201" s="252" t="s">
        <v>3723</v>
      </c>
      <c r="O201" s="346">
        <v>52</v>
      </c>
      <c r="P201" s="355"/>
    </row>
    <row r="202" spans="2:17" ht="69.95" hidden="1" customHeight="1">
      <c r="B202" s="345">
        <v>189</v>
      </c>
      <c r="C202" s="199">
        <v>7</v>
      </c>
      <c r="D202" s="195" t="s">
        <v>4794</v>
      </c>
      <c r="E202" s="195" t="s">
        <v>4778</v>
      </c>
      <c r="F202" s="196">
        <v>2778750</v>
      </c>
      <c r="G202" s="242" t="s">
        <v>3920</v>
      </c>
      <c r="H202" s="195" t="s">
        <v>4795</v>
      </c>
      <c r="I202" s="195" t="s">
        <v>4780</v>
      </c>
      <c r="J202" s="195" t="s">
        <v>3920</v>
      </c>
      <c r="K202" s="198" t="s">
        <v>4796</v>
      </c>
      <c r="L202" s="236" t="s">
        <v>532</v>
      </c>
      <c r="M202" s="236" t="s">
        <v>4219</v>
      </c>
      <c r="N202" s="209" t="s">
        <v>7763</v>
      </c>
      <c r="O202" s="346">
        <v>52</v>
      </c>
      <c r="P202" s="355"/>
    </row>
    <row r="203" spans="2:17" ht="69.95" hidden="1" customHeight="1">
      <c r="B203" s="345">
        <v>190</v>
      </c>
      <c r="C203" s="199">
        <v>7</v>
      </c>
      <c r="D203" s="195" t="s">
        <v>4797</v>
      </c>
      <c r="E203" s="195" t="s">
        <v>4778</v>
      </c>
      <c r="F203" s="196">
        <v>3441085</v>
      </c>
      <c r="G203" s="242" t="s">
        <v>3920</v>
      </c>
      <c r="H203" s="195" t="s">
        <v>4798</v>
      </c>
      <c r="I203" s="195" t="s">
        <v>4780</v>
      </c>
      <c r="J203" s="195" t="s">
        <v>3920</v>
      </c>
      <c r="K203" s="198" t="s">
        <v>4799</v>
      </c>
      <c r="L203" s="236" t="s">
        <v>524</v>
      </c>
      <c r="M203" s="236" t="s">
        <v>4253</v>
      </c>
      <c r="N203" s="209" t="s">
        <v>7763</v>
      </c>
      <c r="O203" s="346">
        <v>52</v>
      </c>
      <c r="P203" s="355"/>
    </row>
    <row r="204" spans="2:17" ht="69.95" hidden="1" customHeight="1">
      <c r="B204" s="345">
        <v>191</v>
      </c>
      <c r="C204" s="199">
        <v>7</v>
      </c>
      <c r="D204" s="352" t="s">
        <v>4800</v>
      </c>
      <c r="E204" s="352" t="s">
        <v>4801</v>
      </c>
      <c r="F204" s="353">
        <v>28309000</v>
      </c>
      <c r="G204" s="232" t="s">
        <v>4087</v>
      </c>
      <c r="H204" s="352" t="s">
        <v>4802</v>
      </c>
      <c r="I204" s="352" t="s">
        <v>4778</v>
      </c>
      <c r="J204" s="352" t="s">
        <v>3920</v>
      </c>
      <c r="K204" s="354" t="s">
        <v>4803</v>
      </c>
      <c r="L204" s="236" t="s">
        <v>565</v>
      </c>
      <c r="M204" s="236" t="s">
        <v>4220</v>
      </c>
      <c r="N204" s="199" t="s">
        <v>4407</v>
      </c>
      <c r="O204" s="346">
        <v>51</v>
      </c>
      <c r="P204" s="355"/>
    </row>
    <row r="205" spans="2:17" ht="69.95" hidden="1" customHeight="1">
      <c r="B205" s="345">
        <v>192</v>
      </c>
      <c r="C205" s="199">
        <v>7</v>
      </c>
      <c r="D205" s="195" t="s">
        <v>4804</v>
      </c>
      <c r="E205" s="195" t="s">
        <v>4805</v>
      </c>
      <c r="F205" s="196">
        <v>1360000</v>
      </c>
      <c r="G205" s="242" t="s">
        <v>3920</v>
      </c>
      <c r="H205" s="195" t="s">
        <v>4806</v>
      </c>
      <c r="I205" s="195" t="s">
        <v>4801</v>
      </c>
      <c r="J205" s="195" t="s">
        <v>3920</v>
      </c>
      <c r="K205" s="198" t="s">
        <v>4807</v>
      </c>
      <c r="L205" s="236" t="s">
        <v>524</v>
      </c>
      <c r="M205" s="236" t="s">
        <v>4253</v>
      </c>
      <c r="N205" s="209" t="s">
        <v>7763</v>
      </c>
      <c r="O205" s="347">
        <v>52</v>
      </c>
      <c r="P205" s="356"/>
    </row>
    <row r="206" spans="2:17" ht="69.95" hidden="1" customHeight="1">
      <c r="B206" s="345">
        <v>193</v>
      </c>
      <c r="C206" s="199">
        <v>7</v>
      </c>
      <c r="D206" s="195" t="s">
        <v>4808</v>
      </c>
      <c r="E206" s="195" t="s">
        <v>4805</v>
      </c>
      <c r="F206" s="196">
        <v>1120000</v>
      </c>
      <c r="G206" s="242" t="s">
        <v>3920</v>
      </c>
      <c r="H206" s="195" t="s">
        <v>4809</v>
      </c>
      <c r="I206" s="195" t="s">
        <v>4801</v>
      </c>
      <c r="J206" s="195" t="s">
        <v>3920</v>
      </c>
      <c r="K206" s="198" t="s">
        <v>4810</v>
      </c>
      <c r="L206" s="236" t="s">
        <v>524</v>
      </c>
      <c r="M206" s="236" t="s">
        <v>4252</v>
      </c>
      <c r="N206" s="209" t="s">
        <v>7763</v>
      </c>
      <c r="O206" s="347">
        <v>52</v>
      </c>
      <c r="P206" s="356"/>
    </row>
    <row r="207" spans="2:17" ht="69.95" hidden="1" customHeight="1">
      <c r="B207" s="345">
        <v>194</v>
      </c>
      <c r="C207" s="199">
        <v>7</v>
      </c>
      <c r="D207" s="195" t="s">
        <v>4811</v>
      </c>
      <c r="E207" s="195" t="s">
        <v>4805</v>
      </c>
      <c r="F207" s="196">
        <v>1530000</v>
      </c>
      <c r="G207" s="242" t="s">
        <v>3920</v>
      </c>
      <c r="H207" s="195" t="s">
        <v>4812</v>
      </c>
      <c r="I207" s="195" t="s">
        <v>4801</v>
      </c>
      <c r="J207" s="195" t="s">
        <v>3920</v>
      </c>
      <c r="K207" s="198" t="s">
        <v>4813</v>
      </c>
      <c r="L207" s="236" t="s">
        <v>524</v>
      </c>
      <c r="M207" s="236" t="s">
        <v>4252</v>
      </c>
      <c r="N207" s="209" t="s">
        <v>7763</v>
      </c>
      <c r="O207" s="347">
        <v>52</v>
      </c>
      <c r="P207" s="356"/>
      <c r="Q207" s="210" t="s">
        <v>3726</v>
      </c>
    </row>
    <row r="208" spans="2:17" ht="69.95" hidden="1" customHeight="1">
      <c r="B208" s="345">
        <v>195</v>
      </c>
      <c r="C208" s="199">
        <v>7</v>
      </c>
      <c r="D208" s="195" t="s">
        <v>4814</v>
      </c>
      <c r="E208" s="195" t="s">
        <v>4805</v>
      </c>
      <c r="F208" s="196">
        <v>1800000</v>
      </c>
      <c r="G208" s="242" t="s">
        <v>3920</v>
      </c>
      <c r="H208" s="195" t="s">
        <v>4815</v>
      </c>
      <c r="I208" s="195" t="s">
        <v>4801</v>
      </c>
      <c r="J208" s="195" t="s">
        <v>3920</v>
      </c>
      <c r="K208" s="198" t="s">
        <v>4816</v>
      </c>
      <c r="L208" s="236" t="s">
        <v>524</v>
      </c>
      <c r="M208" s="236" t="s">
        <v>4252</v>
      </c>
      <c r="N208" s="209" t="s">
        <v>7763</v>
      </c>
      <c r="O208" s="347">
        <v>52</v>
      </c>
      <c r="P208" s="356"/>
    </row>
    <row r="209" spans="2:17" ht="69.95" hidden="1" customHeight="1">
      <c r="B209" s="345">
        <v>196</v>
      </c>
      <c r="C209" s="251">
        <v>7</v>
      </c>
      <c r="D209" s="195" t="s">
        <v>7697</v>
      </c>
      <c r="E209" s="195" t="s">
        <v>7698</v>
      </c>
      <c r="F209" s="196">
        <v>8245100</v>
      </c>
      <c r="G209" s="242" t="s">
        <v>3920</v>
      </c>
      <c r="H209" s="195" t="s">
        <v>7699</v>
      </c>
      <c r="I209" s="195" t="s">
        <v>7700</v>
      </c>
      <c r="J209" s="195" t="s">
        <v>3920</v>
      </c>
      <c r="K209" s="198" t="s">
        <v>7701</v>
      </c>
      <c r="L209" s="236" t="s">
        <v>528</v>
      </c>
      <c r="M209" s="236" t="s">
        <v>4251</v>
      </c>
      <c r="N209" s="209" t="s">
        <v>7763</v>
      </c>
      <c r="O209" s="347">
        <v>52</v>
      </c>
    </row>
    <row r="210" spans="2:17" ht="69.95" hidden="1" customHeight="1">
      <c r="B210" s="345">
        <v>197</v>
      </c>
      <c r="C210" s="251">
        <v>7</v>
      </c>
      <c r="D210" s="195" t="s">
        <v>7702</v>
      </c>
      <c r="E210" s="195" t="s">
        <v>7698</v>
      </c>
      <c r="F210" s="196">
        <v>24583450</v>
      </c>
      <c r="G210" s="242" t="s">
        <v>3920</v>
      </c>
      <c r="H210" s="195" t="s">
        <v>7703</v>
      </c>
      <c r="I210" s="195" t="s">
        <v>7700</v>
      </c>
      <c r="J210" s="195" t="s">
        <v>3920</v>
      </c>
      <c r="K210" s="198" t="s">
        <v>7704</v>
      </c>
      <c r="L210" s="236" t="s">
        <v>528</v>
      </c>
      <c r="M210" s="236" t="s">
        <v>4251</v>
      </c>
      <c r="N210" s="209" t="s">
        <v>7763</v>
      </c>
      <c r="O210" s="347">
        <v>52</v>
      </c>
      <c r="P210" s="210" t="s">
        <v>3726</v>
      </c>
    </row>
    <row r="211" spans="2:17" ht="69.95" hidden="1" customHeight="1">
      <c r="B211" s="345">
        <v>198</v>
      </c>
      <c r="C211" s="251">
        <v>7</v>
      </c>
      <c r="D211" s="195" t="s">
        <v>7705</v>
      </c>
      <c r="E211" s="195" t="s">
        <v>7698</v>
      </c>
      <c r="F211" s="196">
        <v>3600000</v>
      </c>
      <c r="G211" s="242" t="s">
        <v>3920</v>
      </c>
      <c r="H211" s="195" t="s">
        <v>7706</v>
      </c>
      <c r="I211" s="195" t="s">
        <v>7700</v>
      </c>
      <c r="J211" s="195" t="s">
        <v>3920</v>
      </c>
      <c r="K211" s="198" t="s">
        <v>7707</v>
      </c>
      <c r="L211" s="236" t="s">
        <v>528</v>
      </c>
      <c r="M211" s="236" t="s">
        <v>4251</v>
      </c>
      <c r="N211" s="209" t="s">
        <v>7763</v>
      </c>
      <c r="O211" s="347">
        <v>52</v>
      </c>
    </row>
    <row r="212" spans="2:17" ht="69.95" hidden="1" customHeight="1">
      <c r="B212" s="345">
        <v>199</v>
      </c>
      <c r="C212" s="251">
        <v>7</v>
      </c>
      <c r="D212" s="195" t="s">
        <v>7708</v>
      </c>
      <c r="E212" s="195" t="s">
        <v>7698</v>
      </c>
      <c r="F212" s="196">
        <v>228300</v>
      </c>
      <c r="G212" s="232" t="s">
        <v>4099</v>
      </c>
      <c r="H212" s="195" t="s">
        <v>7709</v>
      </c>
      <c r="I212" s="195" t="s">
        <v>7700</v>
      </c>
      <c r="J212" s="195" t="s">
        <v>3920</v>
      </c>
      <c r="K212" s="198" t="s">
        <v>7710</v>
      </c>
      <c r="L212" s="236" t="s">
        <v>565</v>
      </c>
      <c r="M212" s="236" t="s">
        <v>4220</v>
      </c>
      <c r="N212" s="251" t="s">
        <v>4407</v>
      </c>
      <c r="O212" s="347">
        <v>51</v>
      </c>
    </row>
    <row r="213" spans="2:17" ht="69.95" hidden="1" customHeight="1">
      <c r="B213" s="345">
        <v>200</v>
      </c>
      <c r="C213" s="251">
        <v>7</v>
      </c>
      <c r="D213" s="195" t="s">
        <v>7711</v>
      </c>
      <c r="E213" s="195" t="s">
        <v>7698</v>
      </c>
      <c r="F213" s="196">
        <v>221543</v>
      </c>
      <c r="G213" s="232" t="s">
        <v>4099</v>
      </c>
      <c r="H213" s="195" t="s">
        <v>7712</v>
      </c>
      <c r="I213" s="195" t="s">
        <v>7700</v>
      </c>
      <c r="J213" s="195" t="s">
        <v>3920</v>
      </c>
      <c r="K213" s="198" t="s">
        <v>7713</v>
      </c>
      <c r="L213" s="236" t="s">
        <v>565</v>
      </c>
      <c r="M213" s="236" t="s">
        <v>4220</v>
      </c>
      <c r="N213" s="251" t="s">
        <v>4407</v>
      </c>
      <c r="O213" s="347">
        <v>51</v>
      </c>
      <c r="Q213" s="210" t="s">
        <v>3726</v>
      </c>
    </row>
    <row r="214" spans="2:17" ht="69.95" hidden="1" customHeight="1">
      <c r="B214" s="345">
        <v>201</v>
      </c>
      <c r="C214" s="251">
        <v>7</v>
      </c>
      <c r="D214" s="195" t="s">
        <v>7714</v>
      </c>
      <c r="E214" s="195" t="s">
        <v>7715</v>
      </c>
      <c r="F214" s="196">
        <v>17775000</v>
      </c>
      <c r="G214" s="241" t="s">
        <v>3920</v>
      </c>
      <c r="H214" s="195" t="s">
        <v>7716</v>
      </c>
      <c r="I214" s="195" t="s">
        <v>7698</v>
      </c>
      <c r="J214" s="195" t="s">
        <v>3920</v>
      </c>
      <c r="K214" s="198" t="s">
        <v>7717</v>
      </c>
      <c r="L214" s="236" t="s">
        <v>532</v>
      </c>
      <c r="M214" s="236" t="s">
        <v>4219</v>
      </c>
      <c r="N214" s="251" t="s">
        <v>4406</v>
      </c>
      <c r="O214" s="347">
        <v>52</v>
      </c>
    </row>
    <row r="215" spans="2:17" ht="69.95" hidden="1" customHeight="1">
      <c r="B215" s="345">
        <v>202</v>
      </c>
      <c r="C215" s="251">
        <v>7</v>
      </c>
      <c r="D215" s="195" t="s">
        <v>7718</v>
      </c>
      <c r="E215" s="195" t="s">
        <v>7715</v>
      </c>
      <c r="F215" s="196">
        <v>23700000</v>
      </c>
      <c r="G215" s="241" t="s">
        <v>3920</v>
      </c>
      <c r="H215" s="195" t="s">
        <v>7719</v>
      </c>
      <c r="I215" s="195" t="s">
        <v>7698</v>
      </c>
      <c r="J215" s="195" t="s">
        <v>3920</v>
      </c>
      <c r="K215" s="198" t="s">
        <v>7720</v>
      </c>
      <c r="L215" s="236" t="s">
        <v>532</v>
      </c>
      <c r="M215" s="236" t="s">
        <v>4219</v>
      </c>
      <c r="N215" s="251" t="s">
        <v>4406</v>
      </c>
      <c r="O215" s="347">
        <v>52</v>
      </c>
    </row>
    <row r="216" spans="2:17" ht="69.95" hidden="1" customHeight="1">
      <c r="B216" s="345">
        <v>203</v>
      </c>
      <c r="C216" s="251">
        <v>7</v>
      </c>
      <c r="D216" s="195" t="s">
        <v>7721</v>
      </c>
      <c r="E216" s="195" t="s">
        <v>7715</v>
      </c>
      <c r="F216" s="196">
        <v>11850000</v>
      </c>
      <c r="G216" s="241" t="s">
        <v>3920</v>
      </c>
      <c r="H216" s="195" t="s">
        <v>7722</v>
      </c>
      <c r="I216" s="195" t="s">
        <v>7698</v>
      </c>
      <c r="J216" s="195" t="s">
        <v>3920</v>
      </c>
      <c r="K216" s="198" t="s">
        <v>7723</v>
      </c>
      <c r="L216" s="236" t="s">
        <v>532</v>
      </c>
      <c r="M216" s="236" t="s">
        <v>4219</v>
      </c>
      <c r="N216" s="251" t="s">
        <v>4406</v>
      </c>
      <c r="O216" s="347">
        <v>52</v>
      </c>
    </row>
    <row r="217" spans="2:17" ht="69.95" hidden="1" customHeight="1">
      <c r="B217" s="345">
        <v>204</v>
      </c>
      <c r="C217" s="251">
        <v>7</v>
      </c>
      <c r="D217" s="195" t="s">
        <v>7724</v>
      </c>
      <c r="E217" s="195" t="s">
        <v>7715</v>
      </c>
      <c r="F217" s="196">
        <v>1975000</v>
      </c>
      <c r="G217" s="241" t="s">
        <v>3920</v>
      </c>
      <c r="H217" s="195" t="s">
        <v>7725</v>
      </c>
      <c r="I217" s="195" t="s">
        <v>7698</v>
      </c>
      <c r="J217" s="195" t="s">
        <v>3920</v>
      </c>
      <c r="K217" s="198" t="s">
        <v>7726</v>
      </c>
      <c r="L217" s="236" t="s">
        <v>532</v>
      </c>
      <c r="M217" s="236" t="s">
        <v>4219</v>
      </c>
      <c r="N217" s="251" t="s">
        <v>4406</v>
      </c>
      <c r="O217" s="347">
        <v>52</v>
      </c>
    </row>
    <row r="218" spans="2:17" ht="69.95" hidden="1" customHeight="1">
      <c r="B218" s="345">
        <v>205</v>
      </c>
      <c r="C218" s="251">
        <v>7</v>
      </c>
      <c r="D218" s="195" t="s">
        <v>7727</v>
      </c>
      <c r="E218" s="195" t="s">
        <v>7715</v>
      </c>
      <c r="F218" s="196">
        <v>3950000</v>
      </c>
      <c r="G218" s="241" t="s">
        <v>3920</v>
      </c>
      <c r="H218" s="195" t="s">
        <v>7728</v>
      </c>
      <c r="I218" s="195" t="s">
        <v>7698</v>
      </c>
      <c r="J218" s="195" t="s">
        <v>3920</v>
      </c>
      <c r="K218" s="198" t="s">
        <v>7729</v>
      </c>
      <c r="L218" s="236" t="s">
        <v>532</v>
      </c>
      <c r="M218" s="236" t="s">
        <v>4219</v>
      </c>
      <c r="N218" s="251" t="s">
        <v>4406</v>
      </c>
      <c r="O218" s="347">
        <v>52</v>
      </c>
    </row>
    <row r="219" spans="2:17" ht="69.95" hidden="1" customHeight="1">
      <c r="B219" s="345">
        <v>206</v>
      </c>
      <c r="C219" s="251">
        <v>7</v>
      </c>
      <c r="D219" s="195" t="s">
        <v>7730</v>
      </c>
      <c r="E219" s="195" t="s">
        <v>7715</v>
      </c>
      <c r="F219" s="196">
        <v>120000000</v>
      </c>
      <c r="G219" s="241" t="s">
        <v>3920</v>
      </c>
      <c r="H219" s="195" t="s">
        <v>7731</v>
      </c>
      <c r="I219" s="195" t="s">
        <v>7698</v>
      </c>
      <c r="J219" s="195" t="s">
        <v>3920</v>
      </c>
      <c r="K219" s="198" t="s">
        <v>7732</v>
      </c>
      <c r="L219" s="236" t="s">
        <v>532</v>
      </c>
      <c r="M219" s="236" t="s">
        <v>4219</v>
      </c>
      <c r="N219" s="251" t="s">
        <v>4406</v>
      </c>
      <c r="O219" s="347">
        <v>52</v>
      </c>
    </row>
    <row r="220" spans="2:17" ht="69.95" hidden="1" customHeight="1">
      <c r="B220" s="345">
        <v>207</v>
      </c>
      <c r="C220" s="251">
        <v>7</v>
      </c>
      <c r="D220" s="195" t="s">
        <v>7733</v>
      </c>
      <c r="E220" s="195" t="s">
        <v>7715</v>
      </c>
      <c r="F220" s="196">
        <v>1911000</v>
      </c>
      <c r="G220" s="232" t="s">
        <v>4099</v>
      </c>
      <c r="H220" s="195" t="s">
        <v>7734</v>
      </c>
      <c r="I220" s="195" t="s">
        <v>7698</v>
      </c>
      <c r="J220" s="195" t="s">
        <v>3920</v>
      </c>
      <c r="K220" s="198" t="s">
        <v>7735</v>
      </c>
      <c r="L220" s="236" t="s">
        <v>565</v>
      </c>
      <c r="M220" s="236" t="s">
        <v>4220</v>
      </c>
      <c r="N220" s="251" t="s">
        <v>4407</v>
      </c>
      <c r="O220" s="347">
        <v>51</v>
      </c>
    </row>
    <row r="221" spans="2:17" ht="69.95" hidden="1" customHeight="1">
      <c r="B221" s="345">
        <v>208</v>
      </c>
      <c r="C221" s="251">
        <v>7</v>
      </c>
      <c r="D221" s="195" t="s">
        <v>7736</v>
      </c>
      <c r="E221" s="195" t="s">
        <v>7715</v>
      </c>
      <c r="F221" s="196">
        <v>9152930</v>
      </c>
      <c r="G221" s="232" t="s">
        <v>4099</v>
      </c>
      <c r="H221" s="195" t="s">
        <v>7737</v>
      </c>
      <c r="I221" s="195" t="s">
        <v>7698</v>
      </c>
      <c r="J221" s="195" t="s">
        <v>3920</v>
      </c>
      <c r="K221" s="198" t="s">
        <v>7738</v>
      </c>
      <c r="L221" s="236" t="s">
        <v>565</v>
      </c>
      <c r="M221" s="236" t="s">
        <v>4220</v>
      </c>
      <c r="N221" s="251" t="s">
        <v>4407</v>
      </c>
      <c r="O221" s="347">
        <v>51</v>
      </c>
    </row>
    <row r="222" spans="2:17" ht="69.95" hidden="1" customHeight="1">
      <c r="B222" s="345">
        <v>209</v>
      </c>
      <c r="C222" s="251">
        <v>7</v>
      </c>
      <c r="D222" s="195" t="s">
        <v>7739</v>
      </c>
      <c r="E222" s="195" t="s">
        <v>7715</v>
      </c>
      <c r="F222" s="196">
        <v>4256000</v>
      </c>
      <c r="G222" s="242" t="s">
        <v>3920</v>
      </c>
      <c r="H222" s="195" t="s">
        <v>7740</v>
      </c>
      <c r="I222" s="195" t="s">
        <v>7698</v>
      </c>
      <c r="J222" s="195" t="s">
        <v>3920</v>
      </c>
      <c r="K222" s="198" t="s">
        <v>7741</v>
      </c>
      <c r="L222" s="236" t="s">
        <v>532</v>
      </c>
      <c r="M222" s="236" t="s">
        <v>4219</v>
      </c>
      <c r="N222" s="209" t="s">
        <v>7763</v>
      </c>
      <c r="O222" s="347">
        <v>52</v>
      </c>
    </row>
    <row r="223" spans="2:17" ht="69.95" hidden="1" customHeight="1">
      <c r="B223" s="345">
        <v>210</v>
      </c>
      <c r="C223" s="251">
        <v>7</v>
      </c>
      <c r="D223" s="195" t="s">
        <v>7742</v>
      </c>
      <c r="E223" s="195" t="s">
        <v>7715</v>
      </c>
      <c r="F223" s="196">
        <v>830688886</v>
      </c>
      <c r="G223" s="241" t="s">
        <v>3920</v>
      </c>
      <c r="H223" s="195" t="s">
        <v>7743</v>
      </c>
      <c r="I223" s="195" t="s">
        <v>7698</v>
      </c>
      <c r="J223" s="195" t="s">
        <v>3920</v>
      </c>
      <c r="K223" s="198" t="s">
        <v>7744</v>
      </c>
      <c r="L223" s="236" t="s">
        <v>532</v>
      </c>
      <c r="M223" s="236" t="s">
        <v>4219</v>
      </c>
      <c r="N223" s="251" t="s">
        <v>4406</v>
      </c>
      <c r="O223" s="347">
        <v>52</v>
      </c>
    </row>
    <row r="224" spans="2:17" ht="69.95" hidden="1" customHeight="1">
      <c r="B224" s="345">
        <v>211</v>
      </c>
      <c r="C224" s="251">
        <v>8</v>
      </c>
      <c r="D224" s="195" t="s">
        <v>7688</v>
      </c>
      <c r="E224" s="195" t="s">
        <v>7689</v>
      </c>
      <c r="F224" s="196">
        <v>63640000</v>
      </c>
      <c r="G224" s="227" t="s">
        <v>3931</v>
      </c>
      <c r="H224" s="195" t="s">
        <v>7690</v>
      </c>
      <c r="I224" s="195" t="s">
        <v>7691</v>
      </c>
      <c r="J224" s="195" t="s">
        <v>3934</v>
      </c>
      <c r="K224" s="198" t="s">
        <v>7692</v>
      </c>
      <c r="L224" s="236" t="s">
        <v>565</v>
      </c>
      <c r="M224" s="236" t="s">
        <v>4218</v>
      </c>
      <c r="N224" s="251" t="s">
        <v>4408</v>
      </c>
      <c r="O224" s="347">
        <v>52</v>
      </c>
    </row>
    <row r="225" spans="2:15" ht="69.95" hidden="1" customHeight="1">
      <c r="B225" s="345">
        <v>212</v>
      </c>
      <c r="C225" s="251">
        <v>8</v>
      </c>
      <c r="D225" s="195" t="s">
        <v>7693</v>
      </c>
      <c r="E225" s="195" t="s">
        <v>7689</v>
      </c>
      <c r="F225" s="196">
        <v>206927988</v>
      </c>
      <c r="G225" s="232" t="s">
        <v>4071</v>
      </c>
      <c r="H225" s="195" t="s">
        <v>7694</v>
      </c>
      <c r="I225" s="195" t="s">
        <v>7695</v>
      </c>
      <c r="J225" s="195" t="s">
        <v>3934</v>
      </c>
      <c r="K225" s="198" t="s">
        <v>7696</v>
      </c>
      <c r="L225" s="236" t="s">
        <v>565</v>
      </c>
      <c r="M225" s="236" t="s">
        <v>4220</v>
      </c>
      <c r="N225" s="251" t="s">
        <v>4407</v>
      </c>
      <c r="O225" s="347">
        <v>51</v>
      </c>
    </row>
    <row r="226" spans="2:15" ht="69.95" customHeight="1">
      <c r="B226" s="345">
        <v>213</v>
      </c>
      <c r="C226" s="251">
        <v>8</v>
      </c>
      <c r="D226" s="195" t="s">
        <v>7746</v>
      </c>
      <c r="E226" s="195" t="s">
        <v>7689</v>
      </c>
      <c r="F226" s="196">
        <v>149397390</v>
      </c>
      <c r="G226" s="230" t="s">
        <v>3944</v>
      </c>
      <c r="H226" s="195" t="s">
        <v>7747</v>
      </c>
      <c r="I226" s="195" t="s">
        <v>7689</v>
      </c>
      <c r="J226" s="195" t="s">
        <v>3947</v>
      </c>
      <c r="K226" s="198" t="s">
        <v>7748</v>
      </c>
      <c r="L226" s="236"/>
      <c r="M226" s="236"/>
      <c r="N226" s="252" t="s">
        <v>3724</v>
      </c>
      <c r="O226" s="347">
        <v>52</v>
      </c>
    </row>
    <row r="227" spans="2:15" ht="69.95" customHeight="1">
      <c r="B227" s="348"/>
      <c r="C227" s="334"/>
      <c r="D227" s="334"/>
      <c r="E227" s="335"/>
      <c r="F227" s="336">
        <f>SUBTOTAL(109,Table1[Nilai SP2D])</f>
        <v>1555356160</v>
      </c>
      <c r="G227" s="337"/>
      <c r="H227" s="338"/>
      <c r="I227" s="334"/>
      <c r="J227" s="334"/>
      <c r="K227" s="339"/>
      <c r="L227" s="340"/>
      <c r="M227" s="340"/>
      <c r="N227" s="334"/>
      <c r="O227" s="349"/>
    </row>
  </sheetData>
  <sortState xmlns:xlrd2="http://schemas.microsoft.com/office/spreadsheetml/2017/richdata2" ref="B14:K54">
    <sortCondition ref="H14:H54"/>
  </sortState>
  <phoneticPr fontId="26" type="noConversion"/>
  <conditionalFormatting sqref="D116:D119">
    <cfRule type="duplicateValues" dxfId="2459" priority="3"/>
  </conditionalFormatting>
  <conditionalFormatting sqref="D14:D174">
    <cfRule type="duplicateValues" dxfId="2458" priority="28"/>
    <cfRule type="duplicateValues" dxfId="2457" priority="29"/>
  </conditionalFormatting>
  <dataValidations count="2">
    <dataValidation type="list" allowBlank="1" showInputMessage="1" showErrorMessage="1" sqref="L14:L226" xr:uid="{8DDB7010-4A22-4C04-8AC4-F6FB6B7050C1}">
      <formula1>#REF!</formula1>
    </dataValidation>
    <dataValidation type="list" allowBlank="1" showInputMessage="1" showErrorMessage="1" sqref="M14:M226"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Normal="70" zoomScaleSheetLayoutView="100" workbookViewId="0">
      <pane xSplit="3" ySplit="6" topLeftCell="D157" activePane="bottomRight" state="frozen"/>
      <selection pane="topRight" activeCell="D1" sqref="D1"/>
      <selection pane="bottomLeft" activeCell="A7" sqref="A7"/>
      <selection pane="bottomRight" activeCell="F193" sqref="F193"/>
    </sheetView>
  </sheetViews>
  <sheetFormatPr defaultRowHeight="15"/>
  <cols>
    <col min="3" max="3" width="109.7109375" style="233" bestFit="1" customWidth="1"/>
    <col min="4" max="4" width="17.42578125" bestFit="1" customWidth="1"/>
    <col min="5" max="5" width="14.28515625" bestFit="1" customWidth="1"/>
    <col min="6" max="6" width="12.5703125" style="208" bestFit="1" customWidth="1"/>
    <col min="7" max="7" width="14.28515625" bestFit="1" customWidth="1"/>
    <col min="8" max="8" width="11.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2" t="str">
        <f>'PERSUBBID - Gaji'!A1</f>
        <v>REALISASI TANPA GAJI (BERDASARKAN PAGU SETELAH BLOKIR)</v>
      </c>
      <c r="D1" s="532"/>
      <c r="E1" s="532"/>
      <c r="F1" s="532"/>
      <c r="G1" s="532"/>
      <c r="H1" s="532"/>
    </row>
    <row r="2" spans="3:18" ht="19.5">
      <c r="C2" s="532" t="str">
        <f>'PER BULAN'!B5</f>
        <v>Berdasarkan DIPA Revisi 3 TA. 2022 (Tanggal 13 Juli 2022)</v>
      </c>
      <c r="D2" s="532"/>
      <c r="E2" s="532"/>
      <c r="F2" s="532"/>
      <c r="G2" s="532"/>
      <c r="H2" s="532"/>
    </row>
    <row r="3" spans="3:18" ht="19.5">
      <c r="C3" s="532" t="str">
        <f>'PER BULAN'!B6</f>
        <v>SAMPAI DENGAN 8 AGUSTUS 2022</v>
      </c>
      <c r="D3" s="532"/>
      <c r="E3" s="532"/>
      <c r="F3" s="532"/>
      <c r="G3" s="532"/>
      <c r="H3" s="532"/>
    </row>
    <row r="4" spans="3:18">
      <c r="D4" s="233"/>
      <c r="E4" s="233"/>
      <c r="G4" s="233"/>
      <c r="H4" s="233"/>
    </row>
    <row r="5" spans="3:18" s="442" customFormat="1" ht="15.75">
      <c r="C5" s="234" t="s">
        <v>3893</v>
      </c>
      <c r="D5" s="234" t="s">
        <v>7679</v>
      </c>
      <c r="E5" s="234" t="s">
        <v>3889</v>
      </c>
      <c r="F5" s="234" t="s">
        <v>3890</v>
      </c>
      <c r="G5" s="234" t="s">
        <v>3891</v>
      </c>
      <c r="H5" s="482" t="s">
        <v>3892</v>
      </c>
      <c r="I5" s="476"/>
      <c r="M5" s="443"/>
    </row>
    <row r="6" spans="3:18" ht="17.100000000000001" customHeight="1">
      <c r="C6" s="483" t="s">
        <v>523</v>
      </c>
      <c r="D6" s="484">
        <v>13875804000</v>
      </c>
      <c r="E6" s="484">
        <v>8203483476</v>
      </c>
      <c r="F6" s="485">
        <v>59.120779422943706</v>
      </c>
      <c r="G6" s="484">
        <v>5672320524</v>
      </c>
      <c r="H6" s="486">
        <v>40.879220577056294</v>
      </c>
      <c r="J6" s="161"/>
      <c r="R6" s="159"/>
    </row>
    <row r="7" spans="3:18" ht="17.100000000000001" customHeight="1">
      <c r="C7" s="504" t="s">
        <v>3771</v>
      </c>
      <c r="D7" s="487">
        <v>1000000000</v>
      </c>
      <c r="E7" s="487">
        <v>554423885</v>
      </c>
      <c r="F7" s="488">
        <v>55.442388499999993</v>
      </c>
      <c r="G7" s="487">
        <v>445576115</v>
      </c>
      <c r="H7" s="489">
        <v>44.5576115</v>
      </c>
      <c r="R7" s="159"/>
    </row>
    <row r="8" spans="3:18" ht="17.100000000000001" customHeight="1">
      <c r="C8" s="504" t="s">
        <v>3781</v>
      </c>
      <c r="D8" s="487">
        <v>1000000000</v>
      </c>
      <c r="E8" s="487">
        <v>554423885</v>
      </c>
      <c r="F8" s="488">
        <v>55.442388499999993</v>
      </c>
      <c r="G8" s="487">
        <v>445576115</v>
      </c>
      <c r="H8" s="489">
        <v>44.5576115</v>
      </c>
    </row>
    <row r="9" spans="3:18" ht="17.100000000000001" customHeight="1">
      <c r="C9" s="490" t="s">
        <v>528</v>
      </c>
      <c r="D9" s="491">
        <v>821400000</v>
      </c>
      <c r="E9" s="491">
        <v>447570300</v>
      </c>
      <c r="F9" s="492">
        <v>54.488714390065738</v>
      </c>
      <c r="G9" s="491">
        <v>373829700</v>
      </c>
      <c r="H9" s="493">
        <v>45.511285609934262</v>
      </c>
    </row>
    <row r="10" spans="3:18">
      <c r="C10" s="494" t="s">
        <v>529</v>
      </c>
      <c r="D10" s="495">
        <v>686300000</v>
      </c>
      <c r="E10" s="495">
        <v>365968440</v>
      </c>
      <c r="F10" s="496">
        <v>53.324849191315749</v>
      </c>
      <c r="G10" s="495">
        <v>320331560</v>
      </c>
      <c r="H10" s="497">
        <v>46.675150808684251</v>
      </c>
    </row>
    <row r="11" spans="3:18" ht="17.100000000000001" customHeight="1">
      <c r="C11" s="504" t="s">
        <v>3783</v>
      </c>
      <c r="D11" s="487">
        <v>686300000</v>
      </c>
      <c r="E11" s="487">
        <v>365968440</v>
      </c>
      <c r="F11" s="488">
        <v>53.324849191315749</v>
      </c>
      <c r="G11" s="487">
        <v>320331560</v>
      </c>
      <c r="H11" s="489">
        <v>46.675150808684251</v>
      </c>
    </row>
    <row r="12" spans="3:18">
      <c r="C12" s="509" t="s">
        <v>3789</v>
      </c>
      <c r="D12" s="498">
        <v>686300000</v>
      </c>
      <c r="E12" s="498">
        <v>365968440</v>
      </c>
      <c r="F12" s="499">
        <v>53.324849191315749</v>
      </c>
      <c r="G12" s="498">
        <v>320331560</v>
      </c>
      <c r="H12" s="500">
        <v>46.675150808684251</v>
      </c>
    </row>
    <row r="13" spans="3:18" ht="17.100000000000001" customHeight="1">
      <c r="C13" s="510" t="s">
        <v>3790</v>
      </c>
      <c r="D13" s="501">
        <v>386924000</v>
      </c>
      <c r="E13" s="501">
        <v>210711850</v>
      </c>
      <c r="F13" s="502">
        <v>54.458201093754845</v>
      </c>
      <c r="G13" s="501">
        <v>176212150</v>
      </c>
      <c r="H13" s="503">
        <v>45.541798906245155</v>
      </c>
    </row>
    <row r="14" spans="3:18" ht="17.100000000000001" customHeight="1">
      <c r="C14" s="508" t="s">
        <v>3773</v>
      </c>
      <c r="D14" s="487">
        <v>64900000</v>
      </c>
      <c r="E14" s="487">
        <v>35440750</v>
      </c>
      <c r="F14" s="488">
        <v>54.608243451463792</v>
      </c>
      <c r="G14" s="487">
        <v>29459250</v>
      </c>
      <c r="H14" s="489">
        <v>45.391756548536208</v>
      </c>
    </row>
    <row r="15" spans="3:18" ht="17.100000000000001" customHeight="1">
      <c r="C15" s="508" t="s">
        <v>3786</v>
      </c>
      <c r="D15" s="487">
        <v>6000000</v>
      </c>
      <c r="E15" s="487">
        <v>963000</v>
      </c>
      <c r="F15" s="488">
        <v>16.05</v>
      </c>
      <c r="G15" s="487">
        <v>5037000</v>
      </c>
      <c r="H15" s="489">
        <v>83.95</v>
      </c>
    </row>
    <row r="16" spans="3:18" ht="17.100000000000001" customHeight="1">
      <c r="C16" s="508" t="s">
        <v>3791</v>
      </c>
      <c r="D16" s="487">
        <v>30000000</v>
      </c>
      <c r="E16" s="487">
        <v>12006500</v>
      </c>
      <c r="F16" s="488">
        <v>40.021666666666668</v>
      </c>
      <c r="G16" s="487">
        <v>17993500</v>
      </c>
      <c r="H16" s="489">
        <v>59.978333333333332</v>
      </c>
    </row>
    <row r="17" spans="3:21" ht="17.100000000000001" customHeight="1">
      <c r="C17" s="508" t="s">
        <v>3776</v>
      </c>
      <c r="D17" s="487">
        <v>25200000</v>
      </c>
      <c r="E17" s="487">
        <v>9000000</v>
      </c>
      <c r="F17" s="488">
        <v>35.714285714285715</v>
      </c>
      <c r="G17" s="487">
        <v>16200000</v>
      </c>
      <c r="H17" s="489">
        <v>64.285714285714292</v>
      </c>
    </row>
    <row r="18" spans="3:21" ht="17.100000000000001" customHeight="1">
      <c r="C18" s="508" t="s">
        <v>3778</v>
      </c>
      <c r="D18" s="487">
        <v>6000000</v>
      </c>
      <c r="E18" s="487">
        <v>0</v>
      </c>
      <c r="F18" s="488">
        <v>0</v>
      </c>
      <c r="G18" s="487">
        <v>6000000</v>
      </c>
      <c r="H18" s="489">
        <v>100</v>
      </c>
    </row>
    <row r="19" spans="3:21" ht="17.100000000000001" customHeight="1">
      <c r="C19" s="508" t="s">
        <v>3777</v>
      </c>
      <c r="D19" s="487">
        <v>253324000</v>
      </c>
      <c r="E19" s="487">
        <v>153301600</v>
      </c>
      <c r="F19" s="488">
        <v>60.516019011226732</v>
      </c>
      <c r="G19" s="487">
        <v>100022400</v>
      </c>
      <c r="H19" s="489">
        <v>39.483980988773268</v>
      </c>
      <c r="I19" s="477"/>
      <c r="J19" s="161"/>
    </row>
    <row r="20" spans="3:21" ht="17.100000000000001" customHeight="1">
      <c r="C20" s="508" t="s">
        <v>505</v>
      </c>
      <c r="D20" s="487">
        <v>1500000</v>
      </c>
      <c r="E20" s="487">
        <v>0</v>
      </c>
      <c r="F20" s="488">
        <v>0</v>
      </c>
      <c r="G20" s="487">
        <v>1500000</v>
      </c>
      <c r="H20" s="489">
        <v>100</v>
      </c>
    </row>
    <row r="21" spans="3:21" ht="17.100000000000001" customHeight="1">
      <c r="C21" s="510" t="s">
        <v>3792</v>
      </c>
      <c r="D21" s="501">
        <v>247816000</v>
      </c>
      <c r="E21" s="501">
        <v>155256590</v>
      </c>
      <c r="F21" s="502">
        <v>62.649945927623719</v>
      </c>
      <c r="G21" s="501">
        <v>92559410</v>
      </c>
      <c r="H21" s="503">
        <v>37.350054072376281</v>
      </c>
    </row>
    <row r="22" spans="3:21" ht="17.100000000000001" customHeight="1">
      <c r="C22" s="508" t="s">
        <v>3773</v>
      </c>
      <c r="D22" s="487">
        <v>71456000</v>
      </c>
      <c r="E22" s="487">
        <v>10438550</v>
      </c>
      <c r="F22" s="488">
        <v>14.60836038961039</v>
      </c>
      <c r="G22" s="487">
        <v>61017450</v>
      </c>
      <c r="H22" s="489">
        <v>85.391639610389618</v>
      </c>
      <c r="U22" s="161"/>
    </row>
    <row r="23" spans="3:21" ht="17.100000000000001" customHeight="1">
      <c r="C23" s="508" t="s">
        <v>3786</v>
      </c>
      <c r="D23" s="487">
        <v>5000000</v>
      </c>
      <c r="E23" s="487">
        <v>4262850</v>
      </c>
      <c r="F23" s="488">
        <v>85.257000000000005</v>
      </c>
      <c r="G23" s="487">
        <v>737150</v>
      </c>
      <c r="H23" s="489">
        <v>14.743</v>
      </c>
      <c r="U23" s="161"/>
    </row>
    <row r="24" spans="3:21" ht="17.100000000000001" customHeight="1">
      <c r="C24" s="508" t="s">
        <v>3791</v>
      </c>
      <c r="D24" s="487">
        <v>15000000</v>
      </c>
      <c r="E24" s="487">
        <v>2453500</v>
      </c>
      <c r="F24" s="488">
        <v>16.356666666666666</v>
      </c>
      <c r="G24" s="487">
        <v>12546500</v>
      </c>
      <c r="H24" s="489">
        <v>83.643333333333331</v>
      </c>
    </row>
    <row r="25" spans="3:21" ht="17.100000000000001" customHeight="1">
      <c r="C25" s="508" t="s">
        <v>3776</v>
      </c>
      <c r="D25" s="487">
        <v>16200000</v>
      </c>
      <c r="E25" s="487">
        <v>6300000</v>
      </c>
      <c r="F25" s="488">
        <v>38.888888888888893</v>
      </c>
      <c r="G25" s="487">
        <v>9900000</v>
      </c>
      <c r="H25" s="489">
        <v>61.111111111111114</v>
      </c>
    </row>
    <row r="26" spans="3:21" ht="17.100000000000001" customHeight="1">
      <c r="C26" s="508" t="s">
        <v>3778</v>
      </c>
      <c r="D26" s="487">
        <v>2000000</v>
      </c>
      <c r="E26" s="487">
        <v>365000</v>
      </c>
      <c r="F26" s="488">
        <v>18.25</v>
      </c>
      <c r="G26" s="487">
        <v>1635000</v>
      </c>
      <c r="H26" s="489">
        <v>81.75</v>
      </c>
    </row>
    <row r="27" spans="3:21" ht="17.100000000000001" customHeight="1">
      <c r="C27" s="508" t="s">
        <v>3777</v>
      </c>
      <c r="D27" s="487">
        <v>138160000</v>
      </c>
      <c r="E27" s="487">
        <v>131436690</v>
      </c>
      <c r="F27" s="488">
        <v>95.133678343949043</v>
      </c>
      <c r="G27" s="487">
        <v>6723310</v>
      </c>
      <c r="H27" s="489">
        <v>4.866321656050955</v>
      </c>
    </row>
    <row r="28" spans="3:21" ht="17.100000000000001" customHeight="1">
      <c r="C28" s="510" t="s">
        <v>3806</v>
      </c>
      <c r="D28" s="501">
        <v>51560000</v>
      </c>
      <c r="E28" s="501">
        <v>0</v>
      </c>
      <c r="F28" s="502">
        <v>0</v>
      </c>
      <c r="G28" s="501">
        <v>51560000</v>
      </c>
      <c r="H28" s="503">
        <v>100</v>
      </c>
    </row>
    <row r="29" spans="3:21" ht="17.100000000000001" customHeight="1">
      <c r="C29" s="508" t="s">
        <v>3773</v>
      </c>
      <c r="D29" s="487">
        <v>20830000</v>
      </c>
      <c r="E29" s="487">
        <v>0</v>
      </c>
      <c r="F29" s="488">
        <v>0</v>
      </c>
      <c r="G29" s="487">
        <v>20830000</v>
      </c>
      <c r="H29" s="489">
        <v>100</v>
      </c>
    </row>
    <row r="30" spans="3:21" ht="17.100000000000001" customHeight="1">
      <c r="C30" s="508" t="s">
        <v>3786</v>
      </c>
      <c r="D30" s="487">
        <v>500000</v>
      </c>
      <c r="E30" s="487">
        <v>0</v>
      </c>
      <c r="F30" s="488">
        <v>0</v>
      </c>
      <c r="G30" s="487">
        <v>500000</v>
      </c>
      <c r="H30" s="489">
        <v>100</v>
      </c>
    </row>
    <row r="31" spans="3:21" ht="17.100000000000001" customHeight="1">
      <c r="C31" s="508" t="s">
        <v>3776</v>
      </c>
      <c r="D31" s="487">
        <v>7200000</v>
      </c>
      <c r="E31" s="487">
        <v>0</v>
      </c>
      <c r="F31" s="488">
        <v>0</v>
      </c>
      <c r="G31" s="487">
        <v>7200000</v>
      </c>
      <c r="H31" s="489">
        <v>100</v>
      </c>
    </row>
    <row r="32" spans="3:21" ht="17.100000000000001" customHeight="1">
      <c r="C32" s="508" t="s">
        <v>3777</v>
      </c>
      <c r="D32" s="487">
        <v>23030000</v>
      </c>
      <c r="E32" s="487">
        <v>0</v>
      </c>
      <c r="F32" s="488">
        <v>0</v>
      </c>
      <c r="G32" s="487">
        <v>23030000</v>
      </c>
      <c r="H32" s="489">
        <v>100</v>
      </c>
    </row>
    <row r="33" spans="3:15">
      <c r="C33" s="494" t="s">
        <v>531</v>
      </c>
      <c r="D33" s="495">
        <v>135100000</v>
      </c>
      <c r="E33" s="495">
        <v>81601860</v>
      </c>
      <c r="F33" s="496">
        <v>60.40108068097706</v>
      </c>
      <c r="G33" s="495">
        <v>53498140</v>
      </c>
      <c r="H33" s="497">
        <v>39.598919319022947</v>
      </c>
    </row>
    <row r="34" spans="3:15" ht="17.100000000000001" customHeight="1">
      <c r="C34" s="504" t="s">
        <v>3783</v>
      </c>
      <c r="D34" s="487">
        <v>135100000</v>
      </c>
      <c r="E34" s="487">
        <v>81601860</v>
      </c>
      <c r="F34" s="488">
        <v>60.40108068097706</v>
      </c>
      <c r="G34" s="487">
        <v>53498140</v>
      </c>
      <c r="H34" s="489">
        <v>39.598919319022947</v>
      </c>
      <c r="O34" s="161"/>
    </row>
    <row r="35" spans="3:15">
      <c r="C35" s="509" t="s">
        <v>3793</v>
      </c>
      <c r="D35" s="498">
        <v>135100000</v>
      </c>
      <c r="E35" s="498">
        <v>81601860</v>
      </c>
      <c r="F35" s="499">
        <v>60.40108068097706</v>
      </c>
      <c r="G35" s="498">
        <v>53498140</v>
      </c>
      <c r="H35" s="500">
        <v>39.598919319022947</v>
      </c>
    </row>
    <row r="36" spans="3:15" ht="17.100000000000001" customHeight="1">
      <c r="C36" s="510" t="s">
        <v>3794</v>
      </c>
      <c r="D36" s="501">
        <v>135100000</v>
      </c>
      <c r="E36" s="501">
        <v>81601860</v>
      </c>
      <c r="F36" s="502">
        <v>60.40108068097706</v>
      </c>
      <c r="G36" s="501">
        <v>53498140</v>
      </c>
      <c r="H36" s="503">
        <v>39.598919319022947</v>
      </c>
    </row>
    <row r="37" spans="3:15" ht="17.100000000000001" customHeight="1">
      <c r="C37" s="508" t="s">
        <v>3773</v>
      </c>
      <c r="D37" s="487">
        <v>13500000</v>
      </c>
      <c r="E37" s="487">
        <v>13489250</v>
      </c>
      <c r="F37" s="488">
        <v>99.920370370370364</v>
      </c>
      <c r="G37" s="487">
        <v>10750</v>
      </c>
      <c r="H37" s="489">
        <v>7.962962962962962E-2</v>
      </c>
    </row>
    <row r="38" spans="3:15" ht="17.100000000000001" customHeight="1">
      <c r="C38" s="508" t="s">
        <v>3786</v>
      </c>
      <c r="D38" s="487">
        <v>8884000</v>
      </c>
      <c r="E38" s="487">
        <v>0</v>
      </c>
      <c r="F38" s="488">
        <v>0</v>
      </c>
      <c r="G38" s="487">
        <v>8884000</v>
      </c>
      <c r="H38" s="489">
        <v>100</v>
      </c>
    </row>
    <row r="39" spans="3:15" ht="17.100000000000001" customHeight="1">
      <c r="C39" s="508" t="s">
        <v>3776</v>
      </c>
      <c r="D39" s="487">
        <v>15300000</v>
      </c>
      <c r="E39" s="487">
        <v>7200000</v>
      </c>
      <c r="F39" s="488">
        <v>47.058823529411761</v>
      </c>
      <c r="G39" s="487">
        <v>8100000</v>
      </c>
      <c r="H39" s="489">
        <v>52.941176470588239</v>
      </c>
    </row>
    <row r="40" spans="3:15" ht="17.100000000000001" customHeight="1">
      <c r="C40" s="508" t="s">
        <v>3777</v>
      </c>
      <c r="D40" s="487">
        <v>97416000</v>
      </c>
      <c r="E40" s="487">
        <v>60912610</v>
      </c>
      <c r="F40" s="488">
        <v>62.528342366757009</v>
      </c>
      <c r="G40" s="487">
        <v>36503390</v>
      </c>
      <c r="H40" s="489">
        <v>37.471657633242998</v>
      </c>
    </row>
    <row r="41" spans="3:15" ht="17.100000000000001" customHeight="1">
      <c r="C41" s="490" t="s">
        <v>524</v>
      </c>
      <c r="D41" s="491">
        <v>178600000</v>
      </c>
      <c r="E41" s="491">
        <v>106853585</v>
      </c>
      <c r="F41" s="492">
        <v>59.828435050391938</v>
      </c>
      <c r="G41" s="491">
        <v>71746415</v>
      </c>
      <c r="H41" s="493">
        <v>40.171564949608062</v>
      </c>
    </row>
    <row r="42" spans="3:15">
      <c r="C42" s="494" t="s">
        <v>525</v>
      </c>
      <c r="D42" s="495">
        <v>124100000</v>
      </c>
      <c r="E42" s="495">
        <v>76338000</v>
      </c>
      <c r="F42" s="496">
        <v>61.513295729250608</v>
      </c>
      <c r="G42" s="495">
        <v>47762000</v>
      </c>
      <c r="H42" s="497">
        <v>38.486704270749392</v>
      </c>
    </row>
    <row r="43" spans="3:15" ht="17.100000000000001" customHeight="1">
      <c r="C43" s="504" t="s">
        <v>3783</v>
      </c>
      <c r="D43" s="487">
        <v>124100000</v>
      </c>
      <c r="E43" s="487">
        <v>76338000</v>
      </c>
      <c r="F43" s="488">
        <v>61.513295729250608</v>
      </c>
      <c r="G43" s="487">
        <v>47762000</v>
      </c>
      <c r="H43" s="489">
        <v>38.486704270749392</v>
      </c>
    </row>
    <row r="44" spans="3:15">
      <c r="C44" s="509" t="s">
        <v>3784</v>
      </c>
      <c r="D44" s="498">
        <v>124100000</v>
      </c>
      <c r="E44" s="498">
        <v>76338000</v>
      </c>
      <c r="F44" s="499">
        <v>61.513295729250608</v>
      </c>
      <c r="G44" s="498">
        <v>47762000</v>
      </c>
      <c r="H44" s="500">
        <v>38.486704270749392</v>
      </c>
    </row>
    <row r="45" spans="3:15" ht="17.100000000000001" customHeight="1">
      <c r="C45" s="510" t="s">
        <v>3785</v>
      </c>
      <c r="D45" s="501">
        <v>83135000</v>
      </c>
      <c r="E45" s="501">
        <v>51467000</v>
      </c>
      <c r="F45" s="502">
        <v>61.907740422204846</v>
      </c>
      <c r="G45" s="501">
        <v>31668000</v>
      </c>
      <c r="H45" s="503">
        <v>38.092259577795154</v>
      </c>
    </row>
    <row r="46" spans="3:15" ht="17.100000000000001" customHeight="1">
      <c r="C46" s="508" t="s">
        <v>3773</v>
      </c>
      <c r="D46" s="487">
        <v>19875000</v>
      </c>
      <c r="E46" s="487">
        <v>10381000</v>
      </c>
      <c r="F46" s="488">
        <v>52.231446540880498</v>
      </c>
      <c r="G46" s="487">
        <v>9494000</v>
      </c>
      <c r="H46" s="489">
        <v>47.768553459119495</v>
      </c>
    </row>
    <row r="47" spans="3:15" ht="17.100000000000001" customHeight="1">
      <c r="C47" s="508" t="s">
        <v>3776</v>
      </c>
      <c r="D47" s="487">
        <v>20000000</v>
      </c>
      <c r="E47" s="487">
        <v>6300000</v>
      </c>
      <c r="F47" s="488">
        <v>31.5</v>
      </c>
      <c r="G47" s="487">
        <v>13700000</v>
      </c>
      <c r="H47" s="489">
        <v>68.5</v>
      </c>
    </row>
    <row r="48" spans="3:15" ht="17.100000000000001" customHeight="1">
      <c r="C48" s="508" t="s">
        <v>3777</v>
      </c>
      <c r="D48" s="487">
        <v>43260000</v>
      </c>
      <c r="E48" s="487">
        <v>34786000</v>
      </c>
      <c r="F48" s="488">
        <v>80.411465557096633</v>
      </c>
      <c r="G48" s="487">
        <v>8474000</v>
      </c>
      <c r="H48" s="489">
        <v>19.588534442903374</v>
      </c>
    </row>
    <row r="49" spans="3:10" ht="17.100000000000001" customHeight="1">
      <c r="C49" s="510" t="s">
        <v>3787</v>
      </c>
      <c r="D49" s="501">
        <v>40965000</v>
      </c>
      <c r="E49" s="501">
        <v>24871000</v>
      </c>
      <c r="F49" s="502">
        <v>60.712803612840226</v>
      </c>
      <c r="G49" s="501">
        <v>16094000</v>
      </c>
      <c r="H49" s="503">
        <v>39.287196387159774</v>
      </c>
      <c r="I49" s="477"/>
      <c r="J49" s="161"/>
    </row>
    <row r="50" spans="3:10" ht="17.100000000000001" customHeight="1">
      <c r="C50" s="508" t="s">
        <v>3773</v>
      </c>
      <c r="D50" s="487">
        <v>19500000</v>
      </c>
      <c r="E50" s="487">
        <v>6511000</v>
      </c>
      <c r="F50" s="488">
        <v>33.389743589743595</v>
      </c>
      <c r="G50" s="487">
        <v>12989000</v>
      </c>
      <c r="H50" s="489">
        <v>66.610256410256412</v>
      </c>
    </row>
    <row r="51" spans="3:10" ht="17.100000000000001" customHeight="1">
      <c r="C51" s="508" t="s">
        <v>3776</v>
      </c>
      <c r="D51" s="487">
        <v>4000000</v>
      </c>
      <c r="E51" s="487">
        <v>900000</v>
      </c>
      <c r="F51" s="488">
        <v>22.5</v>
      </c>
      <c r="G51" s="487">
        <v>3100000</v>
      </c>
      <c r="H51" s="489">
        <v>77.5</v>
      </c>
      <c r="I51" s="477"/>
    </row>
    <row r="52" spans="3:10" ht="17.100000000000001" customHeight="1">
      <c r="C52" s="508" t="s">
        <v>3777</v>
      </c>
      <c r="D52" s="487">
        <v>17465000</v>
      </c>
      <c r="E52" s="487">
        <v>17460000</v>
      </c>
      <c r="F52" s="488">
        <v>99.971371314056682</v>
      </c>
      <c r="G52" s="487">
        <v>5000</v>
      </c>
      <c r="H52" s="489">
        <v>2.8628685943315198E-2</v>
      </c>
    </row>
    <row r="53" spans="3:10">
      <c r="C53" s="494" t="s">
        <v>527</v>
      </c>
      <c r="D53" s="495">
        <v>54500000</v>
      </c>
      <c r="E53" s="495">
        <v>30515585</v>
      </c>
      <c r="F53" s="496">
        <v>55.991899082568807</v>
      </c>
      <c r="G53" s="495">
        <v>23984415</v>
      </c>
      <c r="H53" s="497">
        <v>44.008100917431193</v>
      </c>
    </row>
    <row r="54" spans="3:10" ht="17.100000000000001" customHeight="1">
      <c r="C54" s="504" t="s">
        <v>3783</v>
      </c>
      <c r="D54" s="487">
        <v>54500000</v>
      </c>
      <c r="E54" s="487">
        <v>30515585</v>
      </c>
      <c r="F54" s="488">
        <v>55.991899082568807</v>
      </c>
      <c r="G54" s="487">
        <v>23984415</v>
      </c>
      <c r="H54" s="489">
        <v>44.008100917431193</v>
      </c>
    </row>
    <row r="55" spans="3:10">
      <c r="C55" s="509" t="s">
        <v>3788</v>
      </c>
      <c r="D55" s="498">
        <v>54500000</v>
      </c>
      <c r="E55" s="498">
        <v>30515585</v>
      </c>
      <c r="F55" s="499">
        <v>55.991899082568807</v>
      </c>
      <c r="G55" s="498">
        <v>23984415</v>
      </c>
      <c r="H55" s="500">
        <v>44.008100917431193</v>
      </c>
    </row>
    <row r="56" spans="3:10" ht="17.100000000000001" customHeight="1">
      <c r="C56" s="510" t="s">
        <v>3805</v>
      </c>
      <c r="D56" s="501">
        <v>54500000</v>
      </c>
      <c r="E56" s="501">
        <v>30515585</v>
      </c>
      <c r="F56" s="502">
        <v>55.991899082568807</v>
      </c>
      <c r="G56" s="501">
        <v>23984415</v>
      </c>
      <c r="H56" s="503">
        <v>44.008100917431193</v>
      </c>
    </row>
    <row r="57" spans="3:10" ht="17.100000000000001" customHeight="1">
      <c r="C57" s="508" t="s">
        <v>3773</v>
      </c>
      <c r="D57" s="487">
        <v>21250000</v>
      </c>
      <c r="E57" s="487">
        <v>4620000</v>
      </c>
      <c r="F57" s="488">
        <v>21.741176470588236</v>
      </c>
      <c r="G57" s="487">
        <v>16630000</v>
      </c>
      <c r="H57" s="489">
        <v>78.258823529411771</v>
      </c>
    </row>
    <row r="58" spans="3:10" ht="17.100000000000001" customHeight="1">
      <c r="C58" s="508" t="s">
        <v>3777</v>
      </c>
      <c r="D58" s="487">
        <v>33250000</v>
      </c>
      <c r="E58" s="487">
        <v>25895585</v>
      </c>
      <c r="F58" s="488">
        <v>77.881458646616537</v>
      </c>
      <c r="G58" s="487">
        <v>7354415</v>
      </c>
      <c r="H58" s="489">
        <v>22.11854135338346</v>
      </c>
    </row>
    <row r="59" spans="3:10" ht="17.100000000000001" customHeight="1">
      <c r="C59" s="504" t="s">
        <v>3796</v>
      </c>
      <c r="D59" s="487">
        <v>12875804000</v>
      </c>
      <c r="E59" s="487">
        <v>7649059591</v>
      </c>
      <c r="F59" s="488">
        <v>59.40646184890668</v>
      </c>
      <c r="G59" s="487">
        <v>5226744409</v>
      </c>
      <c r="H59" s="489">
        <v>40.59353815109332</v>
      </c>
      <c r="I59" s="477"/>
      <c r="J59" s="161"/>
    </row>
    <row r="60" spans="3:10" ht="17.100000000000001" customHeight="1">
      <c r="C60" s="504" t="s">
        <v>3797</v>
      </c>
      <c r="D60" s="487">
        <v>4293304000</v>
      </c>
      <c r="E60" s="487">
        <v>2709414993</v>
      </c>
      <c r="F60" s="488">
        <v>63.107923245127765</v>
      </c>
      <c r="G60" s="487">
        <v>1583889007</v>
      </c>
      <c r="H60" s="489">
        <v>36.892076754872235</v>
      </c>
    </row>
    <row r="61" spans="3:10" ht="17.100000000000001" customHeight="1">
      <c r="C61" s="490" t="s">
        <v>528</v>
      </c>
      <c r="D61" s="491">
        <v>17357000</v>
      </c>
      <c r="E61" s="491">
        <v>13647358</v>
      </c>
      <c r="F61" s="492">
        <v>78.627401048568302</v>
      </c>
      <c r="G61" s="491">
        <v>3709642</v>
      </c>
      <c r="H61" s="493">
        <v>21.372598951431698</v>
      </c>
    </row>
    <row r="62" spans="3:10">
      <c r="C62" s="494" t="s">
        <v>531</v>
      </c>
      <c r="D62" s="495">
        <v>17357000</v>
      </c>
      <c r="E62" s="495">
        <v>13647358</v>
      </c>
      <c r="F62" s="496">
        <v>78.627401048568302</v>
      </c>
      <c r="G62" s="495">
        <v>3709642</v>
      </c>
      <c r="H62" s="497">
        <v>21.372598951431698</v>
      </c>
    </row>
    <row r="63" spans="3:10" ht="17.100000000000001" customHeight="1">
      <c r="C63" s="504" t="s">
        <v>3818</v>
      </c>
      <c r="D63" s="487">
        <v>17357000</v>
      </c>
      <c r="E63" s="487">
        <v>13647358</v>
      </c>
      <c r="F63" s="488">
        <v>78.627401048568302</v>
      </c>
      <c r="G63" s="487">
        <v>3709642</v>
      </c>
      <c r="H63" s="489">
        <v>21.372598951431698</v>
      </c>
    </row>
    <row r="64" spans="3:10">
      <c r="C64" s="509" t="s">
        <v>3817</v>
      </c>
      <c r="D64" s="498">
        <v>17357000</v>
      </c>
      <c r="E64" s="498">
        <v>13647358</v>
      </c>
      <c r="F64" s="499">
        <v>78.627401048568302</v>
      </c>
      <c r="G64" s="498">
        <v>3709642</v>
      </c>
      <c r="H64" s="500">
        <v>21.372598951431698</v>
      </c>
    </row>
    <row r="65" spans="3:8" ht="17.100000000000001" customHeight="1">
      <c r="C65" s="510" t="s">
        <v>3822</v>
      </c>
      <c r="D65" s="501">
        <v>17357000</v>
      </c>
      <c r="E65" s="501">
        <v>13647358</v>
      </c>
      <c r="F65" s="502">
        <v>78.627401048568302</v>
      </c>
      <c r="G65" s="501">
        <v>3709642</v>
      </c>
      <c r="H65" s="503">
        <v>21.372598951431698</v>
      </c>
    </row>
    <row r="66" spans="3:8" ht="17.100000000000001" customHeight="1">
      <c r="C66" s="508" t="s">
        <v>3773</v>
      </c>
      <c r="D66" s="487">
        <v>4000000</v>
      </c>
      <c r="E66" s="487">
        <v>3999200</v>
      </c>
      <c r="F66" s="488">
        <v>99.98</v>
      </c>
      <c r="G66" s="487">
        <v>800</v>
      </c>
      <c r="H66" s="489">
        <v>0.02</v>
      </c>
    </row>
    <row r="67" spans="3:8" ht="17.100000000000001" customHeight="1">
      <c r="C67" s="508" t="s">
        <v>3786</v>
      </c>
      <c r="D67" s="487">
        <v>4298000</v>
      </c>
      <c r="E67" s="487">
        <v>4297458</v>
      </c>
      <c r="F67" s="488">
        <v>99.987389483480698</v>
      </c>
      <c r="G67" s="487">
        <v>542</v>
      </c>
      <c r="H67" s="489">
        <v>1.2610516519311306E-2</v>
      </c>
    </row>
    <row r="68" spans="3:8" ht="17.100000000000001" customHeight="1">
      <c r="C68" s="508" t="s">
        <v>3777</v>
      </c>
      <c r="D68" s="487">
        <v>9059000</v>
      </c>
      <c r="E68" s="487">
        <v>5350700</v>
      </c>
      <c r="F68" s="488">
        <v>59.065018213930898</v>
      </c>
      <c r="G68" s="487">
        <v>3708300</v>
      </c>
      <c r="H68" s="489">
        <v>40.934981786069102</v>
      </c>
    </row>
    <row r="69" spans="3:8" ht="17.100000000000001" customHeight="1">
      <c r="C69" s="490" t="s">
        <v>524</v>
      </c>
      <c r="D69" s="491">
        <v>193769000</v>
      </c>
      <c r="E69" s="491">
        <v>139623590</v>
      </c>
      <c r="F69" s="492">
        <v>72.056722179502401</v>
      </c>
      <c r="G69" s="491">
        <v>54145410</v>
      </c>
      <c r="H69" s="493">
        <v>27.943277820497602</v>
      </c>
    </row>
    <row r="70" spans="3:8">
      <c r="C70" s="494" t="s">
        <v>525</v>
      </c>
      <c r="D70" s="495">
        <v>83506000</v>
      </c>
      <c r="E70" s="495">
        <v>80472590</v>
      </c>
      <c r="F70" s="496">
        <v>96.367434675352669</v>
      </c>
      <c r="G70" s="495">
        <v>3033410</v>
      </c>
      <c r="H70" s="497">
        <v>3.6325653246473308</v>
      </c>
    </row>
    <row r="71" spans="3:8" ht="17.100000000000001" customHeight="1">
      <c r="C71" s="504" t="s">
        <v>3818</v>
      </c>
      <c r="D71" s="487">
        <v>83506000</v>
      </c>
      <c r="E71" s="487">
        <v>80472590</v>
      </c>
      <c r="F71" s="488">
        <v>96.367434675352669</v>
      </c>
      <c r="G71" s="487">
        <v>3033410</v>
      </c>
      <c r="H71" s="489">
        <v>3.6325653246473308</v>
      </c>
    </row>
    <row r="72" spans="3:8">
      <c r="C72" s="509" t="s">
        <v>3817</v>
      </c>
      <c r="D72" s="498">
        <v>83506000</v>
      </c>
      <c r="E72" s="498">
        <v>80472590</v>
      </c>
      <c r="F72" s="499">
        <v>96.367434675352669</v>
      </c>
      <c r="G72" s="498">
        <v>3033410</v>
      </c>
      <c r="H72" s="500">
        <v>3.6325653246473308</v>
      </c>
    </row>
    <row r="73" spans="3:8" ht="17.100000000000001" customHeight="1">
      <c r="C73" s="510" t="s">
        <v>3823</v>
      </c>
      <c r="D73" s="501">
        <v>83506000</v>
      </c>
      <c r="E73" s="501">
        <v>80472590</v>
      </c>
      <c r="F73" s="502">
        <v>96.367434675352669</v>
      </c>
      <c r="G73" s="501">
        <v>3033410</v>
      </c>
      <c r="H73" s="503">
        <v>3.6325653246473308</v>
      </c>
    </row>
    <row r="74" spans="3:8" ht="17.100000000000001" customHeight="1">
      <c r="C74" s="508" t="s">
        <v>3773</v>
      </c>
      <c r="D74" s="487">
        <v>12550000</v>
      </c>
      <c r="E74" s="487">
        <v>12517500</v>
      </c>
      <c r="F74" s="488">
        <v>99.741035856573703</v>
      </c>
      <c r="G74" s="487">
        <v>32500</v>
      </c>
      <c r="H74" s="489">
        <v>0.25896414342629481</v>
      </c>
    </row>
    <row r="75" spans="3:8" ht="17.100000000000001" customHeight="1">
      <c r="C75" s="508" t="s">
        <v>3786</v>
      </c>
      <c r="D75" s="487">
        <v>1192000</v>
      </c>
      <c r="E75" s="487">
        <v>1191418</v>
      </c>
      <c r="F75" s="488">
        <v>99.951174496644285</v>
      </c>
      <c r="G75" s="487">
        <v>582</v>
      </c>
      <c r="H75" s="489">
        <v>4.8825503355704701E-2</v>
      </c>
    </row>
    <row r="76" spans="3:8" ht="17.100000000000001" customHeight="1">
      <c r="C76" s="508" t="s">
        <v>3776</v>
      </c>
      <c r="D76" s="487">
        <v>9000000</v>
      </c>
      <c r="E76" s="487">
        <v>6000000</v>
      </c>
      <c r="F76" s="488">
        <v>66.666666666666657</v>
      </c>
      <c r="G76" s="487">
        <v>3000000</v>
      </c>
      <c r="H76" s="489">
        <v>33.333333333333329</v>
      </c>
    </row>
    <row r="77" spans="3:8" ht="17.100000000000001" customHeight="1">
      <c r="C77" s="508" t="s">
        <v>3777</v>
      </c>
      <c r="D77" s="487">
        <v>60764000</v>
      </c>
      <c r="E77" s="487">
        <v>60763672</v>
      </c>
      <c r="F77" s="488">
        <v>99.999460206701343</v>
      </c>
      <c r="G77" s="487">
        <v>328</v>
      </c>
      <c r="H77" s="489">
        <v>5.3979329866368244E-4</v>
      </c>
    </row>
    <row r="78" spans="3:8">
      <c r="C78" s="494" t="s">
        <v>527</v>
      </c>
      <c r="D78" s="495">
        <v>110263000</v>
      </c>
      <c r="E78" s="495">
        <v>59151000</v>
      </c>
      <c r="F78" s="496">
        <v>53.64537514850857</v>
      </c>
      <c r="G78" s="495">
        <v>51112000</v>
      </c>
      <c r="H78" s="497">
        <v>46.35462485149143</v>
      </c>
    </row>
    <row r="79" spans="3:8" ht="17.100000000000001" customHeight="1">
      <c r="C79" s="504" t="s">
        <v>3818</v>
      </c>
      <c r="D79" s="487">
        <v>110263000</v>
      </c>
      <c r="E79" s="487">
        <v>59151000</v>
      </c>
      <c r="F79" s="488">
        <v>53.64537514850857</v>
      </c>
      <c r="G79" s="487">
        <v>51112000</v>
      </c>
      <c r="H79" s="489">
        <v>46.35462485149143</v>
      </c>
    </row>
    <row r="80" spans="3:8">
      <c r="C80" s="509" t="s">
        <v>3817</v>
      </c>
      <c r="D80" s="498">
        <v>110263000</v>
      </c>
      <c r="E80" s="498">
        <v>59151000</v>
      </c>
      <c r="F80" s="499">
        <v>53.64537514850857</v>
      </c>
      <c r="G80" s="498">
        <v>51112000</v>
      </c>
      <c r="H80" s="500">
        <v>46.35462485149143</v>
      </c>
    </row>
    <row r="81" spans="3:8" ht="17.100000000000001" customHeight="1">
      <c r="C81" s="510" t="s">
        <v>3825</v>
      </c>
      <c r="D81" s="501">
        <v>110263000</v>
      </c>
      <c r="E81" s="501">
        <v>59151000</v>
      </c>
      <c r="F81" s="502">
        <v>53.64537514850857</v>
      </c>
      <c r="G81" s="501">
        <v>51112000</v>
      </c>
      <c r="H81" s="503">
        <v>46.35462485149143</v>
      </c>
    </row>
    <row r="82" spans="3:8" ht="17.100000000000001" customHeight="1">
      <c r="C82" s="508" t="s">
        <v>3773</v>
      </c>
      <c r="D82" s="487">
        <v>17550000</v>
      </c>
      <c r="E82" s="487">
        <v>9469000</v>
      </c>
      <c r="F82" s="488">
        <v>53.954415954415957</v>
      </c>
      <c r="G82" s="487">
        <v>8081000</v>
      </c>
      <c r="H82" s="489">
        <v>46.04558404558405</v>
      </c>
    </row>
    <row r="83" spans="3:8" ht="17.100000000000001" customHeight="1">
      <c r="C83" s="508" t="s">
        <v>3786</v>
      </c>
      <c r="D83" s="487">
        <v>27651000</v>
      </c>
      <c r="E83" s="487">
        <v>620000</v>
      </c>
      <c r="F83" s="488">
        <v>2.2422335539401832</v>
      </c>
      <c r="G83" s="487">
        <v>27031000</v>
      </c>
      <c r="H83" s="489">
        <v>97.757766446059819</v>
      </c>
    </row>
    <row r="84" spans="3:8" ht="17.100000000000001" customHeight="1">
      <c r="C84" s="508" t="s">
        <v>3776</v>
      </c>
      <c r="D84" s="487">
        <v>40000000</v>
      </c>
      <c r="E84" s="487">
        <v>24000000</v>
      </c>
      <c r="F84" s="488">
        <v>60</v>
      </c>
      <c r="G84" s="487">
        <v>16000000</v>
      </c>
      <c r="H84" s="489">
        <v>40</v>
      </c>
    </row>
    <row r="85" spans="3:8" ht="17.100000000000001" customHeight="1">
      <c r="C85" s="508" t="s">
        <v>3777</v>
      </c>
      <c r="D85" s="487">
        <v>25062000</v>
      </c>
      <c r="E85" s="487">
        <v>25062000</v>
      </c>
      <c r="F85" s="488">
        <v>100</v>
      </c>
      <c r="G85" s="487">
        <v>0</v>
      </c>
      <c r="H85" s="489">
        <v>0</v>
      </c>
    </row>
    <row r="86" spans="3:8" ht="17.100000000000001" customHeight="1">
      <c r="C86" s="490" t="s">
        <v>532</v>
      </c>
      <c r="D86" s="491">
        <v>463716000</v>
      </c>
      <c r="E86" s="491">
        <v>280902082</v>
      </c>
      <c r="F86" s="492">
        <v>60.576318695063357</v>
      </c>
      <c r="G86" s="491">
        <v>182813918</v>
      </c>
      <c r="H86" s="493">
        <v>39.423681304936643</v>
      </c>
    </row>
    <row r="87" spans="3:8">
      <c r="C87" s="494" t="s">
        <v>570</v>
      </c>
      <c r="D87" s="495">
        <v>169798000</v>
      </c>
      <c r="E87" s="495">
        <v>122390956</v>
      </c>
      <c r="F87" s="496">
        <v>72.080328390204826</v>
      </c>
      <c r="G87" s="495">
        <v>47407044</v>
      </c>
      <c r="H87" s="497">
        <v>27.919671609795166</v>
      </c>
    </row>
    <row r="88" spans="3:8" ht="17.100000000000001" customHeight="1">
      <c r="C88" s="504" t="s">
        <v>3850</v>
      </c>
      <c r="D88" s="487">
        <v>169798000</v>
      </c>
      <c r="E88" s="487">
        <v>122390956</v>
      </c>
      <c r="F88" s="488">
        <v>72.080328390204826</v>
      </c>
      <c r="G88" s="487">
        <v>47407044</v>
      </c>
      <c r="H88" s="489">
        <v>27.919671609795166</v>
      </c>
    </row>
    <row r="89" spans="3:8">
      <c r="C89" s="509" t="s">
        <v>3849</v>
      </c>
      <c r="D89" s="498">
        <v>119729000</v>
      </c>
      <c r="E89" s="498">
        <v>81542956</v>
      </c>
      <c r="F89" s="499">
        <v>68.106269993067684</v>
      </c>
      <c r="G89" s="498">
        <v>38186044</v>
      </c>
      <c r="H89" s="500">
        <v>31.893730006932326</v>
      </c>
    </row>
    <row r="90" spans="3:8" ht="17.100000000000001" customHeight="1">
      <c r="C90" s="510" t="s">
        <v>3801</v>
      </c>
      <c r="D90" s="501">
        <v>43789000</v>
      </c>
      <c r="E90" s="501">
        <v>10696028</v>
      </c>
      <c r="F90" s="502">
        <v>24.426289707460779</v>
      </c>
      <c r="G90" s="501">
        <v>33092972</v>
      </c>
      <c r="H90" s="503">
        <v>75.573710292539218</v>
      </c>
    </row>
    <row r="91" spans="3:8" ht="17.100000000000001" customHeight="1">
      <c r="C91" s="508" t="s">
        <v>3773</v>
      </c>
      <c r="D91" s="487">
        <v>23250000</v>
      </c>
      <c r="E91" s="487">
        <v>10196500</v>
      </c>
      <c r="F91" s="488">
        <v>43.855913978494627</v>
      </c>
      <c r="G91" s="487">
        <v>13053500</v>
      </c>
      <c r="H91" s="489">
        <v>56.14408602150538</v>
      </c>
    </row>
    <row r="92" spans="3:8" ht="17.100000000000001" customHeight="1">
      <c r="C92" s="508" t="s">
        <v>3786</v>
      </c>
      <c r="D92" s="487">
        <v>2000000</v>
      </c>
      <c r="E92" s="487">
        <v>499528</v>
      </c>
      <c r="F92" s="488">
        <v>24.976400000000002</v>
      </c>
      <c r="G92" s="487">
        <v>1500472</v>
      </c>
      <c r="H92" s="489">
        <v>75.023600000000002</v>
      </c>
    </row>
    <row r="93" spans="3:8" ht="17.100000000000001" customHeight="1">
      <c r="C93" s="508" t="s">
        <v>3777</v>
      </c>
      <c r="D93" s="487">
        <v>18539000</v>
      </c>
      <c r="E93" s="487">
        <v>0</v>
      </c>
      <c r="F93" s="488">
        <v>0</v>
      </c>
      <c r="G93" s="487">
        <v>18539000</v>
      </c>
      <c r="H93" s="489">
        <v>100</v>
      </c>
    </row>
    <row r="94" spans="3:8" ht="17.100000000000001" customHeight="1">
      <c r="C94" s="510" t="s">
        <v>3802</v>
      </c>
      <c r="D94" s="501">
        <v>75940000</v>
      </c>
      <c r="E94" s="501">
        <v>70846928</v>
      </c>
      <c r="F94" s="502">
        <v>93.293294706347112</v>
      </c>
      <c r="G94" s="501">
        <v>5093072</v>
      </c>
      <c r="H94" s="503">
        <v>6.7067052936528846</v>
      </c>
    </row>
    <row r="95" spans="3:8" ht="17.100000000000001" customHeight="1">
      <c r="C95" s="508" t="s">
        <v>3773</v>
      </c>
      <c r="D95" s="487">
        <v>13525000</v>
      </c>
      <c r="E95" s="487">
        <v>9519000</v>
      </c>
      <c r="F95" s="488">
        <v>70.380776340110913</v>
      </c>
      <c r="G95" s="487">
        <v>4006000</v>
      </c>
      <c r="H95" s="489">
        <v>29.619223659889094</v>
      </c>
    </row>
    <row r="96" spans="3:8" ht="17.100000000000001" customHeight="1">
      <c r="C96" s="508" t="s">
        <v>3786</v>
      </c>
      <c r="D96" s="487">
        <v>2000000</v>
      </c>
      <c r="E96" s="487">
        <v>913673</v>
      </c>
      <c r="F96" s="488">
        <v>45.68365</v>
      </c>
      <c r="G96" s="487">
        <v>1086327</v>
      </c>
      <c r="H96" s="489">
        <v>54.31635</v>
      </c>
    </row>
    <row r="97" spans="3:8" ht="17.100000000000001" customHeight="1">
      <c r="C97" s="508" t="s">
        <v>3777</v>
      </c>
      <c r="D97" s="487">
        <v>60415000</v>
      </c>
      <c r="E97" s="487">
        <v>60414255</v>
      </c>
      <c r="F97" s="488">
        <v>99.99876686253414</v>
      </c>
      <c r="G97" s="487">
        <v>745</v>
      </c>
      <c r="H97" s="489">
        <v>1.2331374658611273E-3</v>
      </c>
    </row>
    <row r="98" spans="3:8">
      <c r="C98" s="509" t="s">
        <v>3851</v>
      </c>
      <c r="D98" s="498">
        <v>50069000</v>
      </c>
      <c r="E98" s="498">
        <v>40848000</v>
      </c>
      <c r="F98" s="499">
        <v>81.583414887455305</v>
      </c>
      <c r="G98" s="498">
        <v>9221000</v>
      </c>
      <c r="H98" s="500">
        <v>18.416585112544688</v>
      </c>
    </row>
    <row r="99" spans="3:8" ht="17.100000000000001" customHeight="1">
      <c r="C99" s="510" t="s">
        <v>3852</v>
      </c>
      <c r="D99" s="501">
        <v>50069000</v>
      </c>
      <c r="E99" s="501">
        <v>40848000</v>
      </c>
      <c r="F99" s="502">
        <v>81.583414887455305</v>
      </c>
      <c r="G99" s="501">
        <v>9221000</v>
      </c>
      <c r="H99" s="503">
        <v>18.416585112544688</v>
      </c>
    </row>
    <row r="100" spans="3:8" ht="17.100000000000001" customHeight="1">
      <c r="C100" s="508" t="s">
        <v>3773</v>
      </c>
      <c r="D100" s="487">
        <v>17900000</v>
      </c>
      <c r="E100" s="487">
        <v>11269000</v>
      </c>
      <c r="F100" s="488">
        <v>62.955307262569839</v>
      </c>
      <c r="G100" s="487">
        <v>6631000</v>
      </c>
      <c r="H100" s="489">
        <v>37.044692737430168</v>
      </c>
    </row>
    <row r="101" spans="3:8" ht="17.100000000000001" customHeight="1">
      <c r="C101" s="508" t="s">
        <v>3786</v>
      </c>
      <c r="D101" s="487">
        <v>2000000</v>
      </c>
      <c r="E101" s="487">
        <v>0</v>
      </c>
      <c r="F101" s="488">
        <v>0</v>
      </c>
      <c r="G101" s="487">
        <v>2000000</v>
      </c>
      <c r="H101" s="489">
        <v>100</v>
      </c>
    </row>
    <row r="102" spans="3:8" ht="17.100000000000001" customHeight="1">
      <c r="C102" s="508" t="s">
        <v>3777</v>
      </c>
      <c r="D102" s="487">
        <v>30169000</v>
      </c>
      <c r="E102" s="487">
        <v>29579000</v>
      </c>
      <c r="F102" s="488">
        <v>98.044350160761056</v>
      </c>
      <c r="G102" s="487">
        <v>590000</v>
      </c>
      <c r="H102" s="489">
        <v>1.9556498392389539</v>
      </c>
    </row>
    <row r="103" spans="3:8">
      <c r="C103" s="494" t="s">
        <v>533</v>
      </c>
      <c r="D103" s="495">
        <v>293918000</v>
      </c>
      <c r="E103" s="495">
        <v>158511126</v>
      </c>
      <c r="F103" s="496">
        <v>53.930390789267754</v>
      </c>
      <c r="G103" s="495">
        <v>135406874</v>
      </c>
      <c r="H103" s="497">
        <v>46.069609210732246</v>
      </c>
    </row>
    <row r="104" spans="3:8" ht="17.100000000000001" customHeight="1">
      <c r="C104" s="504" t="s">
        <v>3816</v>
      </c>
      <c r="D104" s="487">
        <v>113346000</v>
      </c>
      <c r="E104" s="487">
        <v>31752750</v>
      </c>
      <c r="F104" s="488">
        <v>28.014001376316767</v>
      </c>
      <c r="G104" s="487">
        <v>81593250</v>
      </c>
      <c r="H104" s="489">
        <v>71.98599862368323</v>
      </c>
    </row>
    <row r="105" spans="3:8">
      <c r="C105" s="509" t="s">
        <v>3815</v>
      </c>
      <c r="D105" s="498">
        <v>113346000</v>
      </c>
      <c r="E105" s="498">
        <v>31752750</v>
      </c>
      <c r="F105" s="499">
        <v>28.014001376316767</v>
      </c>
      <c r="G105" s="498">
        <v>81593250</v>
      </c>
      <c r="H105" s="500">
        <v>71.98599862368323</v>
      </c>
    </row>
    <row r="106" spans="3:8" ht="17.100000000000001" customHeight="1">
      <c r="C106" s="510" t="s">
        <v>3814</v>
      </c>
      <c r="D106" s="501">
        <v>113346000</v>
      </c>
      <c r="E106" s="501">
        <v>31752750</v>
      </c>
      <c r="F106" s="502">
        <v>28.014001376316767</v>
      </c>
      <c r="G106" s="501">
        <v>81593250</v>
      </c>
      <c r="H106" s="503">
        <v>71.98599862368323</v>
      </c>
    </row>
    <row r="107" spans="3:8" ht="17.100000000000001" customHeight="1">
      <c r="C107" s="508" t="s">
        <v>3773</v>
      </c>
      <c r="D107" s="487">
        <v>12400000</v>
      </c>
      <c r="E107" s="487">
        <v>6915400</v>
      </c>
      <c r="F107" s="488">
        <v>55.769354838709674</v>
      </c>
      <c r="G107" s="487">
        <v>5484600</v>
      </c>
      <c r="H107" s="489">
        <v>44.230645161290319</v>
      </c>
    </row>
    <row r="108" spans="3:8" ht="17.100000000000001" customHeight="1">
      <c r="C108" s="508" t="s">
        <v>3791</v>
      </c>
      <c r="D108" s="487">
        <v>10000000</v>
      </c>
      <c r="E108" s="487">
        <v>5329750</v>
      </c>
      <c r="F108" s="488">
        <v>53.297499999999999</v>
      </c>
      <c r="G108" s="487">
        <v>4670250</v>
      </c>
      <c r="H108" s="489">
        <v>46.702500000000001</v>
      </c>
    </row>
    <row r="109" spans="3:8" ht="17.100000000000001" customHeight="1">
      <c r="C109" s="508" t="s">
        <v>3777</v>
      </c>
      <c r="D109" s="487">
        <v>90946000</v>
      </c>
      <c r="E109" s="487">
        <v>19507600</v>
      </c>
      <c r="F109" s="488">
        <v>21.449651441514746</v>
      </c>
      <c r="G109" s="487">
        <v>71438400</v>
      </c>
      <c r="H109" s="489">
        <v>78.550348558485254</v>
      </c>
    </row>
    <row r="110" spans="3:8" ht="17.100000000000001" customHeight="1">
      <c r="C110" s="504" t="s">
        <v>3844</v>
      </c>
      <c r="D110" s="487">
        <v>180572000</v>
      </c>
      <c r="E110" s="487">
        <v>126758376</v>
      </c>
      <c r="F110" s="488">
        <v>70.198245575172237</v>
      </c>
      <c r="G110" s="487">
        <v>53813624</v>
      </c>
      <c r="H110" s="489">
        <v>29.80175442482777</v>
      </c>
    </row>
    <row r="111" spans="3:8">
      <c r="C111" s="509" t="s">
        <v>3845</v>
      </c>
      <c r="D111" s="498">
        <v>180572000</v>
      </c>
      <c r="E111" s="498">
        <v>126758376</v>
      </c>
      <c r="F111" s="499">
        <v>70.198245575172237</v>
      </c>
      <c r="G111" s="498">
        <v>53813624</v>
      </c>
      <c r="H111" s="500">
        <v>29.80175442482777</v>
      </c>
    </row>
    <row r="112" spans="3:8" ht="17.100000000000001" customHeight="1">
      <c r="C112" s="510" t="s">
        <v>3846</v>
      </c>
      <c r="D112" s="501">
        <v>22164000</v>
      </c>
      <c r="E112" s="501">
        <v>16658945</v>
      </c>
      <c r="F112" s="502">
        <v>75.162177404800573</v>
      </c>
      <c r="G112" s="501">
        <v>5505055</v>
      </c>
      <c r="H112" s="503">
        <v>24.83782259519942</v>
      </c>
    </row>
    <row r="113" spans="3:10" ht="17.100000000000001" customHeight="1">
      <c r="C113" s="508" t="s">
        <v>3773</v>
      </c>
      <c r="D113" s="487">
        <v>6000000</v>
      </c>
      <c r="E113" s="487">
        <v>4448550</v>
      </c>
      <c r="F113" s="488">
        <v>74.142499999999998</v>
      </c>
      <c r="G113" s="487">
        <v>1551450</v>
      </c>
      <c r="H113" s="489">
        <v>25.857500000000002</v>
      </c>
    </row>
    <row r="114" spans="3:10" ht="17.100000000000001" customHeight="1">
      <c r="C114" s="508" t="s">
        <v>3786</v>
      </c>
      <c r="D114" s="487">
        <v>1000000</v>
      </c>
      <c r="E114" s="487">
        <v>702895</v>
      </c>
      <c r="F114" s="488">
        <v>70.289500000000004</v>
      </c>
      <c r="G114" s="487">
        <v>297105</v>
      </c>
      <c r="H114" s="489">
        <v>29.7105</v>
      </c>
    </row>
    <row r="115" spans="3:10" ht="17.100000000000001" customHeight="1">
      <c r="C115" s="508" t="s">
        <v>3791</v>
      </c>
      <c r="D115" s="487">
        <v>10000000</v>
      </c>
      <c r="E115" s="487">
        <v>6344000</v>
      </c>
      <c r="F115" s="488">
        <v>63.44</v>
      </c>
      <c r="G115" s="487">
        <v>3656000</v>
      </c>
      <c r="H115" s="489">
        <v>36.559999999999995</v>
      </c>
    </row>
    <row r="116" spans="3:10" ht="17.100000000000001" customHeight="1">
      <c r="C116" s="508" t="s">
        <v>3777</v>
      </c>
      <c r="D116" s="487">
        <v>5164000</v>
      </c>
      <c r="E116" s="487">
        <v>5163500</v>
      </c>
      <c r="F116" s="488">
        <v>99.990317583268791</v>
      </c>
      <c r="G116" s="487">
        <v>500</v>
      </c>
      <c r="H116" s="489">
        <v>9.6824167312161129E-3</v>
      </c>
    </row>
    <row r="117" spans="3:10" ht="17.100000000000001" customHeight="1">
      <c r="C117" s="510" t="s">
        <v>3847</v>
      </c>
      <c r="D117" s="501">
        <v>78000000</v>
      </c>
      <c r="E117" s="501">
        <v>37606531</v>
      </c>
      <c r="F117" s="502">
        <v>48.213501282051283</v>
      </c>
      <c r="G117" s="501">
        <v>40393469</v>
      </c>
      <c r="H117" s="503">
        <v>51.786498717948717</v>
      </c>
    </row>
    <row r="118" spans="3:10" ht="17.100000000000001" customHeight="1">
      <c r="C118" s="508" t="s">
        <v>3773</v>
      </c>
      <c r="D118" s="487">
        <v>12000000</v>
      </c>
      <c r="E118" s="487">
        <v>7434850</v>
      </c>
      <c r="F118" s="488">
        <v>61.95708333333333</v>
      </c>
      <c r="G118" s="487">
        <v>4565150</v>
      </c>
      <c r="H118" s="489">
        <v>38.042916666666663</v>
      </c>
    </row>
    <row r="119" spans="3:10" ht="17.100000000000001" customHeight="1">
      <c r="C119" s="508" t="s">
        <v>3786</v>
      </c>
      <c r="D119" s="487">
        <v>1000000</v>
      </c>
      <c r="E119" s="487">
        <v>358831</v>
      </c>
      <c r="F119" s="488">
        <v>35.883099999999999</v>
      </c>
      <c r="G119" s="487">
        <v>641169</v>
      </c>
      <c r="H119" s="489">
        <v>64.116900000000001</v>
      </c>
    </row>
    <row r="120" spans="3:10" ht="17.100000000000001" customHeight="1">
      <c r="C120" s="508" t="s">
        <v>3791</v>
      </c>
      <c r="D120" s="487">
        <v>20000000</v>
      </c>
      <c r="E120" s="487">
        <v>12648000</v>
      </c>
      <c r="F120" s="488">
        <v>63.239999999999995</v>
      </c>
      <c r="G120" s="487">
        <v>7352000</v>
      </c>
      <c r="H120" s="489">
        <v>36.76</v>
      </c>
    </row>
    <row r="121" spans="3:10" ht="17.100000000000001" customHeight="1">
      <c r="C121" s="508" t="s">
        <v>3777</v>
      </c>
      <c r="D121" s="487">
        <v>45000000</v>
      </c>
      <c r="E121" s="487">
        <v>17164850</v>
      </c>
      <c r="F121" s="488">
        <v>38.144111111111116</v>
      </c>
      <c r="G121" s="487">
        <v>27835150</v>
      </c>
      <c r="H121" s="489">
        <v>61.855888888888884</v>
      </c>
    </row>
    <row r="122" spans="3:10" ht="17.100000000000001" customHeight="1">
      <c r="C122" s="510" t="s">
        <v>3848</v>
      </c>
      <c r="D122" s="501">
        <v>80408000</v>
      </c>
      <c r="E122" s="501">
        <v>72492900</v>
      </c>
      <c r="F122" s="502">
        <v>90.156327728584216</v>
      </c>
      <c r="G122" s="501">
        <v>7915100</v>
      </c>
      <c r="H122" s="503">
        <v>9.8436722714157785</v>
      </c>
      <c r="I122" s="477"/>
      <c r="J122" s="161"/>
    </row>
    <row r="123" spans="3:10" ht="17.100000000000001" customHeight="1">
      <c r="C123" s="508" t="s">
        <v>3773</v>
      </c>
      <c r="D123" s="487">
        <v>21000000</v>
      </c>
      <c r="E123" s="487">
        <v>19309350</v>
      </c>
      <c r="F123" s="488">
        <v>91.949285714285708</v>
      </c>
      <c r="G123" s="487">
        <v>1690650</v>
      </c>
      <c r="H123" s="489">
        <v>8.0507142857142853</v>
      </c>
    </row>
    <row r="124" spans="3:10" ht="17.100000000000001" customHeight="1">
      <c r="C124" s="508" t="s">
        <v>3791</v>
      </c>
      <c r="D124" s="487">
        <v>17500000</v>
      </c>
      <c r="E124" s="487">
        <v>11275750</v>
      </c>
      <c r="F124" s="488">
        <v>64.432857142857145</v>
      </c>
      <c r="G124" s="487">
        <v>6224250</v>
      </c>
      <c r="H124" s="489">
        <v>35.567142857142855</v>
      </c>
    </row>
    <row r="125" spans="3:10" ht="17.100000000000001" customHeight="1">
      <c r="C125" s="508" t="s">
        <v>3777</v>
      </c>
      <c r="D125" s="487">
        <v>41908000</v>
      </c>
      <c r="E125" s="487">
        <v>41907800</v>
      </c>
      <c r="F125" s="488">
        <v>99.999522764150043</v>
      </c>
      <c r="G125" s="487">
        <v>200</v>
      </c>
      <c r="H125" s="489">
        <v>4.7723584995704876E-4</v>
      </c>
    </row>
    <row r="126" spans="3:10" ht="17.100000000000001" customHeight="1">
      <c r="C126" s="490" t="s">
        <v>565</v>
      </c>
      <c r="D126" s="491">
        <v>3618462000</v>
      </c>
      <c r="E126" s="491">
        <v>2275241963</v>
      </c>
      <c r="F126" s="492">
        <v>62.878702691917177</v>
      </c>
      <c r="G126" s="491">
        <v>1343220037</v>
      </c>
      <c r="H126" s="493">
        <v>37.121297308082831</v>
      </c>
    </row>
    <row r="127" spans="3:10">
      <c r="C127" s="494" t="s">
        <v>535</v>
      </c>
      <c r="D127" s="495">
        <v>197920000</v>
      </c>
      <c r="E127" s="495">
        <v>152682520</v>
      </c>
      <c r="F127" s="496">
        <v>77.143552950687138</v>
      </c>
      <c r="G127" s="495">
        <v>45237480</v>
      </c>
      <c r="H127" s="497">
        <v>22.856447049312852</v>
      </c>
    </row>
    <row r="128" spans="3:10" ht="17.100000000000001" customHeight="1">
      <c r="C128" s="504" t="s">
        <v>3853</v>
      </c>
      <c r="D128" s="487">
        <v>197920000</v>
      </c>
      <c r="E128" s="487">
        <v>152682520</v>
      </c>
      <c r="F128" s="488">
        <v>77.143552950687138</v>
      </c>
      <c r="G128" s="487">
        <v>45237480</v>
      </c>
      <c r="H128" s="489">
        <v>22.856447049312852</v>
      </c>
    </row>
    <row r="129" spans="3:8">
      <c r="C129" s="509" t="s">
        <v>3854</v>
      </c>
      <c r="D129" s="498">
        <v>197920000</v>
      </c>
      <c r="E129" s="498">
        <v>152682520</v>
      </c>
      <c r="F129" s="499">
        <v>77.143552950687138</v>
      </c>
      <c r="G129" s="498">
        <v>45237480</v>
      </c>
      <c r="H129" s="500">
        <v>22.856447049312852</v>
      </c>
    </row>
    <row r="130" spans="3:8" ht="17.100000000000001" customHeight="1">
      <c r="C130" s="510" t="s">
        <v>3855</v>
      </c>
      <c r="D130" s="501">
        <v>27102000</v>
      </c>
      <c r="E130" s="501">
        <v>25522552</v>
      </c>
      <c r="F130" s="502">
        <v>94.172208693085381</v>
      </c>
      <c r="G130" s="501">
        <v>1579448</v>
      </c>
      <c r="H130" s="503">
        <v>5.8277913069146186</v>
      </c>
    </row>
    <row r="131" spans="3:8" ht="17.100000000000001" customHeight="1">
      <c r="C131" s="508" t="s">
        <v>3773</v>
      </c>
      <c r="D131" s="487">
        <v>18400000</v>
      </c>
      <c r="E131" s="487">
        <v>16821000</v>
      </c>
      <c r="F131" s="488">
        <v>91.418478260869563</v>
      </c>
      <c r="G131" s="487">
        <v>1579000</v>
      </c>
      <c r="H131" s="489">
        <v>8.5815217391304355</v>
      </c>
    </row>
    <row r="132" spans="3:8" ht="17.100000000000001" customHeight="1">
      <c r="C132" s="508" t="s">
        <v>3777</v>
      </c>
      <c r="D132" s="487">
        <v>8702000</v>
      </c>
      <c r="E132" s="487">
        <v>8701552</v>
      </c>
      <c r="F132" s="488">
        <v>99.994851758216498</v>
      </c>
      <c r="G132" s="487">
        <v>448</v>
      </c>
      <c r="H132" s="489">
        <v>5.1482417834980464E-3</v>
      </c>
    </row>
    <row r="133" spans="3:8" ht="17.100000000000001" customHeight="1">
      <c r="C133" s="510" t="s">
        <v>3856</v>
      </c>
      <c r="D133" s="501">
        <v>12850000</v>
      </c>
      <c r="E133" s="501">
        <v>7794000</v>
      </c>
      <c r="F133" s="502">
        <v>60.653696498054479</v>
      </c>
      <c r="G133" s="501">
        <v>5056000</v>
      </c>
      <c r="H133" s="503">
        <v>39.346303501945521</v>
      </c>
    </row>
    <row r="134" spans="3:8" ht="17.100000000000001" customHeight="1">
      <c r="C134" s="508" t="s">
        <v>3773</v>
      </c>
      <c r="D134" s="487">
        <v>7500000</v>
      </c>
      <c r="E134" s="487">
        <v>4944000</v>
      </c>
      <c r="F134" s="488">
        <v>65.92</v>
      </c>
      <c r="G134" s="487">
        <v>2556000</v>
      </c>
      <c r="H134" s="489">
        <v>34.08</v>
      </c>
    </row>
    <row r="135" spans="3:8" ht="17.100000000000001" customHeight="1">
      <c r="C135" s="508" t="s">
        <v>3777</v>
      </c>
      <c r="D135" s="487">
        <v>5350000</v>
      </c>
      <c r="E135" s="487">
        <v>2850000</v>
      </c>
      <c r="F135" s="488">
        <v>53.271028037383175</v>
      </c>
      <c r="G135" s="487">
        <v>2500000</v>
      </c>
      <c r="H135" s="489">
        <v>46.728971962616825</v>
      </c>
    </row>
    <row r="136" spans="3:8" ht="17.100000000000001" customHeight="1">
      <c r="C136" s="510" t="s">
        <v>3857</v>
      </c>
      <c r="D136" s="501">
        <v>7500000</v>
      </c>
      <c r="E136" s="501">
        <v>7467500</v>
      </c>
      <c r="F136" s="502">
        <v>99.566666666666663</v>
      </c>
      <c r="G136" s="501">
        <v>32500</v>
      </c>
      <c r="H136" s="503">
        <v>0.43333333333333329</v>
      </c>
    </row>
    <row r="137" spans="3:8" ht="17.100000000000001" customHeight="1">
      <c r="C137" s="508" t="s">
        <v>3773</v>
      </c>
      <c r="D137" s="487">
        <v>7500000</v>
      </c>
      <c r="E137" s="487">
        <v>7467500</v>
      </c>
      <c r="F137" s="488">
        <v>99.566666666666663</v>
      </c>
      <c r="G137" s="487">
        <v>32500</v>
      </c>
      <c r="H137" s="489">
        <v>0.43333333333333329</v>
      </c>
    </row>
    <row r="138" spans="3:8" ht="17.100000000000001" customHeight="1">
      <c r="C138" s="510" t="s">
        <v>3858</v>
      </c>
      <c r="D138" s="501">
        <v>34635000</v>
      </c>
      <c r="E138" s="501">
        <v>33099468</v>
      </c>
      <c r="F138" s="502">
        <v>95.566530965786058</v>
      </c>
      <c r="G138" s="501">
        <v>1535532</v>
      </c>
      <c r="H138" s="503">
        <v>4.4334690342139451</v>
      </c>
    </row>
    <row r="139" spans="3:8" ht="17.100000000000001" customHeight="1">
      <c r="C139" s="508" t="s">
        <v>3773</v>
      </c>
      <c r="D139" s="487">
        <v>14000000</v>
      </c>
      <c r="E139" s="487">
        <v>12465000</v>
      </c>
      <c r="F139" s="488">
        <v>89.035714285714278</v>
      </c>
      <c r="G139" s="487">
        <v>1535000</v>
      </c>
      <c r="H139" s="489">
        <v>10.964285714285714</v>
      </c>
    </row>
    <row r="140" spans="3:8" ht="17.100000000000001" customHeight="1">
      <c r="C140" s="508" t="s">
        <v>3777</v>
      </c>
      <c r="D140" s="487">
        <v>20635000</v>
      </c>
      <c r="E140" s="487">
        <v>20634468</v>
      </c>
      <c r="F140" s="488">
        <v>99.997421856069778</v>
      </c>
      <c r="G140" s="487">
        <v>532</v>
      </c>
      <c r="H140" s="489">
        <v>2.578143930215653E-3</v>
      </c>
    </row>
    <row r="141" spans="3:8" ht="17.100000000000001" customHeight="1">
      <c r="C141" s="510" t="s">
        <v>3859</v>
      </c>
      <c r="D141" s="501">
        <v>7500000</v>
      </c>
      <c r="E141" s="501">
        <v>4944000</v>
      </c>
      <c r="F141" s="502">
        <v>65.92</v>
      </c>
      <c r="G141" s="501">
        <v>2556000</v>
      </c>
      <c r="H141" s="503">
        <v>34.08</v>
      </c>
    </row>
    <row r="142" spans="3:8" ht="17.100000000000001" customHeight="1">
      <c r="C142" s="508" t="s">
        <v>3773</v>
      </c>
      <c r="D142" s="487">
        <v>7500000</v>
      </c>
      <c r="E142" s="487">
        <v>4944000</v>
      </c>
      <c r="F142" s="488">
        <v>65.92</v>
      </c>
      <c r="G142" s="487">
        <v>2556000</v>
      </c>
      <c r="H142" s="489">
        <v>34.08</v>
      </c>
    </row>
    <row r="143" spans="3:8" ht="17.100000000000001" customHeight="1">
      <c r="C143" s="510" t="s">
        <v>3860</v>
      </c>
      <c r="D143" s="501">
        <v>108333000</v>
      </c>
      <c r="E143" s="501">
        <v>73855000</v>
      </c>
      <c r="F143" s="502">
        <v>68.174055920172066</v>
      </c>
      <c r="G143" s="501">
        <v>34478000</v>
      </c>
      <c r="H143" s="503">
        <v>31.825944079827938</v>
      </c>
    </row>
    <row r="144" spans="3:8" ht="17.100000000000001" customHeight="1">
      <c r="C144" s="508" t="s">
        <v>3773</v>
      </c>
      <c r="D144" s="487">
        <v>4800000</v>
      </c>
      <c r="E144" s="487">
        <v>575000</v>
      </c>
      <c r="F144" s="488">
        <v>11.979166666666668</v>
      </c>
      <c r="G144" s="487">
        <v>4225000</v>
      </c>
      <c r="H144" s="489">
        <v>88.020833333333343</v>
      </c>
    </row>
    <row r="145" spans="3:10" ht="17.100000000000001" customHeight="1">
      <c r="C145" s="508" t="s">
        <v>3791</v>
      </c>
      <c r="D145" s="487">
        <v>27500000</v>
      </c>
      <c r="E145" s="487">
        <v>14900000</v>
      </c>
      <c r="F145" s="488">
        <v>54.181818181818187</v>
      </c>
      <c r="G145" s="487">
        <v>12600000</v>
      </c>
      <c r="H145" s="489">
        <v>45.81818181818182</v>
      </c>
    </row>
    <row r="146" spans="3:10" ht="17.100000000000001" customHeight="1">
      <c r="C146" s="508" t="s">
        <v>3777</v>
      </c>
      <c r="D146" s="487">
        <v>76033000</v>
      </c>
      <c r="E146" s="487">
        <v>58380000</v>
      </c>
      <c r="F146" s="488">
        <v>76.782449725776971</v>
      </c>
      <c r="G146" s="487">
        <v>17653000</v>
      </c>
      <c r="H146" s="489">
        <v>23.217550274223033</v>
      </c>
    </row>
    <row r="147" spans="3:10">
      <c r="C147" s="494" t="s">
        <v>549</v>
      </c>
      <c r="D147" s="495">
        <v>3420542000</v>
      </c>
      <c r="E147" s="495">
        <v>2122559443</v>
      </c>
      <c r="F147" s="496">
        <v>62.053307429056574</v>
      </c>
      <c r="G147" s="495">
        <v>1297982557</v>
      </c>
      <c r="H147" s="497">
        <v>37.946692570943434</v>
      </c>
    </row>
    <row r="148" spans="3:10" ht="17.100000000000001" customHeight="1">
      <c r="C148" s="504" t="s">
        <v>3809</v>
      </c>
      <c r="D148" s="487">
        <v>114200000</v>
      </c>
      <c r="E148" s="487">
        <v>114200000</v>
      </c>
      <c r="F148" s="488">
        <v>100</v>
      </c>
      <c r="G148" s="487">
        <v>0</v>
      </c>
      <c r="H148" s="489">
        <v>0</v>
      </c>
    </row>
    <row r="149" spans="3:10">
      <c r="C149" s="509" t="s">
        <v>3811</v>
      </c>
      <c r="D149" s="498">
        <v>114200000</v>
      </c>
      <c r="E149" s="498">
        <v>114200000</v>
      </c>
      <c r="F149" s="499">
        <v>100</v>
      </c>
      <c r="G149" s="498">
        <v>0</v>
      </c>
      <c r="H149" s="500">
        <v>0</v>
      </c>
    </row>
    <row r="150" spans="3:10" ht="17.100000000000001" customHeight="1">
      <c r="C150" s="510" t="s">
        <v>3810</v>
      </c>
      <c r="D150" s="501">
        <v>114200000</v>
      </c>
      <c r="E150" s="501">
        <v>114200000</v>
      </c>
      <c r="F150" s="502">
        <v>100</v>
      </c>
      <c r="G150" s="501">
        <v>0</v>
      </c>
      <c r="H150" s="503">
        <v>0</v>
      </c>
    </row>
    <row r="151" spans="3:10" ht="17.100000000000001" customHeight="1">
      <c r="C151" s="508" t="s">
        <v>3780</v>
      </c>
      <c r="D151" s="487">
        <v>114200000</v>
      </c>
      <c r="E151" s="487">
        <v>114200000</v>
      </c>
      <c r="F151" s="488">
        <v>100</v>
      </c>
      <c r="G151" s="487">
        <v>0</v>
      </c>
      <c r="H151" s="489">
        <v>0</v>
      </c>
    </row>
    <row r="152" spans="3:10" ht="17.100000000000001" customHeight="1">
      <c r="C152" s="504" t="s">
        <v>3818</v>
      </c>
      <c r="D152" s="487">
        <v>670684000</v>
      </c>
      <c r="E152" s="487">
        <v>520657129</v>
      </c>
      <c r="F152" s="488">
        <v>77.630766351963061</v>
      </c>
      <c r="G152" s="487">
        <v>150026871</v>
      </c>
      <c r="H152" s="489">
        <v>22.369233648036928</v>
      </c>
    </row>
    <row r="153" spans="3:10">
      <c r="C153" s="509" t="s">
        <v>3817</v>
      </c>
      <c r="D153" s="498">
        <v>670684000</v>
      </c>
      <c r="E153" s="498">
        <v>520657129</v>
      </c>
      <c r="F153" s="499">
        <v>77.630766351963061</v>
      </c>
      <c r="G153" s="498">
        <v>150026871</v>
      </c>
      <c r="H153" s="500">
        <v>22.369233648036928</v>
      </c>
    </row>
    <row r="154" spans="3:10" ht="17.100000000000001" customHeight="1">
      <c r="C154" s="510" t="s">
        <v>3798</v>
      </c>
      <c r="D154" s="501">
        <v>18739000</v>
      </c>
      <c r="E154" s="501">
        <v>18437300</v>
      </c>
      <c r="F154" s="502">
        <v>98.389988793425474</v>
      </c>
      <c r="G154" s="501">
        <v>301700</v>
      </c>
      <c r="H154" s="503">
        <v>1.6100112065745238</v>
      </c>
    </row>
    <row r="155" spans="3:10" ht="17.100000000000001" customHeight="1">
      <c r="C155" s="508" t="s">
        <v>3773</v>
      </c>
      <c r="D155" s="487">
        <v>5000000</v>
      </c>
      <c r="E155" s="487">
        <v>4998800</v>
      </c>
      <c r="F155" s="488">
        <v>99.975999999999999</v>
      </c>
      <c r="G155" s="487">
        <v>1200</v>
      </c>
      <c r="H155" s="489">
        <v>2.4E-2</v>
      </c>
    </row>
    <row r="156" spans="3:10" ht="17.100000000000001" customHeight="1">
      <c r="C156" s="508" t="s">
        <v>3777</v>
      </c>
      <c r="D156" s="487">
        <v>12989000</v>
      </c>
      <c r="E156" s="487">
        <v>12688500</v>
      </c>
      <c r="F156" s="488">
        <v>97.686503964893362</v>
      </c>
      <c r="G156" s="487">
        <v>300500</v>
      </c>
      <c r="H156" s="489">
        <v>2.3134960351066285</v>
      </c>
    </row>
    <row r="157" spans="3:10" ht="17.100000000000001" customHeight="1">
      <c r="C157" s="508" t="s">
        <v>505</v>
      </c>
      <c r="D157" s="487">
        <v>750000</v>
      </c>
      <c r="E157" s="487">
        <v>750000</v>
      </c>
      <c r="F157" s="488">
        <v>100</v>
      </c>
      <c r="G157" s="487">
        <v>0</v>
      </c>
      <c r="H157" s="489">
        <v>0</v>
      </c>
      <c r="I157" s="477"/>
      <c r="J157" s="161"/>
    </row>
    <row r="158" spans="3:10" ht="17.100000000000001" customHeight="1">
      <c r="C158" s="510" t="s">
        <v>3799</v>
      </c>
      <c r="D158" s="501">
        <v>385665000</v>
      </c>
      <c r="E158" s="501">
        <v>272977871</v>
      </c>
      <c r="F158" s="502">
        <v>70.781084879364215</v>
      </c>
      <c r="G158" s="501">
        <v>112687129</v>
      </c>
      <c r="H158" s="503">
        <v>29.218915120635785</v>
      </c>
    </row>
    <row r="159" spans="3:10" ht="17.100000000000001" customHeight="1">
      <c r="C159" s="508" t="s">
        <v>3773</v>
      </c>
      <c r="D159" s="487">
        <v>10000000</v>
      </c>
      <c r="E159" s="487">
        <v>7425000</v>
      </c>
      <c r="F159" s="488">
        <v>74.25</v>
      </c>
      <c r="G159" s="487">
        <v>2575000</v>
      </c>
      <c r="H159" s="489">
        <v>25.75</v>
      </c>
    </row>
    <row r="160" spans="3:10" ht="17.100000000000001" customHeight="1">
      <c r="C160" s="508" t="s">
        <v>3778</v>
      </c>
      <c r="D160" s="487">
        <v>2031000</v>
      </c>
      <c r="E160" s="487">
        <v>2031000</v>
      </c>
      <c r="F160" s="488">
        <v>100</v>
      </c>
      <c r="G160" s="487">
        <v>0</v>
      </c>
      <c r="H160" s="489">
        <v>0</v>
      </c>
    </row>
    <row r="161" spans="3:10" ht="17.100000000000001" customHeight="1">
      <c r="C161" s="508" t="s">
        <v>3777</v>
      </c>
      <c r="D161" s="487">
        <v>373634000</v>
      </c>
      <c r="E161" s="487">
        <v>263521871</v>
      </c>
      <c r="F161" s="488">
        <v>70.529414079018508</v>
      </c>
      <c r="G161" s="487">
        <v>110112129</v>
      </c>
      <c r="H161" s="489">
        <v>29.470585920981495</v>
      </c>
    </row>
    <row r="162" spans="3:10" ht="17.100000000000001" customHeight="1">
      <c r="C162" s="510" t="s">
        <v>3819</v>
      </c>
      <c r="D162" s="501">
        <v>56750000</v>
      </c>
      <c r="E162" s="501">
        <v>42951740</v>
      </c>
      <c r="F162" s="502">
        <v>75.685885462555063</v>
      </c>
      <c r="G162" s="501">
        <v>13798260</v>
      </c>
      <c r="H162" s="503">
        <v>24.314114537444933</v>
      </c>
      <c r="I162" s="477"/>
      <c r="J162" s="161"/>
    </row>
    <row r="163" spans="3:10" ht="17.100000000000001" customHeight="1">
      <c r="C163" s="508" t="s">
        <v>3773</v>
      </c>
      <c r="D163" s="487">
        <v>33500000</v>
      </c>
      <c r="E163" s="487">
        <v>33371740</v>
      </c>
      <c r="F163" s="488">
        <v>99.617134328358219</v>
      </c>
      <c r="G163" s="487">
        <v>128260</v>
      </c>
      <c r="H163" s="489">
        <v>0.38286567164179103</v>
      </c>
    </row>
    <row r="164" spans="3:10" ht="17.100000000000001" customHeight="1">
      <c r="C164" s="508" t="s">
        <v>3779</v>
      </c>
      <c r="D164" s="487">
        <v>3000000</v>
      </c>
      <c r="E164" s="487">
        <v>0</v>
      </c>
      <c r="F164" s="488">
        <v>0</v>
      </c>
      <c r="G164" s="487">
        <v>3000000</v>
      </c>
      <c r="H164" s="489">
        <v>100</v>
      </c>
    </row>
    <row r="165" spans="3:10" ht="17.100000000000001" customHeight="1">
      <c r="C165" s="508" t="s">
        <v>3777</v>
      </c>
      <c r="D165" s="487">
        <v>18000000</v>
      </c>
      <c r="E165" s="487">
        <v>8980000</v>
      </c>
      <c r="F165" s="488">
        <v>49.888888888888886</v>
      </c>
      <c r="G165" s="487">
        <v>9020000</v>
      </c>
      <c r="H165" s="489">
        <v>50.111111111111107</v>
      </c>
    </row>
    <row r="166" spans="3:10" ht="17.100000000000001" customHeight="1">
      <c r="C166" s="508" t="s">
        <v>505</v>
      </c>
      <c r="D166" s="487">
        <v>2250000</v>
      </c>
      <c r="E166" s="487">
        <v>600000</v>
      </c>
      <c r="F166" s="488">
        <v>26.666666666666668</v>
      </c>
      <c r="G166" s="487">
        <v>1650000</v>
      </c>
      <c r="H166" s="489">
        <v>73.333333333333329</v>
      </c>
    </row>
    <row r="167" spans="3:10" ht="17.100000000000001" customHeight="1">
      <c r="C167" s="510" t="s">
        <v>3800</v>
      </c>
      <c r="D167" s="501">
        <v>61193000</v>
      </c>
      <c r="E167" s="501">
        <v>37964238</v>
      </c>
      <c r="F167" s="502">
        <v>62.040164724723411</v>
      </c>
      <c r="G167" s="501">
        <v>23228762</v>
      </c>
      <c r="H167" s="503">
        <v>37.959835275276582</v>
      </c>
    </row>
    <row r="168" spans="3:10" ht="17.100000000000001" customHeight="1">
      <c r="C168" s="508" t="s">
        <v>3773</v>
      </c>
      <c r="D168" s="487">
        <v>13500000</v>
      </c>
      <c r="E168" s="487">
        <v>9448500</v>
      </c>
      <c r="F168" s="488">
        <v>69.988888888888894</v>
      </c>
      <c r="G168" s="487">
        <v>4051500</v>
      </c>
      <c r="H168" s="489">
        <v>30.011111111111109</v>
      </c>
    </row>
    <row r="169" spans="3:10" ht="17.100000000000001" customHeight="1">
      <c r="C169" s="508" t="s">
        <v>3777</v>
      </c>
      <c r="D169" s="487">
        <v>47693000</v>
      </c>
      <c r="E169" s="487">
        <v>28515738</v>
      </c>
      <c r="F169" s="488">
        <v>59.790195626192521</v>
      </c>
      <c r="G169" s="487">
        <v>19177262</v>
      </c>
      <c r="H169" s="489">
        <v>40.209804373807479</v>
      </c>
    </row>
    <row r="170" spans="3:10" ht="17.100000000000001" customHeight="1">
      <c r="C170" s="510" t="s">
        <v>3820</v>
      </c>
      <c r="D170" s="501">
        <v>148337000</v>
      </c>
      <c r="E170" s="501">
        <v>148325980</v>
      </c>
      <c r="F170" s="502">
        <v>99.992570970155796</v>
      </c>
      <c r="G170" s="501">
        <v>11020</v>
      </c>
      <c r="H170" s="503">
        <v>7.4290298442060976E-3</v>
      </c>
    </row>
    <row r="171" spans="3:10" ht="17.100000000000001" customHeight="1">
      <c r="C171" s="508" t="s">
        <v>3773</v>
      </c>
      <c r="D171" s="487">
        <v>38100000</v>
      </c>
      <c r="E171" s="487">
        <v>38095000</v>
      </c>
      <c r="F171" s="488">
        <v>99.98687664041995</v>
      </c>
      <c r="G171" s="487">
        <v>5000</v>
      </c>
      <c r="H171" s="489">
        <v>1.3123359580052493E-2</v>
      </c>
    </row>
    <row r="172" spans="3:10" ht="17.100000000000001" customHeight="1">
      <c r="C172" s="508" t="s">
        <v>3821</v>
      </c>
      <c r="D172" s="487">
        <v>82535000</v>
      </c>
      <c r="E172" s="487">
        <v>82534280</v>
      </c>
      <c r="F172" s="488">
        <v>99.999127642818195</v>
      </c>
      <c r="G172" s="487">
        <v>720</v>
      </c>
      <c r="H172" s="489">
        <v>8.7235718180165981E-4</v>
      </c>
    </row>
    <row r="173" spans="3:10" ht="17.100000000000001" customHeight="1">
      <c r="C173" s="508" t="s">
        <v>3866</v>
      </c>
      <c r="D173" s="487">
        <v>1605000</v>
      </c>
      <c r="E173" s="487">
        <v>1600000</v>
      </c>
      <c r="F173" s="488">
        <v>99.688473520249218</v>
      </c>
      <c r="G173" s="487">
        <v>5000</v>
      </c>
      <c r="H173" s="489">
        <v>0.3115264797507788</v>
      </c>
    </row>
    <row r="174" spans="3:10" ht="17.100000000000001" customHeight="1">
      <c r="C174" s="508" t="s">
        <v>3778</v>
      </c>
      <c r="D174" s="487">
        <v>4246000</v>
      </c>
      <c r="E174" s="487">
        <v>4246000</v>
      </c>
      <c r="F174" s="488">
        <v>100</v>
      </c>
      <c r="G174" s="487">
        <v>0</v>
      </c>
      <c r="H174" s="489">
        <v>0</v>
      </c>
    </row>
    <row r="175" spans="3:10" ht="17.100000000000001" customHeight="1">
      <c r="C175" s="508" t="s">
        <v>3777</v>
      </c>
      <c r="D175" s="487">
        <v>21851000</v>
      </c>
      <c r="E175" s="487">
        <v>21850700</v>
      </c>
      <c r="F175" s="488">
        <v>99.998627065122875</v>
      </c>
      <c r="G175" s="487">
        <v>300</v>
      </c>
      <c r="H175" s="489">
        <v>1.3729348771223285E-3</v>
      </c>
    </row>
    <row r="176" spans="3:10" ht="17.100000000000001" customHeight="1">
      <c r="C176" s="504" t="s">
        <v>3839</v>
      </c>
      <c r="D176" s="487">
        <v>540000000</v>
      </c>
      <c r="E176" s="487">
        <v>540000000</v>
      </c>
      <c r="F176" s="488">
        <v>100</v>
      </c>
      <c r="G176" s="487">
        <v>0</v>
      </c>
      <c r="H176" s="489">
        <v>0</v>
      </c>
    </row>
    <row r="177" spans="3:8">
      <c r="C177" s="509" t="s">
        <v>3840</v>
      </c>
      <c r="D177" s="498">
        <v>540000000</v>
      </c>
      <c r="E177" s="498">
        <v>540000000</v>
      </c>
      <c r="F177" s="499">
        <v>100</v>
      </c>
      <c r="G177" s="498">
        <v>0</v>
      </c>
      <c r="H177" s="500">
        <v>0</v>
      </c>
    </row>
    <row r="178" spans="3:8" ht="17.100000000000001" customHeight="1">
      <c r="C178" s="510" t="s">
        <v>3841</v>
      </c>
      <c r="D178" s="501">
        <v>540000000</v>
      </c>
      <c r="E178" s="501">
        <v>540000000</v>
      </c>
      <c r="F178" s="502">
        <v>100</v>
      </c>
      <c r="G178" s="501">
        <v>0</v>
      </c>
      <c r="H178" s="503">
        <v>0</v>
      </c>
    </row>
    <row r="179" spans="3:8" ht="17.100000000000001" customHeight="1">
      <c r="C179" s="508" t="s">
        <v>3780</v>
      </c>
      <c r="D179" s="487">
        <v>540000000</v>
      </c>
      <c r="E179" s="487">
        <v>540000000</v>
      </c>
      <c r="F179" s="488">
        <v>100</v>
      </c>
      <c r="G179" s="487">
        <v>0</v>
      </c>
      <c r="H179" s="489">
        <v>0</v>
      </c>
    </row>
    <row r="180" spans="3:8" ht="17.100000000000001" customHeight="1">
      <c r="C180" s="504" t="s">
        <v>4605</v>
      </c>
      <c r="D180" s="487">
        <v>2095658000</v>
      </c>
      <c r="E180" s="487">
        <v>947702314</v>
      </c>
      <c r="F180" s="488">
        <v>45.222183867787585</v>
      </c>
      <c r="G180" s="487">
        <v>1147955686</v>
      </c>
      <c r="H180" s="489">
        <v>54.777816132212408</v>
      </c>
    </row>
    <row r="181" spans="3:8">
      <c r="C181" s="509" t="s">
        <v>3734</v>
      </c>
      <c r="D181" s="505">
        <v>2095658000</v>
      </c>
      <c r="E181" s="505">
        <v>947702314</v>
      </c>
      <c r="F181" s="506">
        <v>45.222183867787585</v>
      </c>
      <c r="G181" s="505">
        <v>1147955686</v>
      </c>
      <c r="H181" s="507">
        <v>54.777816132212408</v>
      </c>
    </row>
    <row r="182" spans="3:8" ht="17.100000000000001" customHeight="1">
      <c r="C182" s="510" t="s">
        <v>3827</v>
      </c>
      <c r="D182" s="501">
        <v>1254380000</v>
      </c>
      <c r="E182" s="501">
        <v>644792004</v>
      </c>
      <c r="F182" s="502">
        <v>51.403243355283088</v>
      </c>
      <c r="G182" s="501">
        <v>609587996</v>
      </c>
      <c r="H182" s="503">
        <v>48.596756644716912</v>
      </c>
    </row>
    <row r="183" spans="3:8" ht="17.100000000000001" customHeight="1">
      <c r="C183" s="508" t="s">
        <v>3828</v>
      </c>
      <c r="D183" s="487">
        <v>1076220000</v>
      </c>
      <c r="E183" s="487">
        <v>575609004</v>
      </c>
      <c r="F183" s="488">
        <v>53.484325137982935</v>
      </c>
      <c r="G183" s="487">
        <v>500610996</v>
      </c>
      <c r="H183" s="489">
        <v>46.515674862017057</v>
      </c>
    </row>
    <row r="184" spans="3:8" ht="17.100000000000001" customHeight="1">
      <c r="C184" s="508" t="s">
        <v>3791</v>
      </c>
      <c r="D184" s="487">
        <v>178160000</v>
      </c>
      <c r="E184" s="487">
        <v>69183000</v>
      </c>
      <c r="F184" s="488">
        <v>38.831948810058378</v>
      </c>
      <c r="G184" s="487">
        <v>108977000</v>
      </c>
      <c r="H184" s="489">
        <v>61.168051189941629</v>
      </c>
    </row>
    <row r="185" spans="3:8" ht="17.100000000000001" customHeight="1">
      <c r="C185" s="510" t="s">
        <v>3829</v>
      </c>
      <c r="D185" s="501">
        <v>148852000</v>
      </c>
      <c r="E185" s="501">
        <v>82227050</v>
      </c>
      <c r="F185" s="502">
        <v>55.240809663289717</v>
      </c>
      <c r="G185" s="501">
        <v>66624950</v>
      </c>
      <c r="H185" s="503">
        <v>44.75919033671029</v>
      </c>
    </row>
    <row r="186" spans="3:8" ht="17.100000000000001" customHeight="1">
      <c r="C186" s="508" t="s">
        <v>3830</v>
      </c>
      <c r="D186" s="487">
        <v>30000000</v>
      </c>
      <c r="E186" s="487">
        <v>2527050</v>
      </c>
      <c r="F186" s="488">
        <v>8.4235000000000007</v>
      </c>
      <c r="G186" s="487">
        <v>27472950</v>
      </c>
      <c r="H186" s="489">
        <v>91.57650000000001</v>
      </c>
    </row>
    <row r="187" spans="3:8" ht="17.100000000000001" customHeight="1">
      <c r="C187" s="508" t="s">
        <v>3779</v>
      </c>
      <c r="D187" s="487">
        <v>118852000</v>
      </c>
      <c r="E187" s="487">
        <v>79700000</v>
      </c>
      <c r="F187" s="488">
        <v>67.058190017837319</v>
      </c>
      <c r="G187" s="487">
        <v>39152000</v>
      </c>
      <c r="H187" s="489">
        <v>32.941809982162688</v>
      </c>
    </row>
    <row r="188" spans="3:8" ht="17.100000000000001" customHeight="1">
      <c r="C188" s="510" t="s">
        <v>3831</v>
      </c>
      <c r="D188" s="501">
        <v>533050000</v>
      </c>
      <c r="E188" s="501">
        <v>147905260</v>
      </c>
      <c r="F188" s="502">
        <v>27.746976831441707</v>
      </c>
      <c r="G188" s="501">
        <v>385144740</v>
      </c>
      <c r="H188" s="503">
        <v>72.2530231685583</v>
      </c>
    </row>
    <row r="189" spans="3:8" ht="17.100000000000001" customHeight="1">
      <c r="C189" s="508" t="s">
        <v>3832</v>
      </c>
      <c r="D189" s="487">
        <v>497050000</v>
      </c>
      <c r="E189" s="487">
        <v>135905260</v>
      </c>
      <c r="F189" s="488">
        <v>27.342371994769138</v>
      </c>
      <c r="G189" s="487">
        <v>361144740</v>
      </c>
      <c r="H189" s="489">
        <v>72.657628005230862</v>
      </c>
    </row>
    <row r="190" spans="3:8" ht="17.100000000000001" customHeight="1">
      <c r="C190" s="508" t="s">
        <v>3833</v>
      </c>
      <c r="D190" s="487">
        <v>36000000</v>
      </c>
      <c r="E190" s="487">
        <v>12000000</v>
      </c>
      <c r="F190" s="488">
        <v>33.333333333333329</v>
      </c>
      <c r="G190" s="487">
        <v>24000000</v>
      </c>
      <c r="H190" s="489">
        <v>66.666666666666657</v>
      </c>
    </row>
    <row r="191" spans="3:8" ht="17.100000000000001" customHeight="1">
      <c r="C191" s="510" t="s">
        <v>3834</v>
      </c>
      <c r="D191" s="501">
        <v>159376000</v>
      </c>
      <c r="E191" s="501">
        <v>72778000</v>
      </c>
      <c r="F191" s="502">
        <v>45.664340929625538</v>
      </c>
      <c r="G191" s="501">
        <v>86598000</v>
      </c>
      <c r="H191" s="503">
        <v>54.335659070374462</v>
      </c>
    </row>
    <row r="192" spans="3:8" ht="17.100000000000001" customHeight="1">
      <c r="C192" s="508" t="s">
        <v>3828</v>
      </c>
      <c r="D192" s="487">
        <v>101016000</v>
      </c>
      <c r="E192" s="487">
        <v>44410000</v>
      </c>
      <c r="F192" s="488">
        <v>43.963332541379586</v>
      </c>
      <c r="G192" s="487">
        <v>56606000</v>
      </c>
      <c r="H192" s="489">
        <v>56.036667458620414</v>
      </c>
    </row>
    <row r="193" spans="3:10" ht="17.100000000000001" customHeight="1">
      <c r="C193" s="508" t="s">
        <v>3835</v>
      </c>
      <c r="D193" s="487">
        <v>58360000</v>
      </c>
      <c r="E193" s="487">
        <v>28368000</v>
      </c>
      <c r="F193" s="488">
        <v>48.608636052090468</v>
      </c>
      <c r="G193" s="487">
        <v>29992000</v>
      </c>
      <c r="H193" s="489">
        <v>51.391363947909532</v>
      </c>
    </row>
    <row r="194" spans="3:10" ht="17.100000000000001" customHeight="1">
      <c r="C194" s="504" t="s">
        <v>3803</v>
      </c>
      <c r="D194" s="487">
        <v>8582500000</v>
      </c>
      <c r="E194" s="487">
        <v>4939644598</v>
      </c>
      <c r="F194" s="488">
        <v>57.554845301485578</v>
      </c>
      <c r="G194" s="487">
        <v>3642855402</v>
      </c>
      <c r="H194" s="489">
        <v>42.445154698514422</v>
      </c>
    </row>
    <row r="195" spans="3:10" ht="17.100000000000001" customHeight="1">
      <c r="C195" s="490" t="s">
        <v>532</v>
      </c>
      <c r="D195" s="491">
        <v>8582500000</v>
      </c>
      <c r="E195" s="491">
        <v>4939644598</v>
      </c>
      <c r="F195" s="492">
        <v>57.554845301485578</v>
      </c>
      <c r="G195" s="491">
        <v>3642855402</v>
      </c>
      <c r="H195" s="493">
        <v>42.445154698514422</v>
      </c>
    </row>
    <row r="196" spans="3:10">
      <c r="C196" s="494" t="s">
        <v>533</v>
      </c>
      <c r="D196" s="495">
        <v>8582500000</v>
      </c>
      <c r="E196" s="495">
        <v>4939644598</v>
      </c>
      <c r="F196" s="496">
        <v>57.554845301485578</v>
      </c>
      <c r="G196" s="495">
        <v>3642855402</v>
      </c>
      <c r="H196" s="497">
        <v>42.445154698514422</v>
      </c>
    </row>
    <row r="197" spans="3:10" ht="17.100000000000001" customHeight="1">
      <c r="C197" s="504" t="s">
        <v>3863</v>
      </c>
      <c r="D197" s="487">
        <v>8582500000</v>
      </c>
      <c r="E197" s="487">
        <v>4939644598</v>
      </c>
      <c r="F197" s="488">
        <v>57.554845301485578</v>
      </c>
      <c r="G197" s="487">
        <v>3642855402</v>
      </c>
      <c r="H197" s="489">
        <v>42.445154698514422</v>
      </c>
    </row>
    <row r="198" spans="3:10">
      <c r="C198" s="509" t="s">
        <v>3864</v>
      </c>
      <c r="D198" s="498">
        <v>8473300000</v>
      </c>
      <c r="E198" s="498">
        <v>4925504198</v>
      </c>
      <c r="F198" s="499">
        <v>58.129703869802796</v>
      </c>
      <c r="G198" s="498">
        <v>3547795802</v>
      </c>
      <c r="H198" s="500">
        <v>41.870296130197211</v>
      </c>
    </row>
    <row r="199" spans="3:10" ht="17.100000000000001" customHeight="1">
      <c r="C199" s="510" t="s">
        <v>3865</v>
      </c>
      <c r="D199" s="501">
        <v>1713564000</v>
      </c>
      <c r="E199" s="501">
        <v>30225000</v>
      </c>
      <c r="F199" s="502">
        <v>1.7638675882546553</v>
      </c>
      <c r="G199" s="501">
        <v>1683339000</v>
      </c>
      <c r="H199" s="503">
        <v>98.236132411745345</v>
      </c>
    </row>
    <row r="200" spans="3:10" ht="17.100000000000001" customHeight="1">
      <c r="C200" s="508" t="s">
        <v>3773</v>
      </c>
      <c r="D200" s="487">
        <v>99100000</v>
      </c>
      <c r="E200" s="487">
        <v>0</v>
      </c>
      <c r="F200" s="488">
        <v>0</v>
      </c>
      <c r="G200" s="487">
        <v>99100000</v>
      </c>
      <c r="H200" s="489">
        <v>100</v>
      </c>
    </row>
    <row r="201" spans="3:10" ht="17.100000000000001" customHeight="1">
      <c r="C201" s="508" t="s">
        <v>3786</v>
      </c>
      <c r="D201" s="487">
        <v>1333864000</v>
      </c>
      <c r="E201" s="487">
        <v>0</v>
      </c>
      <c r="F201" s="488">
        <v>0</v>
      </c>
      <c r="G201" s="487">
        <v>1333864000</v>
      </c>
      <c r="H201" s="489">
        <v>100</v>
      </c>
    </row>
    <row r="202" spans="3:10" ht="17.100000000000001" customHeight="1">
      <c r="C202" s="508" t="s">
        <v>3791</v>
      </c>
      <c r="D202" s="487">
        <v>25000000</v>
      </c>
      <c r="E202" s="487">
        <v>9690000</v>
      </c>
      <c r="F202" s="488">
        <v>38.76</v>
      </c>
      <c r="G202" s="487">
        <v>15310000</v>
      </c>
      <c r="H202" s="489">
        <v>61.240000000000009</v>
      </c>
    </row>
    <row r="203" spans="3:10" ht="17.100000000000001" customHeight="1">
      <c r="C203" s="508" t="s">
        <v>3776</v>
      </c>
      <c r="D203" s="487">
        <v>15000000</v>
      </c>
      <c r="E203" s="487">
        <v>0</v>
      </c>
      <c r="F203" s="488">
        <v>0</v>
      </c>
      <c r="G203" s="487">
        <v>15000000</v>
      </c>
      <c r="H203" s="489">
        <v>100</v>
      </c>
    </row>
    <row r="204" spans="3:10" ht="17.100000000000001" customHeight="1">
      <c r="C204" s="508" t="s">
        <v>3866</v>
      </c>
      <c r="D204" s="487">
        <v>102600000</v>
      </c>
      <c r="E204" s="487">
        <v>0</v>
      </c>
      <c r="F204" s="488">
        <v>0</v>
      </c>
      <c r="G204" s="487">
        <v>102600000</v>
      </c>
      <c r="H204" s="489">
        <v>100</v>
      </c>
    </row>
    <row r="205" spans="3:10" ht="17.100000000000001" customHeight="1">
      <c r="C205" s="508" t="s">
        <v>3777</v>
      </c>
      <c r="D205" s="487">
        <v>138000000</v>
      </c>
      <c r="E205" s="487">
        <v>20535000</v>
      </c>
      <c r="F205" s="488">
        <v>14.880434782608695</v>
      </c>
      <c r="G205" s="487">
        <v>117465000</v>
      </c>
      <c r="H205" s="489">
        <v>85.119565217391298</v>
      </c>
    </row>
    <row r="206" spans="3:10" ht="17.100000000000001" customHeight="1">
      <c r="C206" s="510" t="s">
        <v>3867</v>
      </c>
      <c r="D206" s="501">
        <v>6585695000</v>
      </c>
      <c r="E206" s="501">
        <v>4895279198</v>
      </c>
      <c r="F206" s="502">
        <v>74.332005931036889</v>
      </c>
      <c r="G206" s="501">
        <v>1690415802</v>
      </c>
      <c r="H206" s="503">
        <v>25.667994068963107</v>
      </c>
      <c r="I206" s="477"/>
      <c r="J206" s="161"/>
    </row>
    <row r="207" spans="3:10" ht="17.100000000000001" customHeight="1">
      <c r="C207" s="508" t="s">
        <v>3773</v>
      </c>
      <c r="D207" s="487">
        <v>25000000</v>
      </c>
      <c r="E207" s="487">
        <v>5839600</v>
      </c>
      <c r="F207" s="488">
        <v>23.358400000000003</v>
      </c>
      <c r="G207" s="487">
        <v>19160400</v>
      </c>
      <c r="H207" s="489">
        <v>76.641599999999997</v>
      </c>
    </row>
    <row r="208" spans="3:10" ht="17.100000000000001" customHeight="1">
      <c r="C208" s="508" t="s">
        <v>3786</v>
      </c>
      <c r="D208" s="487">
        <v>6308695000</v>
      </c>
      <c r="E208" s="487">
        <v>4823760092</v>
      </c>
      <c r="F208" s="488">
        <v>76.462090685950102</v>
      </c>
      <c r="G208" s="487">
        <v>1484934908</v>
      </c>
      <c r="H208" s="489">
        <v>23.537909314049895</v>
      </c>
    </row>
    <row r="209" spans="3:8" ht="17.100000000000001" customHeight="1">
      <c r="C209" s="508" t="s">
        <v>3791</v>
      </c>
      <c r="D209" s="487">
        <v>30000000</v>
      </c>
      <c r="E209" s="487">
        <v>9678000</v>
      </c>
      <c r="F209" s="488">
        <v>32.26</v>
      </c>
      <c r="G209" s="487">
        <v>20322000</v>
      </c>
      <c r="H209" s="489">
        <v>67.739999999999995</v>
      </c>
    </row>
    <row r="210" spans="3:8" ht="17.100000000000001" customHeight="1">
      <c r="C210" s="508" t="s">
        <v>3776</v>
      </c>
      <c r="D210" s="487">
        <v>6000000</v>
      </c>
      <c r="E210" s="487">
        <v>0</v>
      </c>
      <c r="F210" s="488">
        <v>0</v>
      </c>
      <c r="G210" s="487">
        <v>6000000</v>
      </c>
      <c r="H210" s="489">
        <v>100</v>
      </c>
    </row>
    <row r="211" spans="3:8" ht="17.100000000000001" customHeight="1">
      <c r="C211" s="508" t="s">
        <v>3777</v>
      </c>
      <c r="D211" s="487">
        <v>216000000</v>
      </c>
      <c r="E211" s="487">
        <v>56001506</v>
      </c>
      <c r="F211" s="488">
        <v>25.926623148148149</v>
      </c>
      <c r="G211" s="487">
        <v>159998494</v>
      </c>
      <c r="H211" s="489">
        <v>74.073376851851847</v>
      </c>
    </row>
    <row r="212" spans="3:8" ht="17.100000000000001" customHeight="1">
      <c r="C212" s="510" t="s">
        <v>3868</v>
      </c>
      <c r="D212" s="501">
        <v>174041000</v>
      </c>
      <c r="E212" s="501">
        <v>0</v>
      </c>
      <c r="F212" s="502">
        <v>0</v>
      </c>
      <c r="G212" s="501">
        <v>174041000</v>
      </c>
      <c r="H212" s="503">
        <v>100</v>
      </c>
    </row>
    <row r="213" spans="3:8" ht="17.100000000000001" customHeight="1">
      <c r="C213" s="508" t="s">
        <v>3773</v>
      </c>
      <c r="D213" s="487">
        <v>12000000</v>
      </c>
      <c r="E213" s="487">
        <v>0</v>
      </c>
      <c r="F213" s="488">
        <v>0</v>
      </c>
      <c r="G213" s="487">
        <v>12000000</v>
      </c>
      <c r="H213" s="489">
        <v>100</v>
      </c>
    </row>
    <row r="214" spans="3:8" ht="17.100000000000001" customHeight="1">
      <c r="C214" s="508" t="s">
        <v>3786</v>
      </c>
      <c r="D214" s="487">
        <v>20000000</v>
      </c>
      <c r="E214" s="487">
        <v>0</v>
      </c>
      <c r="F214" s="488">
        <v>0</v>
      </c>
      <c r="G214" s="487">
        <v>20000000</v>
      </c>
      <c r="H214" s="489">
        <v>100</v>
      </c>
    </row>
    <row r="215" spans="3:8" ht="17.100000000000001" customHeight="1">
      <c r="C215" s="508" t="s">
        <v>3870</v>
      </c>
      <c r="D215" s="487">
        <v>142041000</v>
      </c>
      <c r="E215" s="487">
        <v>0</v>
      </c>
      <c r="F215" s="488">
        <v>0</v>
      </c>
      <c r="G215" s="487">
        <v>142041000</v>
      </c>
      <c r="H215" s="489">
        <v>100</v>
      </c>
    </row>
    <row r="216" spans="3:8">
      <c r="C216" s="509" t="s">
        <v>3879</v>
      </c>
      <c r="D216" s="498">
        <v>109200000</v>
      </c>
      <c r="E216" s="498">
        <v>14140400</v>
      </c>
      <c r="F216" s="499">
        <v>12.949084249084249</v>
      </c>
      <c r="G216" s="498">
        <v>95059600</v>
      </c>
      <c r="H216" s="500">
        <v>87.050915750915749</v>
      </c>
    </row>
    <row r="217" spans="3:8" ht="17.100000000000001" customHeight="1">
      <c r="C217" s="510" t="s">
        <v>3880</v>
      </c>
      <c r="D217" s="501">
        <v>109200000</v>
      </c>
      <c r="E217" s="501">
        <v>14140400</v>
      </c>
      <c r="F217" s="502">
        <v>12.949084249084249</v>
      </c>
      <c r="G217" s="501">
        <v>95059600</v>
      </c>
      <c r="H217" s="503">
        <v>87.050915750915749</v>
      </c>
    </row>
    <row r="218" spans="3:8" ht="17.100000000000001" customHeight="1">
      <c r="C218" s="508" t="s">
        <v>3773</v>
      </c>
      <c r="D218" s="487">
        <v>25000000</v>
      </c>
      <c r="E218" s="487">
        <v>5920400</v>
      </c>
      <c r="F218" s="488">
        <v>23.6816</v>
      </c>
      <c r="G218" s="487">
        <v>19079600</v>
      </c>
      <c r="H218" s="489">
        <v>76.318399999999997</v>
      </c>
    </row>
    <row r="219" spans="3:8" ht="17.100000000000001" customHeight="1">
      <c r="C219" s="508" t="s">
        <v>3791</v>
      </c>
      <c r="D219" s="487">
        <v>30000000</v>
      </c>
      <c r="E219" s="487">
        <v>8220000</v>
      </c>
      <c r="F219" s="488">
        <v>27.400000000000002</v>
      </c>
      <c r="G219" s="487">
        <v>21780000</v>
      </c>
      <c r="H219" s="489">
        <v>72.599999999999994</v>
      </c>
    </row>
    <row r="220" spans="3:8" ht="17.100000000000001" customHeight="1">
      <c r="C220" s="508" t="s">
        <v>3777</v>
      </c>
      <c r="D220" s="487">
        <v>54200000</v>
      </c>
      <c r="E220" s="487">
        <v>0</v>
      </c>
      <c r="F220" s="488">
        <v>0</v>
      </c>
      <c r="G220" s="487">
        <v>54200000</v>
      </c>
      <c r="H220" s="489">
        <v>100</v>
      </c>
    </row>
    <row r="221" spans="3:8" ht="17.100000000000001" customHeight="1">
      <c r="C221" s="482" t="s">
        <v>3887</v>
      </c>
      <c r="D221" s="487">
        <v>13875804000</v>
      </c>
      <c r="E221" s="487">
        <v>8203483476</v>
      </c>
      <c r="F221" s="488">
        <v>59.120779422943706</v>
      </c>
      <c r="G221" s="487">
        <v>5672320524</v>
      </c>
      <c r="H221" s="489">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422" priority="2" operator="lessThan">
      <formula>0</formula>
    </cfRule>
  </conditionalFormatting>
  <conditionalFormatting pivot="1" sqref="G6:G221">
    <cfRule type="cellIs" dxfId="2421" priority="1" operator="lessThan">
      <formula>0</formula>
    </cfRule>
  </conditionalFormatting>
  <pageMargins left="0.34" right="0.22" top="0.25" bottom="0.24" header="0.19" footer="0.16"/>
  <pageSetup paperSize="9" scale="54"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topLeftCell="A17" zoomScaleNormal="100" workbookViewId="0">
      <selection activeCell="F45" sqref="F45"/>
    </sheetView>
  </sheetViews>
  <sheetFormatPr defaultRowHeight="15"/>
  <cols>
    <col min="2" max="2" width="36.28515625" bestFit="1" customWidth="1"/>
    <col min="3" max="3" width="13.42578125" customWidth="1"/>
    <col min="4" max="5" width="15.5703125" bestFit="1" customWidth="1"/>
    <col min="6" max="6" width="15.4257812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8" t="s">
        <v>565</v>
      </c>
      <c r="C8" s="237">
        <v>99961115</v>
      </c>
      <c r="D8" s="237">
        <v>39291922</v>
      </c>
      <c r="E8" s="237">
        <v>95254996</v>
      </c>
      <c r="F8" s="237">
        <v>90588412</v>
      </c>
      <c r="G8" s="237">
        <v>75905247</v>
      </c>
      <c r="H8" s="237">
        <v>88923902</v>
      </c>
      <c r="I8" s="237">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8" t="s">
        <v>532</v>
      </c>
      <c r="C11" s="237">
        <v>0</v>
      </c>
      <c r="D11" s="237">
        <v>13965000</v>
      </c>
      <c r="E11" s="237">
        <v>0</v>
      </c>
      <c r="F11" s="237">
        <v>0</v>
      </c>
      <c r="G11" s="237">
        <v>300383</v>
      </c>
      <c r="H11" s="237">
        <v>0</v>
      </c>
      <c r="I11" s="237">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8" t="s">
        <v>524</v>
      </c>
      <c r="C14" s="237">
        <v>0</v>
      </c>
      <c r="D14" s="237">
        <v>21269213</v>
      </c>
      <c r="E14" s="237">
        <v>0</v>
      </c>
      <c r="F14" s="237">
        <v>0</v>
      </c>
      <c r="G14" s="237">
        <v>16306833</v>
      </c>
      <c r="H14" s="237">
        <v>4500000</v>
      </c>
      <c r="I14" s="237">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8" t="s">
        <v>528</v>
      </c>
      <c r="C17" s="237">
        <v>0</v>
      </c>
      <c r="D17" s="237">
        <v>23650240</v>
      </c>
      <c r="E17" s="237">
        <v>0</v>
      </c>
      <c r="F17" s="237">
        <v>4851204</v>
      </c>
      <c r="G17" s="237">
        <v>1326114</v>
      </c>
      <c r="H17" s="237">
        <v>0</v>
      </c>
      <c r="I17" s="237">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3" spans="2:9">
      <c r="B23" s="222" t="s">
        <v>3910</v>
      </c>
      <c r="C23" s="223" t="s">
        <v>3895</v>
      </c>
      <c r="D23" s="223" t="s">
        <v>4257</v>
      </c>
      <c r="E23" s="223" t="s">
        <v>4410</v>
      </c>
      <c r="F23" s="223" t="s">
        <v>7745</v>
      </c>
      <c r="G23" s="511"/>
      <c r="H23" s="511"/>
      <c r="I23" s="511"/>
    </row>
    <row r="24" spans="2:9">
      <c r="B24" s="222" t="s">
        <v>3908</v>
      </c>
      <c r="C24" s="224" t="s">
        <v>4226</v>
      </c>
      <c r="D24" s="224" t="s">
        <v>4225</v>
      </c>
      <c r="E24" s="224" t="s">
        <v>4224</v>
      </c>
      <c r="F24" s="225" t="s">
        <v>4223</v>
      </c>
      <c r="G24" s="512"/>
      <c r="H24" s="512"/>
      <c r="I24" s="512"/>
    </row>
    <row r="25" spans="2:9" hidden="1">
      <c r="B25" s="193" t="s">
        <v>3902</v>
      </c>
      <c r="C25" s="110" t="s">
        <v>3900</v>
      </c>
      <c r="D25" s="110" t="s">
        <v>4291</v>
      </c>
      <c r="E25" s="110" t="s">
        <v>4429</v>
      </c>
      <c r="F25" s="110" t="s">
        <v>7749</v>
      </c>
    </row>
    <row r="26" spans="2:9">
      <c r="B26" s="238" t="s">
        <v>565</v>
      </c>
      <c r="C26" s="237">
        <v>249311050</v>
      </c>
      <c r="D26" s="237">
        <v>103091640</v>
      </c>
      <c r="E26" s="237">
        <v>2030000</v>
      </c>
      <c r="F26" s="237">
        <v>15061500</v>
      </c>
    </row>
    <row r="27" spans="2:9">
      <c r="B27" s="207" t="s">
        <v>535</v>
      </c>
      <c r="C27" s="115">
        <v>50674500</v>
      </c>
      <c r="D27" s="115">
        <v>25762820</v>
      </c>
      <c r="E27" s="115">
        <v>2030000</v>
      </c>
      <c r="F27" s="115">
        <v>2915000</v>
      </c>
    </row>
    <row r="28" spans="2:9">
      <c r="B28" s="207" t="s">
        <v>549</v>
      </c>
      <c r="C28" s="115">
        <v>198636550</v>
      </c>
      <c r="D28" s="115">
        <v>77328820</v>
      </c>
      <c r="E28" s="115">
        <v>0</v>
      </c>
      <c r="F28" s="115">
        <v>12146500</v>
      </c>
    </row>
    <row r="29" spans="2:9">
      <c r="B29" s="238" t="s">
        <v>532</v>
      </c>
      <c r="C29" s="237">
        <v>46363943</v>
      </c>
      <c r="D29" s="237">
        <v>99280968</v>
      </c>
      <c r="E29" s="237">
        <v>5529500</v>
      </c>
      <c r="F29" s="237">
        <v>45258140</v>
      </c>
    </row>
    <row r="30" spans="2:9">
      <c r="B30" s="207" t="s">
        <v>570</v>
      </c>
      <c r="C30" s="115">
        <v>5496528</v>
      </c>
      <c r="D30" s="115">
        <v>36489355</v>
      </c>
      <c r="E30" s="115">
        <v>2640000</v>
      </c>
      <c r="F30" s="115">
        <v>12338659</v>
      </c>
    </row>
    <row r="31" spans="2:9">
      <c r="B31" s="207" t="s">
        <v>533</v>
      </c>
      <c r="C31" s="115">
        <v>40867415</v>
      </c>
      <c r="D31" s="115">
        <v>62791613</v>
      </c>
      <c r="E31" s="115">
        <v>2889500</v>
      </c>
      <c r="F31" s="115">
        <v>32919481</v>
      </c>
    </row>
    <row r="32" spans="2:9">
      <c r="B32" s="238" t="s">
        <v>524</v>
      </c>
      <c r="C32" s="237">
        <v>53677994</v>
      </c>
      <c r="D32" s="237">
        <v>45801723</v>
      </c>
      <c r="E32" s="237">
        <v>0</v>
      </c>
      <c r="F32" s="237">
        <v>12895000</v>
      </c>
    </row>
    <row r="33" spans="2:10">
      <c r="B33" s="207" t="s">
        <v>525</v>
      </c>
      <c r="C33" s="115">
        <v>31461994</v>
      </c>
      <c r="D33" s="115">
        <v>15810223</v>
      </c>
      <c r="E33" s="115">
        <v>0</v>
      </c>
      <c r="F33" s="115">
        <v>12895000</v>
      </c>
    </row>
    <row r="34" spans="2:10">
      <c r="B34" s="207" t="s">
        <v>527</v>
      </c>
      <c r="C34" s="115">
        <v>22216000</v>
      </c>
      <c r="D34" s="115">
        <v>29991500</v>
      </c>
      <c r="E34" s="115">
        <v>0</v>
      </c>
      <c r="F34" s="115">
        <v>0</v>
      </c>
    </row>
    <row r="35" spans="2:10">
      <c r="B35" s="238" t="s">
        <v>528</v>
      </c>
      <c r="C35" s="237">
        <v>61147200</v>
      </c>
      <c r="D35" s="237">
        <v>63914400</v>
      </c>
      <c r="E35" s="237">
        <v>0</v>
      </c>
      <c r="F35" s="237">
        <v>76182750</v>
      </c>
    </row>
    <row r="36" spans="2:10">
      <c r="B36" s="207" t="s">
        <v>529</v>
      </c>
      <c r="C36" s="115">
        <v>35690450</v>
      </c>
      <c r="D36" s="115">
        <v>63914400</v>
      </c>
      <c r="E36" s="115">
        <v>0</v>
      </c>
      <c r="F36" s="115">
        <v>72184250</v>
      </c>
    </row>
    <row r="37" spans="2:10">
      <c r="B37" s="207" t="s">
        <v>531</v>
      </c>
      <c r="C37" s="115">
        <v>25456750</v>
      </c>
      <c r="D37" s="115">
        <v>0</v>
      </c>
      <c r="E37" s="115">
        <v>0</v>
      </c>
      <c r="F37" s="115">
        <v>3998500</v>
      </c>
    </row>
    <row r="38" spans="2:10">
      <c r="B38" s="194" t="s">
        <v>3887</v>
      </c>
      <c r="C38" s="115">
        <v>410500187</v>
      </c>
      <c r="D38" s="115">
        <v>312088731</v>
      </c>
      <c r="E38" s="115">
        <v>7559500</v>
      </c>
      <c r="F38" s="115">
        <v>149397390</v>
      </c>
    </row>
    <row r="40" spans="2:10">
      <c r="B40" s="110" t="s">
        <v>7753</v>
      </c>
      <c r="C40" s="481">
        <v>672309000</v>
      </c>
      <c r="D40" s="110"/>
      <c r="E40" s="481">
        <v>394620000</v>
      </c>
      <c r="F40" s="481">
        <v>384472000</v>
      </c>
    </row>
    <row r="41" spans="2:10">
      <c r="B41" s="110" t="s">
        <v>7754</v>
      </c>
      <c r="C41" s="481">
        <f>C40-C38</f>
        <v>261808813</v>
      </c>
      <c r="D41" s="110"/>
      <c r="E41" s="115">
        <f>E40-GETPIVOTDATA("Sum of TUP 2 (1)",$B$25)-GETPIVOTDATA("Sum of TUP 2 (2)",$B$25)</f>
        <v>74971769</v>
      </c>
      <c r="F41" s="115">
        <f>F40-GETPIVOTDATA("Sum of TUP 3",$B$25)</f>
        <v>235074610</v>
      </c>
    </row>
    <row r="42" spans="2:10">
      <c r="B42" s="110" t="s">
        <v>7755</v>
      </c>
      <c r="C42" s="481">
        <v>262336813</v>
      </c>
      <c r="D42" s="110"/>
      <c r="E42" s="115">
        <f>E41</f>
        <v>74971769</v>
      </c>
      <c r="F42" s="481">
        <v>132059500</v>
      </c>
    </row>
    <row r="43" spans="2:10">
      <c r="B43" s="110" t="s">
        <v>7756</v>
      </c>
      <c r="C43" s="513" t="s">
        <v>7758</v>
      </c>
      <c r="D43" s="514"/>
      <c r="E43" s="513" t="s">
        <v>7757</v>
      </c>
      <c r="F43" s="513" t="s">
        <v>7759</v>
      </c>
    </row>
    <row r="44" spans="2:10">
      <c r="B44" s="110" t="s">
        <v>7760</v>
      </c>
      <c r="C44" s="115">
        <f>C42-C41</f>
        <v>528000</v>
      </c>
      <c r="D44" s="115">
        <f t="shared" ref="D44:E44" si="0">D42-D41</f>
        <v>0</v>
      </c>
      <c r="E44" s="115">
        <f t="shared" si="0"/>
        <v>0</v>
      </c>
      <c r="F44" s="115">
        <v>0</v>
      </c>
      <c r="J44" t="s">
        <v>3726</v>
      </c>
    </row>
    <row r="45" spans="2:10">
      <c r="B45" s="110" t="s">
        <v>7761</v>
      </c>
      <c r="C45" s="110"/>
      <c r="D45" s="110"/>
      <c r="E45" s="110"/>
      <c r="F45" s="115">
        <f>F41-F42</f>
        <v>103015110</v>
      </c>
    </row>
  </sheetData>
  <phoneticPr fontId="26" type="noConversion"/>
  <pageMargins left="0.25" right="0.25" top="0.75" bottom="0.75" header="0.3" footer="0.3"/>
  <pageSetup paperSize="9"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5" bestFit="1" customWidth="1"/>
    <col min="40" max="40" width="9.85546875" style="160" customWidth="1"/>
    <col min="41" max="41" width="15.28515625" style="255"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5010</v>
      </c>
      <c r="R3" s="255" t="s">
        <v>4935</v>
      </c>
      <c r="S3" s="255" t="s">
        <v>4645</v>
      </c>
      <c r="T3" s="255" t="s">
        <v>4646</v>
      </c>
      <c r="U3" s="255"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5" t="s">
        <v>3732</v>
      </c>
      <c r="AN3" s="160" t="s">
        <v>3888</v>
      </c>
      <c r="AO3" s="255"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3" t="s">
        <v>4738</v>
      </c>
      <c r="BD3" s="351" t="s">
        <v>4817</v>
      </c>
      <c r="BE3" s="478"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9"/>
      <c r="T4" s="299">
        <v>0</v>
      </c>
      <c r="U4" s="299">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6">
        <f t="shared" ref="AM4:AM67" si="0">SUM(V4:AG4)</f>
        <v>10381000</v>
      </c>
      <c r="AN4" s="175">
        <f t="shared" ref="AN4:AN35" si="1">IFERROR(AM4/Q4*100,0)</f>
        <v>52.231446540880498</v>
      </c>
      <c r="AO4" s="276">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6"/>
      <c r="T5" s="256">
        <v>0</v>
      </c>
      <c r="U5" s="256">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6">
        <f t="shared" si="0"/>
        <v>6300000</v>
      </c>
      <c r="AN5" s="175">
        <f t="shared" si="1"/>
        <v>31.5</v>
      </c>
      <c r="AO5" s="276">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6"/>
      <c r="T6" s="256">
        <v>0</v>
      </c>
      <c r="U6" s="256">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6">
        <f t="shared" si="0"/>
        <v>34786000</v>
      </c>
      <c r="AN6" s="175">
        <f t="shared" si="1"/>
        <v>80.411465557096633</v>
      </c>
      <c r="AO6" s="276">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6"/>
      <c r="T7" s="256">
        <v>0</v>
      </c>
      <c r="U7" s="256">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6">
        <f t="shared" si="0"/>
        <v>6511000</v>
      </c>
      <c r="AN7" s="175">
        <f t="shared" si="1"/>
        <v>33.389743589743595</v>
      </c>
      <c r="AO7" s="276">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6"/>
      <c r="T8" s="256">
        <v>0</v>
      </c>
      <c r="U8" s="256">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6">
        <f t="shared" si="0"/>
        <v>900000</v>
      </c>
      <c r="AN8" s="175">
        <f t="shared" si="1"/>
        <v>22.5</v>
      </c>
      <c r="AO8" s="276">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6"/>
      <c r="T9" s="256">
        <v>0</v>
      </c>
      <c r="U9" s="256">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6">
        <f t="shared" si="0"/>
        <v>17460000</v>
      </c>
      <c r="AN9" s="175">
        <f t="shared" si="1"/>
        <v>99.971371314056682</v>
      </c>
      <c r="AO9" s="276">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6"/>
      <c r="T10" s="256">
        <v>0</v>
      </c>
      <c r="U10" s="256">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6">
        <f t="shared" si="0"/>
        <v>4620000</v>
      </c>
      <c r="AN10" s="175">
        <f t="shared" si="1"/>
        <v>21.741176470588236</v>
      </c>
      <c r="AO10" s="276">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6"/>
      <c r="T11" s="256">
        <v>0</v>
      </c>
      <c r="U11" s="256">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6">
        <f t="shared" si="0"/>
        <v>25895585</v>
      </c>
      <c r="AN11" s="175">
        <f t="shared" si="1"/>
        <v>77.881458646616537</v>
      </c>
      <c r="AO11" s="276">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6"/>
      <c r="T12" s="256">
        <v>0</v>
      </c>
      <c r="U12" s="256">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6">
        <f t="shared" si="0"/>
        <v>35440750</v>
      </c>
      <c r="AN12" s="175">
        <f t="shared" si="1"/>
        <v>54.608243451463792</v>
      </c>
      <c r="AO12" s="276">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6"/>
      <c r="T13" s="256">
        <v>0</v>
      </c>
      <c r="U13" s="256">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6">
        <f t="shared" si="0"/>
        <v>963000</v>
      </c>
      <c r="AN13" s="175">
        <f t="shared" si="1"/>
        <v>16.05</v>
      </c>
      <c r="AO13" s="276">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6"/>
      <c r="T14" s="256">
        <v>0</v>
      </c>
      <c r="U14" s="256">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6">
        <f t="shared" si="0"/>
        <v>12006500</v>
      </c>
      <c r="AN14" s="175">
        <f t="shared" si="1"/>
        <v>40.021666666666668</v>
      </c>
      <c r="AO14" s="276">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6"/>
      <c r="T15" s="256">
        <v>0</v>
      </c>
      <c r="U15" s="256">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6">
        <f t="shared" si="0"/>
        <v>9000000</v>
      </c>
      <c r="AN15" s="175">
        <f t="shared" si="1"/>
        <v>35.714285714285715</v>
      </c>
      <c r="AO15" s="276">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6"/>
      <c r="T16" s="256">
        <v>0</v>
      </c>
      <c r="U16" s="256">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6">
        <f t="shared" si="0"/>
        <v>0</v>
      </c>
      <c r="AN16" s="175">
        <f t="shared" si="1"/>
        <v>0</v>
      </c>
      <c r="AO16" s="276">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6"/>
      <c r="T17" s="256">
        <v>0</v>
      </c>
      <c r="U17" s="256">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6">
        <f t="shared" si="0"/>
        <v>153301600</v>
      </c>
      <c r="AN17" s="175">
        <f t="shared" si="1"/>
        <v>60.516019011226732</v>
      </c>
      <c r="AO17" s="276">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6"/>
      <c r="T18" s="256">
        <v>0</v>
      </c>
      <c r="U18" s="256">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6">
        <f t="shared" si="0"/>
        <v>0</v>
      </c>
      <c r="AN18" s="175">
        <f t="shared" si="1"/>
        <v>0</v>
      </c>
      <c r="AO18" s="276">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6"/>
      <c r="T19" s="256">
        <v>0</v>
      </c>
      <c r="U19" s="256">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6">
        <f t="shared" si="0"/>
        <v>10438550</v>
      </c>
      <c r="AN19" s="175">
        <f t="shared" si="1"/>
        <v>14.60836038961039</v>
      </c>
      <c r="AO19" s="276">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6"/>
      <c r="T20" s="256">
        <v>0</v>
      </c>
      <c r="U20" s="256">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6">
        <f t="shared" si="0"/>
        <v>4262850</v>
      </c>
      <c r="AN20" s="175">
        <f t="shared" si="1"/>
        <v>85.257000000000005</v>
      </c>
      <c r="AO20" s="276">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6"/>
      <c r="T21" s="256">
        <v>0</v>
      </c>
      <c r="U21" s="256">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6">
        <f t="shared" si="0"/>
        <v>2453500</v>
      </c>
      <c r="AN21" s="175">
        <f t="shared" si="1"/>
        <v>16.356666666666666</v>
      </c>
      <c r="AO21" s="276">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6"/>
      <c r="T22" s="256">
        <v>0</v>
      </c>
      <c r="U22" s="256">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6">
        <f t="shared" si="0"/>
        <v>6300000</v>
      </c>
      <c r="AN22" s="175">
        <f t="shared" si="1"/>
        <v>38.888888888888893</v>
      </c>
      <c r="AO22" s="276">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6"/>
      <c r="T23" s="256">
        <v>0</v>
      </c>
      <c r="U23" s="256">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6">
        <f t="shared" si="0"/>
        <v>365000</v>
      </c>
      <c r="AN23" s="175">
        <f t="shared" si="1"/>
        <v>18.25</v>
      </c>
      <c r="AO23" s="276">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6"/>
      <c r="T24" s="256">
        <v>0</v>
      </c>
      <c r="U24" s="256">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6">
        <f t="shared" si="0"/>
        <v>131436690</v>
      </c>
      <c r="AN24" s="175">
        <f t="shared" si="1"/>
        <v>95.133678343949043</v>
      </c>
      <c r="AO24" s="276">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6"/>
      <c r="T25" s="256">
        <v>0</v>
      </c>
      <c r="U25" s="256">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6">
        <f t="shared" si="0"/>
        <v>0</v>
      </c>
      <c r="AN25" s="175">
        <f t="shared" si="1"/>
        <v>0</v>
      </c>
      <c r="AO25" s="276">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6"/>
      <c r="T26" s="256">
        <v>0</v>
      </c>
      <c r="U26" s="256">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6">
        <f t="shared" si="0"/>
        <v>0</v>
      </c>
      <c r="AN26" s="175">
        <f t="shared" si="1"/>
        <v>0</v>
      </c>
      <c r="AO26" s="276">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6"/>
      <c r="T27" s="256">
        <v>0</v>
      </c>
      <c r="U27" s="256">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6">
        <f t="shared" si="0"/>
        <v>0</v>
      </c>
      <c r="AN27" s="175">
        <f t="shared" si="1"/>
        <v>0</v>
      </c>
      <c r="AO27" s="276">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6"/>
      <c r="T28" s="256">
        <v>0</v>
      </c>
      <c r="U28" s="256">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6">
        <f t="shared" si="0"/>
        <v>0</v>
      </c>
      <c r="AN28" s="175">
        <f t="shared" si="1"/>
        <v>0</v>
      </c>
      <c r="AO28" s="276">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6"/>
      <c r="T29" s="256">
        <v>0</v>
      </c>
      <c r="U29" s="256">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6">
        <f t="shared" si="0"/>
        <v>13489250</v>
      </c>
      <c r="AN29" s="175">
        <f t="shared" si="1"/>
        <v>99.920370370370364</v>
      </c>
      <c r="AO29" s="276">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6"/>
      <c r="T30" s="256">
        <v>0</v>
      </c>
      <c r="U30" s="256">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6">
        <f t="shared" si="0"/>
        <v>0</v>
      </c>
      <c r="AN30" s="175">
        <f t="shared" si="1"/>
        <v>0</v>
      </c>
      <c r="AO30" s="276">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6"/>
      <c r="T31" s="256">
        <v>0</v>
      </c>
      <c r="U31" s="256">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6">
        <f t="shared" si="0"/>
        <v>7200000</v>
      </c>
      <c r="AN31" s="175">
        <f t="shared" si="1"/>
        <v>47.058823529411761</v>
      </c>
      <c r="AO31" s="276">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6"/>
      <c r="T32" s="256">
        <v>0</v>
      </c>
      <c r="U32" s="256">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6">
        <f t="shared" si="0"/>
        <v>0</v>
      </c>
      <c r="AN32" s="175">
        <f t="shared" si="1"/>
        <v>0</v>
      </c>
      <c r="AO32" s="276">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6"/>
      <c r="T33" s="256">
        <v>0</v>
      </c>
      <c r="U33" s="256">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6">
        <f t="shared" si="0"/>
        <v>60912610</v>
      </c>
      <c r="AN33" s="175">
        <f t="shared" si="1"/>
        <v>62.528342366757009</v>
      </c>
      <c r="AO33" s="276">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6"/>
      <c r="T34" s="256">
        <v>0</v>
      </c>
      <c r="U34" s="256">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6">
        <f t="shared" si="0"/>
        <v>114200000</v>
      </c>
      <c r="AN34" s="175">
        <f t="shared" si="1"/>
        <v>100</v>
      </c>
      <c r="AO34" s="276">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6"/>
      <c r="T35" s="256">
        <v>0</v>
      </c>
      <c r="U35" s="256">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6">
        <f t="shared" si="0"/>
        <v>6915400</v>
      </c>
      <c r="AN35" s="175">
        <f t="shared" si="1"/>
        <v>55.769354838709674</v>
      </c>
      <c r="AO35" s="276">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6"/>
      <c r="T36" s="256">
        <v>0</v>
      </c>
      <c r="U36" s="256">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6">
        <f t="shared" si="0"/>
        <v>0</v>
      </c>
      <c r="AN36" s="175">
        <f t="shared" ref="AN36:AN67" si="5">IFERROR(AM36/Q36*100,0)</f>
        <v>0</v>
      </c>
      <c r="AO36" s="276">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6"/>
      <c r="T37" s="256">
        <v>0</v>
      </c>
      <c r="U37" s="256">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6">
        <f t="shared" si="0"/>
        <v>5329750</v>
      </c>
      <c r="AN37" s="175">
        <f t="shared" si="5"/>
        <v>53.297499999999999</v>
      </c>
      <c r="AO37" s="276">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6"/>
      <c r="T38" s="256">
        <v>0</v>
      </c>
      <c r="U38" s="256">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6">
        <f t="shared" si="0"/>
        <v>0</v>
      </c>
      <c r="AN38" s="175">
        <f t="shared" si="5"/>
        <v>0</v>
      </c>
      <c r="AO38" s="276">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6"/>
      <c r="T39" s="256">
        <v>0</v>
      </c>
      <c r="U39" s="256">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6">
        <f t="shared" si="0"/>
        <v>19507600</v>
      </c>
      <c r="AN39" s="175">
        <f t="shared" si="5"/>
        <v>21.449651441514746</v>
      </c>
      <c r="AO39" s="276">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6"/>
      <c r="T40" s="256">
        <v>0</v>
      </c>
      <c r="U40" s="256">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6">
        <f t="shared" si="0"/>
        <v>4998800</v>
      </c>
      <c r="AN40" s="175">
        <f t="shared" si="5"/>
        <v>99.975999999999999</v>
      </c>
      <c r="AO40" s="276">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6"/>
      <c r="T41" s="256">
        <v>0</v>
      </c>
      <c r="U41" s="256">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6">
        <f t="shared" si="0"/>
        <v>12688500</v>
      </c>
      <c r="AN41" s="175">
        <f t="shared" si="5"/>
        <v>97.686503964893362</v>
      </c>
      <c r="AO41" s="276">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6"/>
      <c r="T42" s="256">
        <v>0</v>
      </c>
      <c r="U42" s="256">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6">
        <f t="shared" si="0"/>
        <v>750000</v>
      </c>
      <c r="AN42" s="175">
        <f t="shared" si="5"/>
        <v>100</v>
      </c>
      <c r="AO42" s="276">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6"/>
      <c r="T43" s="256">
        <v>0</v>
      </c>
      <c r="U43" s="256">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6">
        <f t="shared" si="0"/>
        <v>7425000</v>
      </c>
      <c r="AN43" s="175">
        <f t="shared" si="5"/>
        <v>74.25</v>
      </c>
      <c r="AO43" s="276">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6"/>
      <c r="T44" s="256">
        <v>0</v>
      </c>
      <c r="U44" s="256">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6">
        <f t="shared" si="0"/>
        <v>2031000</v>
      </c>
      <c r="AN44" s="175">
        <f t="shared" si="5"/>
        <v>100</v>
      </c>
      <c r="AO44" s="276">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6"/>
      <c r="T45" s="256">
        <v>0</v>
      </c>
      <c r="U45" s="256">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6">
        <f t="shared" si="0"/>
        <v>263521871</v>
      </c>
      <c r="AN45" s="175">
        <f t="shared" si="5"/>
        <v>70.529414079018508</v>
      </c>
      <c r="AO45" s="276">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6"/>
      <c r="T46" s="256">
        <v>0</v>
      </c>
      <c r="U46" s="256">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6">
        <f t="shared" si="0"/>
        <v>33371740</v>
      </c>
      <c r="AN46" s="175">
        <f t="shared" si="5"/>
        <v>99.617134328358219</v>
      </c>
      <c r="AO46" s="276">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6"/>
      <c r="T47" s="256">
        <v>0</v>
      </c>
      <c r="U47" s="256">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6">
        <f t="shared" si="0"/>
        <v>0</v>
      </c>
      <c r="AN47" s="175">
        <f t="shared" si="5"/>
        <v>0</v>
      </c>
      <c r="AO47" s="276">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6"/>
      <c r="T48" s="256">
        <v>0</v>
      </c>
      <c r="U48" s="256">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6">
        <f t="shared" si="0"/>
        <v>8980000</v>
      </c>
      <c r="AN48" s="175">
        <f t="shared" si="5"/>
        <v>49.888888888888886</v>
      </c>
      <c r="AO48" s="276">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6"/>
      <c r="T49" s="256">
        <v>0</v>
      </c>
      <c r="U49" s="256">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6">
        <f t="shared" si="0"/>
        <v>600000</v>
      </c>
      <c r="AN49" s="175">
        <f t="shared" si="5"/>
        <v>26.666666666666668</v>
      </c>
      <c r="AO49" s="276">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6"/>
      <c r="T50" s="256">
        <v>0</v>
      </c>
      <c r="U50" s="256">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6">
        <f t="shared" si="0"/>
        <v>9448500</v>
      </c>
      <c r="AN50" s="175">
        <f t="shared" si="5"/>
        <v>69.988888888888894</v>
      </c>
      <c r="AO50" s="276">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6"/>
      <c r="T51" s="256">
        <v>0</v>
      </c>
      <c r="U51" s="256">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6">
        <f t="shared" si="0"/>
        <v>28515738</v>
      </c>
      <c r="AN51" s="175">
        <f t="shared" si="5"/>
        <v>59.790195626192521</v>
      </c>
      <c r="AO51" s="276">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6"/>
      <c r="T52" s="256">
        <v>0</v>
      </c>
      <c r="U52" s="256">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6">
        <f t="shared" si="0"/>
        <v>0</v>
      </c>
      <c r="AN52" s="175">
        <f t="shared" si="5"/>
        <v>0</v>
      </c>
      <c r="AO52" s="276">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6"/>
      <c r="T53" s="256">
        <v>0</v>
      </c>
      <c r="U53" s="256">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6">
        <f t="shared" si="0"/>
        <v>38095000</v>
      </c>
      <c r="AN53" s="175">
        <f t="shared" si="5"/>
        <v>99.98687664041995</v>
      </c>
      <c r="AO53" s="276">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6"/>
      <c r="T54" s="256">
        <v>0</v>
      </c>
      <c r="U54" s="256">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6">
        <f t="shared" si="0"/>
        <v>82534280</v>
      </c>
      <c r="AN54" s="175">
        <f t="shared" si="5"/>
        <v>99.999127642818195</v>
      </c>
      <c r="AO54" s="276">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6"/>
      <c r="T55" s="256">
        <v>0</v>
      </c>
      <c r="U55" s="256">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6">
        <f t="shared" si="0"/>
        <v>1600000</v>
      </c>
      <c r="AN55" s="175">
        <f t="shared" si="5"/>
        <v>99.688473520249218</v>
      </c>
      <c r="AO55" s="276">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6"/>
      <c r="T56" s="256">
        <v>0</v>
      </c>
      <c r="U56" s="256">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6">
        <f t="shared" si="0"/>
        <v>4246000</v>
      </c>
      <c r="AN56" s="175">
        <f t="shared" si="5"/>
        <v>100</v>
      </c>
      <c r="AO56" s="276">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6"/>
      <c r="T57" s="256">
        <v>0</v>
      </c>
      <c r="U57" s="256">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6">
        <f t="shared" si="0"/>
        <v>21850700</v>
      </c>
      <c r="AN57" s="175">
        <f t="shared" si="5"/>
        <v>99.998627065122875</v>
      </c>
      <c r="AO57" s="276">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6"/>
      <c r="T58" s="256">
        <v>515818000</v>
      </c>
      <c r="U58" s="256">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6">
        <f t="shared" si="0"/>
        <v>0</v>
      </c>
      <c r="AN58" s="175">
        <f t="shared" si="5"/>
        <v>0</v>
      </c>
      <c r="AO58" s="276">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6"/>
      <c r="T59" s="256">
        <v>0</v>
      </c>
      <c r="U59" s="256">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6">
        <f t="shared" si="0"/>
        <v>3999200</v>
      </c>
      <c r="AN59" s="175">
        <f t="shared" si="5"/>
        <v>99.98</v>
      </c>
      <c r="AO59" s="276">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6"/>
      <c r="T60" s="256">
        <v>0</v>
      </c>
      <c r="U60" s="256">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6">
        <f t="shared" si="0"/>
        <v>4297458</v>
      </c>
      <c r="AN60" s="175">
        <f t="shared" si="5"/>
        <v>99.987389483480698</v>
      </c>
      <c r="AO60" s="276">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6"/>
      <c r="T61" s="256">
        <v>432643000</v>
      </c>
      <c r="U61" s="256">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6">
        <f t="shared" si="0"/>
        <v>0</v>
      </c>
      <c r="AN61" s="175">
        <f t="shared" si="5"/>
        <v>0</v>
      </c>
      <c r="AO61" s="276">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6"/>
      <c r="T62" s="256">
        <v>0</v>
      </c>
      <c r="U62" s="256">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6">
        <f t="shared" si="0"/>
        <v>0</v>
      </c>
      <c r="AN62" s="175">
        <f t="shared" si="5"/>
        <v>0</v>
      </c>
      <c r="AO62" s="276">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6"/>
      <c r="T63" s="256">
        <v>0</v>
      </c>
      <c r="U63" s="256">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6">
        <f t="shared" si="0"/>
        <v>5350700</v>
      </c>
      <c r="AN63" s="175">
        <f t="shared" si="5"/>
        <v>59.065018213930898</v>
      </c>
      <c r="AO63" s="276">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6"/>
      <c r="T64" s="256">
        <v>0</v>
      </c>
      <c r="U64" s="256">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6">
        <f t="shared" si="0"/>
        <v>12517500</v>
      </c>
      <c r="AN64" s="175">
        <f t="shared" si="5"/>
        <v>99.741035856573703</v>
      </c>
      <c r="AO64" s="276">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6"/>
      <c r="T65" s="256">
        <v>0</v>
      </c>
      <c r="U65" s="256">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6">
        <f t="shared" si="0"/>
        <v>1191418</v>
      </c>
      <c r="AN65" s="175">
        <f t="shared" si="5"/>
        <v>99.951174496644285</v>
      </c>
      <c r="AO65" s="276">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6"/>
      <c r="T66" s="256">
        <v>0</v>
      </c>
      <c r="U66" s="256">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6">
        <f t="shared" si="0"/>
        <v>6000000</v>
      </c>
      <c r="AN66" s="175">
        <f t="shared" si="5"/>
        <v>66.666666666666657</v>
      </c>
      <c r="AO66" s="276">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6"/>
      <c r="T67" s="256">
        <v>0</v>
      </c>
      <c r="U67" s="256">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6">
        <f t="shared" si="0"/>
        <v>60763672</v>
      </c>
      <c r="AN67" s="175">
        <f t="shared" si="5"/>
        <v>99.999460206701343</v>
      </c>
      <c r="AO67" s="276">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6"/>
      <c r="T68" s="256">
        <v>118575000</v>
      </c>
      <c r="U68" s="256">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6">
        <f t="shared" ref="AM68:AM131" si="8">SUM(V68:AG68)</f>
        <v>0</v>
      </c>
      <c r="AN68" s="175">
        <f t="shared" ref="AN68:AN99" si="9">IFERROR(AM68/Q68*100,0)</f>
        <v>0</v>
      </c>
      <c r="AO68" s="276">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6"/>
      <c r="T69" s="256">
        <v>393200000</v>
      </c>
      <c r="U69" s="256">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6">
        <f t="shared" si="8"/>
        <v>0</v>
      </c>
      <c r="AN69" s="175">
        <f t="shared" si="9"/>
        <v>0</v>
      </c>
      <c r="AO69" s="276">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6"/>
      <c r="T70" s="256">
        <v>120000000</v>
      </c>
      <c r="U70" s="256">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6">
        <f t="shared" si="8"/>
        <v>0</v>
      </c>
      <c r="AN70" s="175">
        <f t="shared" si="9"/>
        <v>0</v>
      </c>
      <c r="AO70" s="276">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6"/>
      <c r="T71" s="256">
        <v>7962000</v>
      </c>
      <c r="U71" s="256">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6">
        <f t="shared" si="8"/>
        <v>0</v>
      </c>
      <c r="AN71" s="175">
        <f t="shared" si="9"/>
        <v>0</v>
      </c>
      <c r="AO71" s="276">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6"/>
      <c r="T72" s="256">
        <v>0</v>
      </c>
      <c r="U72" s="256">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6">
        <f t="shared" si="8"/>
        <v>9469000</v>
      </c>
      <c r="AN72" s="175">
        <f t="shared" si="9"/>
        <v>53.954415954415957</v>
      </c>
      <c r="AO72" s="276">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6"/>
      <c r="T73" s="256">
        <v>0</v>
      </c>
      <c r="U73" s="256">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6">
        <f t="shared" si="8"/>
        <v>620000</v>
      </c>
      <c r="AN73" s="175">
        <f t="shared" si="9"/>
        <v>2.2422335539401832</v>
      </c>
      <c r="AO73" s="276">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6"/>
      <c r="T74" s="256">
        <v>0</v>
      </c>
      <c r="U74" s="256">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6">
        <f t="shared" si="8"/>
        <v>24000000</v>
      </c>
      <c r="AN74" s="175">
        <f t="shared" si="9"/>
        <v>60</v>
      </c>
      <c r="AO74" s="276">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6"/>
      <c r="T75" s="256">
        <v>0</v>
      </c>
      <c r="U75" s="256">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6">
        <f t="shared" si="8"/>
        <v>25062000</v>
      </c>
      <c r="AN75" s="175">
        <f t="shared" si="9"/>
        <v>100</v>
      </c>
      <c r="AO75" s="276">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4"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6"/>
      <c r="T76" s="256">
        <v>0</v>
      </c>
      <c r="U76" s="256">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6">
        <f t="shared" si="8"/>
        <v>575609004</v>
      </c>
      <c r="AN76" s="175">
        <f t="shared" si="9"/>
        <v>53.484325137982935</v>
      </c>
      <c r="AO76" s="276">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4"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6"/>
      <c r="T77" s="256">
        <v>0</v>
      </c>
      <c r="U77" s="256">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6">
        <f t="shared" si="8"/>
        <v>69183000</v>
      </c>
      <c r="AN77" s="175">
        <f t="shared" si="9"/>
        <v>38.831948810058378</v>
      </c>
      <c r="AO77" s="276">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4"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6"/>
      <c r="T78" s="256">
        <v>0</v>
      </c>
      <c r="U78" s="256">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6">
        <f t="shared" si="8"/>
        <v>2527050</v>
      </c>
      <c r="AN78" s="175">
        <f t="shared" si="9"/>
        <v>8.4235000000000007</v>
      </c>
      <c r="AO78" s="276">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4"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6"/>
      <c r="T79" s="256">
        <v>0</v>
      </c>
      <c r="U79" s="256">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6">
        <f t="shared" si="8"/>
        <v>79700000</v>
      </c>
      <c r="AN79" s="175">
        <f t="shared" si="9"/>
        <v>67.058190017837319</v>
      </c>
      <c r="AO79" s="276">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4"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6"/>
      <c r="T80" s="256">
        <v>0</v>
      </c>
      <c r="U80" s="256">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6">
        <f t="shared" si="8"/>
        <v>135905260</v>
      </c>
      <c r="AN80" s="175">
        <f t="shared" si="9"/>
        <v>27.342371994769138</v>
      </c>
      <c r="AO80" s="276">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4"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6"/>
      <c r="T81" s="256">
        <v>0</v>
      </c>
      <c r="U81" s="256">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6">
        <f t="shared" si="8"/>
        <v>12000000</v>
      </c>
      <c r="AN81" s="175">
        <f t="shared" si="9"/>
        <v>33.333333333333329</v>
      </c>
      <c r="AO81" s="276">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4"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6"/>
      <c r="T82" s="256">
        <v>0</v>
      </c>
      <c r="U82" s="256">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6">
        <f t="shared" si="8"/>
        <v>44410000</v>
      </c>
      <c r="AN82" s="175">
        <f t="shared" si="9"/>
        <v>43.963332541379586</v>
      </c>
      <c r="AO82" s="276">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4"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6"/>
      <c r="T83" s="256">
        <v>0</v>
      </c>
      <c r="U83" s="256">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6">
        <f t="shared" si="8"/>
        <v>28368000</v>
      </c>
      <c r="AN83" s="175">
        <f t="shared" si="9"/>
        <v>48.608636052090468</v>
      </c>
      <c r="AO83" s="276">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4"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6">
        <v>45000000</v>
      </c>
      <c r="T84" s="256">
        <v>0</v>
      </c>
      <c r="U84" s="256">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6">
        <f t="shared" si="8"/>
        <v>0</v>
      </c>
      <c r="AN84" s="175">
        <f t="shared" si="9"/>
        <v>0</v>
      </c>
      <c r="AO84" s="276">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4"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6">
        <v>26000000</v>
      </c>
      <c r="T85" s="256">
        <v>0</v>
      </c>
      <c r="U85" s="256">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6">
        <f t="shared" si="8"/>
        <v>0</v>
      </c>
      <c r="AN85" s="175">
        <f t="shared" si="9"/>
        <v>0</v>
      </c>
      <c r="AO85" s="276">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4"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6">
        <v>29000000</v>
      </c>
      <c r="T86" s="256">
        <v>0</v>
      </c>
      <c r="U86" s="256">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6">
        <f t="shared" si="8"/>
        <v>0</v>
      </c>
      <c r="AN86" s="175">
        <f t="shared" si="9"/>
        <v>0</v>
      </c>
      <c r="AO86" s="276">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6"/>
      <c r="T87" s="256">
        <v>0</v>
      </c>
      <c r="U87" s="256">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6">
        <f t="shared" si="8"/>
        <v>540000000</v>
      </c>
      <c r="AN87" s="175">
        <f t="shared" si="9"/>
        <v>100</v>
      </c>
      <c r="AO87" s="276">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6"/>
      <c r="T88" s="256">
        <v>0</v>
      </c>
      <c r="U88" s="256">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6">
        <f t="shared" si="8"/>
        <v>4448550</v>
      </c>
      <c r="AN88" s="175">
        <f t="shared" si="9"/>
        <v>74.142499999999998</v>
      </c>
      <c r="AO88" s="276">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6"/>
      <c r="T89" s="256">
        <v>0</v>
      </c>
      <c r="U89" s="256">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6">
        <f t="shared" si="8"/>
        <v>702895</v>
      </c>
      <c r="AN89" s="175">
        <f t="shared" si="9"/>
        <v>70.289500000000004</v>
      </c>
      <c r="AO89" s="276">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6"/>
      <c r="T90" s="256">
        <v>0</v>
      </c>
      <c r="U90" s="256">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6">
        <f t="shared" si="8"/>
        <v>6344000</v>
      </c>
      <c r="AN90" s="175">
        <f t="shared" si="9"/>
        <v>63.44</v>
      </c>
      <c r="AO90" s="276">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6"/>
      <c r="T91" s="256">
        <v>0</v>
      </c>
      <c r="U91" s="256">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6">
        <f t="shared" si="8"/>
        <v>5163500</v>
      </c>
      <c r="AN91" s="175">
        <f t="shared" si="9"/>
        <v>99.990317583268791</v>
      </c>
      <c r="AO91" s="276">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6"/>
      <c r="T92" s="256">
        <v>0</v>
      </c>
      <c r="U92" s="256">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6">
        <f t="shared" si="8"/>
        <v>7434850</v>
      </c>
      <c r="AN92" s="175">
        <f t="shared" si="9"/>
        <v>61.95708333333333</v>
      </c>
      <c r="AO92" s="276">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6"/>
      <c r="T93" s="256">
        <v>0</v>
      </c>
      <c r="U93" s="256">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6">
        <f t="shared" si="8"/>
        <v>358831</v>
      </c>
      <c r="AN93" s="175">
        <f t="shared" si="9"/>
        <v>35.883099999999999</v>
      </c>
      <c r="AO93" s="276">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6"/>
      <c r="T94" s="256">
        <v>0</v>
      </c>
      <c r="U94" s="256">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6">
        <f t="shared" si="8"/>
        <v>12648000</v>
      </c>
      <c r="AN94" s="175">
        <f t="shared" si="9"/>
        <v>63.239999999999995</v>
      </c>
      <c r="AO94" s="276">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6"/>
      <c r="T95" s="256">
        <v>0</v>
      </c>
      <c r="U95" s="256">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6">
        <f t="shared" si="8"/>
        <v>0</v>
      </c>
      <c r="AN95" s="175">
        <f t="shared" si="9"/>
        <v>0</v>
      </c>
      <c r="AO95" s="276">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6"/>
      <c r="T96" s="256">
        <v>0</v>
      </c>
      <c r="U96" s="256">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6">
        <f t="shared" si="8"/>
        <v>17164850</v>
      </c>
      <c r="AN96" s="175">
        <f t="shared" si="9"/>
        <v>38.144111111111116</v>
      </c>
      <c r="AO96" s="276">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6"/>
      <c r="T97" s="256">
        <v>0</v>
      </c>
      <c r="U97" s="256">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6">
        <f t="shared" si="8"/>
        <v>19309350</v>
      </c>
      <c r="AN97" s="175">
        <f t="shared" si="9"/>
        <v>91.949285714285708</v>
      </c>
      <c r="AO97" s="276">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6"/>
      <c r="T98" s="256">
        <v>0</v>
      </c>
      <c r="U98" s="256">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6">
        <f t="shared" si="8"/>
        <v>11275750</v>
      </c>
      <c r="AN98" s="175">
        <f t="shared" si="9"/>
        <v>64.432857142857145</v>
      </c>
      <c r="AO98" s="276">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6"/>
      <c r="T99" s="256">
        <v>0</v>
      </c>
      <c r="U99" s="256">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6">
        <f t="shared" si="8"/>
        <v>0</v>
      </c>
      <c r="AN99" s="175">
        <f t="shared" si="9"/>
        <v>0</v>
      </c>
      <c r="AO99" s="276">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6"/>
      <c r="T100" s="256">
        <v>0</v>
      </c>
      <c r="U100" s="256">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6">
        <f t="shared" si="8"/>
        <v>41907800</v>
      </c>
      <c r="AN100" s="175">
        <f t="shared" ref="AN100:AN131" si="13">IFERROR(AM100/Q100*100,0)</f>
        <v>99.999522764150043</v>
      </c>
      <c r="AO100" s="276">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6"/>
      <c r="T101" s="256">
        <v>0</v>
      </c>
      <c r="U101" s="256">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6">
        <f t="shared" si="8"/>
        <v>10196500</v>
      </c>
      <c r="AN101" s="175">
        <f t="shared" si="13"/>
        <v>43.855913978494627</v>
      </c>
      <c r="AO101" s="276">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6"/>
      <c r="T102" s="256">
        <v>0</v>
      </c>
      <c r="U102" s="256">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6">
        <f t="shared" si="8"/>
        <v>499528</v>
      </c>
      <c r="AN102" s="175">
        <f t="shared" si="13"/>
        <v>24.976400000000002</v>
      </c>
      <c r="AO102" s="276">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6"/>
      <c r="T103" s="256">
        <v>0</v>
      </c>
      <c r="U103" s="256">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6">
        <f t="shared" si="8"/>
        <v>0</v>
      </c>
      <c r="AN103" s="175">
        <f t="shared" si="13"/>
        <v>0</v>
      </c>
      <c r="AO103" s="276">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6"/>
      <c r="T104" s="256">
        <v>0</v>
      </c>
      <c r="U104" s="256">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6">
        <f t="shared" si="8"/>
        <v>9519000</v>
      </c>
      <c r="AN104" s="175">
        <f t="shared" si="13"/>
        <v>70.380776340110913</v>
      </c>
      <c r="AO104" s="276">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6"/>
      <c r="T105" s="256">
        <v>0</v>
      </c>
      <c r="U105" s="256">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6">
        <f t="shared" si="8"/>
        <v>913673</v>
      </c>
      <c r="AN105" s="175">
        <f t="shared" si="13"/>
        <v>45.68365</v>
      </c>
      <c r="AO105" s="276">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6"/>
      <c r="T106" s="256">
        <v>0</v>
      </c>
      <c r="U106" s="256">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6">
        <f t="shared" si="8"/>
        <v>0</v>
      </c>
      <c r="AN106" s="175">
        <f t="shared" si="13"/>
        <v>0</v>
      </c>
      <c r="AO106" s="276">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6"/>
      <c r="T107" s="256">
        <v>0</v>
      </c>
      <c r="U107" s="256">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6">
        <f t="shared" si="8"/>
        <v>60414255</v>
      </c>
      <c r="AN107" s="175">
        <f t="shared" si="13"/>
        <v>99.99876686253414</v>
      </c>
      <c r="AO107" s="276">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6"/>
      <c r="T108" s="256">
        <v>0</v>
      </c>
      <c r="U108" s="256">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6">
        <f t="shared" si="8"/>
        <v>0</v>
      </c>
      <c r="AN108" s="175">
        <f t="shared" si="13"/>
        <v>0</v>
      </c>
      <c r="AO108" s="276">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6"/>
      <c r="T109" s="256">
        <v>0</v>
      </c>
      <c r="U109" s="256">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6">
        <f t="shared" si="8"/>
        <v>11269000</v>
      </c>
      <c r="AN109" s="175">
        <f t="shared" si="13"/>
        <v>62.955307262569839</v>
      </c>
      <c r="AO109" s="276">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6"/>
      <c r="T110" s="256">
        <v>0</v>
      </c>
      <c r="U110" s="256">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6">
        <f t="shared" si="8"/>
        <v>0</v>
      </c>
      <c r="AN110" s="175">
        <f t="shared" si="13"/>
        <v>0</v>
      </c>
      <c r="AO110" s="276">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6"/>
      <c r="T111" s="256">
        <v>0</v>
      </c>
      <c r="U111" s="256">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6">
        <f t="shared" si="8"/>
        <v>29579000</v>
      </c>
      <c r="AN111" s="175">
        <f t="shared" si="13"/>
        <v>98.044350160761056</v>
      </c>
      <c r="AO111" s="276">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6"/>
      <c r="T112" s="256">
        <v>0</v>
      </c>
      <c r="U112" s="256">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6">
        <f t="shared" si="8"/>
        <v>16821000</v>
      </c>
      <c r="AN112" s="175">
        <f t="shared" si="13"/>
        <v>91.418478260869563</v>
      </c>
      <c r="AO112" s="276">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6"/>
      <c r="T113" s="256">
        <v>0</v>
      </c>
      <c r="U113" s="256">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6">
        <f t="shared" si="8"/>
        <v>8701552</v>
      </c>
      <c r="AN113" s="175">
        <f t="shared" si="13"/>
        <v>99.994851758216498</v>
      </c>
      <c r="AO113" s="276">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6"/>
      <c r="T114" s="256">
        <v>0</v>
      </c>
      <c r="U114" s="256">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6">
        <f t="shared" si="8"/>
        <v>4944000</v>
      </c>
      <c r="AN114" s="175">
        <f t="shared" si="13"/>
        <v>65.92</v>
      </c>
      <c r="AO114" s="276">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6"/>
      <c r="T115" s="256">
        <v>0</v>
      </c>
      <c r="U115" s="256">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6">
        <f t="shared" si="8"/>
        <v>2850000</v>
      </c>
      <c r="AN115" s="175">
        <f t="shared" si="13"/>
        <v>53.271028037383175</v>
      </c>
      <c r="AO115" s="276">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6"/>
      <c r="T116" s="256">
        <v>0</v>
      </c>
      <c r="U116" s="256">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6">
        <f t="shared" si="8"/>
        <v>7467500</v>
      </c>
      <c r="AN116" s="175">
        <f t="shared" si="13"/>
        <v>99.566666666666663</v>
      </c>
      <c r="AO116" s="276">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6"/>
      <c r="T117" s="256">
        <v>0</v>
      </c>
      <c r="U117" s="256">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6">
        <f t="shared" si="8"/>
        <v>0</v>
      </c>
      <c r="AN117" s="175">
        <f t="shared" si="13"/>
        <v>0</v>
      </c>
      <c r="AO117" s="276">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6"/>
      <c r="T118" s="256">
        <v>0</v>
      </c>
      <c r="U118" s="256">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6">
        <f t="shared" si="8"/>
        <v>12465000</v>
      </c>
      <c r="AN118" s="175">
        <f t="shared" si="13"/>
        <v>89.035714285714278</v>
      </c>
      <c r="AO118" s="276">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6"/>
      <c r="T119" s="256">
        <v>0</v>
      </c>
      <c r="U119" s="256">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6">
        <f t="shared" si="8"/>
        <v>0</v>
      </c>
      <c r="AN119" s="175">
        <f t="shared" si="13"/>
        <v>0</v>
      </c>
      <c r="AO119" s="276">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6"/>
      <c r="T120" s="256">
        <v>0</v>
      </c>
      <c r="U120" s="256">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6">
        <f t="shared" si="8"/>
        <v>20634468</v>
      </c>
      <c r="AN120" s="175">
        <f t="shared" si="13"/>
        <v>99.997421856069778</v>
      </c>
      <c r="AO120" s="276">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6"/>
      <c r="T121" s="256">
        <v>0</v>
      </c>
      <c r="U121" s="256">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6">
        <f t="shared" si="8"/>
        <v>4944000</v>
      </c>
      <c r="AN121" s="175">
        <f t="shared" si="13"/>
        <v>65.92</v>
      </c>
      <c r="AO121" s="276">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6"/>
      <c r="T122" s="256">
        <v>0</v>
      </c>
      <c r="U122" s="256">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6">
        <f t="shared" si="8"/>
        <v>0</v>
      </c>
      <c r="AN122" s="175">
        <f t="shared" si="13"/>
        <v>0</v>
      </c>
      <c r="AO122" s="276">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6"/>
      <c r="T123" s="256">
        <v>0</v>
      </c>
      <c r="U123" s="256">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6">
        <f t="shared" si="8"/>
        <v>575000</v>
      </c>
      <c r="AN123" s="175">
        <f t="shared" si="13"/>
        <v>11.979166666666668</v>
      </c>
      <c r="AO123" s="276">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6"/>
      <c r="T124" s="256">
        <v>0</v>
      </c>
      <c r="U124" s="256">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6">
        <f t="shared" si="8"/>
        <v>14900000</v>
      </c>
      <c r="AN124" s="175">
        <f t="shared" si="13"/>
        <v>54.181818181818187</v>
      </c>
      <c r="AO124" s="276">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6"/>
      <c r="T125" s="256">
        <v>0</v>
      </c>
      <c r="U125" s="256">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6">
        <f t="shared" si="8"/>
        <v>58380000</v>
      </c>
      <c r="AN125" s="175">
        <f t="shared" si="13"/>
        <v>76.782449725776971</v>
      </c>
      <c r="AO125" s="276">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6"/>
      <c r="T126" s="256">
        <v>0</v>
      </c>
      <c r="U126" s="256">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6">
        <f t="shared" si="8"/>
        <v>0</v>
      </c>
      <c r="AN126" s="175">
        <f t="shared" si="13"/>
        <v>0</v>
      </c>
      <c r="AO126" s="276">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6"/>
      <c r="T127" s="256">
        <v>0</v>
      </c>
      <c r="U127" s="256">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6">
        <f t="shared" si="8"/>
        <v>0</v>
      </c>
      <c r="AN127" s="175">
        <f t="shared" si="13"/>
        <v>0</v>
      </c>
      <c r="AO127" s="276">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6"/>
      <c r="T128" s="256">
        <v>0</v>
      </c>
      <c r="U128" s="256">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6">
        <f t="shared" si="8"/>
        <v>9690000</v>
      </c>
      <c r="AN128" s="175">
        <f t="shared" si="13"/>
        <v>38.76</v>
      </c>
      <c r="AO128" s="276">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6"/>
      <c r="T129" s="256">
        <v>0</v>
      </c>
      <c r="U129" s="256">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6">
        <f t="shared" si="8"/>
        <v>0</v>
      </c>
      <c r="AN129" s="175">
        <f t="shared" si="13"/>
        <v>0</v>
      </c>
      <c r="AO129" s="276">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6"/>
      <c r="T130" s="256">
        <v>0</v>
      </c>
      <c r="U130" s="256">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6">
        <f t="shared" si="8"/>
        <v>0</v>
      </c>
      <c r="AN130" s="175">
        <f t="shared" si="13"/>
        <v>0</v>
      </c>
      <c r="AO130" s="276">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6"/>
      <c r="T131" s="256">
        <v>0</v>
      </c>
      <c r="U131" s="256">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6">
        <f t="shared" si="8"/>
        <v>20535000</v>
      </c>
      <c r="AN131" s="175">
        <f t="shared" si="13"/>
        <v>14.880434782608695</v>
      </c>
      <c r="AO131" s="276">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6"/>
      <c r="T132" s="256">
        <v>0</v>
      </c>
      <c r="U132" s="256">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6">
        <f t="shared" ref="AM132:AM151" si="16">SUM(V132:AG132)</f>
        <v>5839600</v>
      </c>
      <c r="AN132" s="175">
        <f t="shared" ref="AN132:AN151" si="17">IFERROR(AM132/Q132*100,0)</f>
        <v>23.358400000000003</v>
      </c>
      <c r="AO132" s="276">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6"/>
      <c r="T133" s="256">
        <v>0</v>
      </c>
      <c r="U133" s="256">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6">
        <f t="shared" si="16"/>
        <v>4823760092</v>
      </c>
      <c r="AN133" s="175">
        <f t="shared" si="17"/>
        <v>76.462090685950102</v>
      </c>
      <c r="AO133" s="276">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6"/>
      <c r="T134" s="256">
        <v>0</v>
      </c>
      <c r="U134" s="256">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6">
        <f t="shared" si="16"/>
        <v>9678000</v>
      </c>
      <c r="AN134" s="175">
        <f t="shared" si="17"/>
        <v>32.26</v>
      </c>
      <c r="AO134" s="276">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6"/>
      <c r="T135" s="256">
        <v>0</v>
      </c>
      <c r="U135" s="256">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6">
        <f t="shared" si="16"/>
        <v>0</v>
      </c>
      <c r="AN135" s="175">
        <f t="shared" si="17"/>
        <v>0</v>
      </c>
      <c r="AO135" s="276">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6"/>
      <c r="T136" s="256">
        <v>0</v>
      </c>
      <c r="U136" s="256">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6">
        <f t="shared" si="16"/>
        <v>56001506</v>
      </c>
      <c r="AN136" s="175">
        <f t="shared" si="17"/>
        <v>25.926623148148149</v>
      </c>
      <c r="AO136" s="276">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6"/>
      <c r="T137" s="256">
        <v>0</v>
      </c>
      <c r="U137" s="256">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6">
        <f t="shared" si="16"/>
        <v>0</v>
      </c>
      <c r="AN137" s="175">
        <f t="shared" si="17"/>
        <v>0</v>
      </c>
      <c r="AO137" s="276">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6"/>
      <c r="T138" s="256">
        <v>0</v>
      </c>
      <c r="U138" s="256">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6">
        <f t="shared" si="16"/>
        <v>0</v>
      </c>
      <c r="AN138" s="175">
        <f t="shared" si="17"/>
        <v>0</v>
      </c>
      <c r="AO138" s="276">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6"/>
      <c r="T139" s="256">
        <v>0</v>
      </c>
      <c r="U139" s="256">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6">
        <f t="shared" si="16"/>
        <v>0</v>
      </c>
      <c r="AN139" s="175">
        <f t="shared" si="17"/>
        <v>0</v>
      </c>
      <c r="AO139" s="276">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6"/>
      <c r="T140" s="256">
        <v>0</v>
      </c>
      <c r="U140" s="256">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6">
        <f t="shared" si="16"/>
        <v>0</v>
      </c>
      <c r="AN140" s="175">
        <f t="shared" si="17"/>
        <v>0</v>
      </c>
      <c r="AO140" s="276">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6"/>
      <c r="T141" s="256">
        <v>0</v>
      </c>
      <c r="U141" s="256">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6">
        <f t="shared" si="16"/>
        <v>5920400</v>
      </c>
      <c r="AN141" s="175">
        <f t="shared" si="17"/>
        <v>23.6816</v>
      </c>
      <c r="AO141" s="276">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6"/>
      <c r="T142" s="256">
        <v>0</v>
      </c>
      <c r="U142" s="256">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6">
        <f t="shared" si="16"/>
        <v>8220000</v>
      </c>
      <c r="AN142" s="175">
        <f t="shared" si="17"/>
        <v>27.400000000000002</v>
      </c>
      <c r="AO142" s="276">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6"/>
      <c r="T143" s="256">
        <v>0</v>
      </c>
      <c r="U143" s="256">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6">
        <f t="shared" si="16"/>
        <v>0</v>
      </c>
      <c r="AN143" s="175">
        <f t="shared" si="17"/>
        <v>0</v>
      </c>
      <c r="AO143" s="276">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3" t="s">
        <v>3768</v>
      </c>
      <c r="B144" s="303" t="s">
        <v>3769</v>
      </c>
      <c r="C144" s="303" t="s">
        <v>3795</v>
      </c>
      <c r="D144" s="303" t="s">
        <v>3796</v>
      </c>
      <c r="E144" s="303" t="s">
        <v>197</v>
      </c>
      <c r="F144" s="303" t="s">
        <v>3797</v>
      </c>
      <c r="G144" s="303" t="s">
        <v>3807</v>
      </c>
      <c r="H144" s="303" t="s">
        <v>3808</v>
      </c>
      <c r="I144" s="303" t="s">
        <v>501</v>
      </c>
      <c r="J144" s="303" t="s">
        <v>3809</v>
      </c>
      <c r="K144" s="303">
        <v>301</v>
      </c>
      <c r="L144" s="303" t="s">
        <v>3811</v>
      </c>
      <c r="M144" s="303" t="s">
        <v>508</v>
      </c>
      <c r="N144" s="303" t="s">
        <v>4870</v>
      </c>
      <c r="O144" s="303">
        <v>532111</v>
      </c>
      <c r="P144" s="303" t="s">
        <v>3780</v>
      </c>
      <c r="Q144" s="479" cm="1">
        <f t="array" ref="Q144">SUM(_xlfn._xlws.FILTER(HistoryDIPA[TOTAL],(HistoryDIPA[MAK]=SP2D[[#This Row],[Kode Akun]])*(HistoryDIPA[StatusDIPA]=$Q$3),0))</f>
        <v>800000</v>
      </c>
      <c r="R144" s="179" cm="1">
        <f t="array" ref="R144">SUM(_xlfn._xlws.FILTER(HistoryDIPA[TOTAL],(HistoryDIPA[MAK]=SP2D[[#This Row],[Kode Akun]])*(HistoryDIPA[StatusDIPA]=$R$3),0))</f>
        <v>800000</v>
      </c>
      <c r="S144" s="308"/>
      <c r="T144" s="438">
        <v>800000</v>
      </c>
      <c r="U144" s="438">
        <f>SP2D[[#This Row],[DIPA_REVISI3]]-SUM(SP2D[[#This Row],[Blokir AA ke 1]:[Blokir AA ke 2]])</f>
        <v>0</v>
      </c>
      <c r="V144" s="306"/>
      <c r="W144" s="306"/>
      <c r="X144" s="306"/>
      <c r="Y144" s="306"/>
      <c r="Z144" s="306"/>
      <c r="AA144" s="306"/>
      <c r="AB144" s="306"/>
      <c r="AC144" s="306"/>
      <c r="AD144" s="306"/>
      <c r="AE144" s="306"/>
      <c r="AF144" s="306"/>
      <c r="AG144" s="306"/>
      <c r="AH144" s="303" t="s">
        <v>523</v>
      </c>
      <c r="AI144" s="303" t="s">
        <v>565</v>
      </c>
      <c r="AJ144" s="303" t="s">
        <v>549</v>
      </c>
      <c r="AK144" s="303">
        <v>53</v>
      </c>
      <c r="AL144" s="303" t="s">
        <v>3775</v>
      </c>
      <c r="AM144" s="276">
        <f t="shared" si="16"/>
        <v>0</v>
      </c>
      <c r="AN144" s="309">
        <f t="shared" si="17"/>
        <v>0</v>
      </c>
      <c r="AO144" s="276">
        <f t="shared" si="18"/>
        <v>800000</v>
      </c>
      <c r="AP144" s="309">
        <f t="shared" si="19"/>
        <v>100</v>
      </c>
      <c r="AQ144" s="303" t="str">
        <f t="shared" si="20"/>
        <v>WA.2378.CAN.001.301.B.532111</v>
      </c>
      <c r="AR144" s="303" t="str">
        <f>IF(ISNUMBER(SEARCH("COVID",SP2D[[#This Row],[Akun]])),"COVID","Non COVID")</f>
        <v>Non COVID</v>
      </c>
      <c r="AS144"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6"/>
      <c r="AV144" s="306"/>
      <c r="AW144" s="306"/>
      <c r="AX144" s="306"/>
      <c r="AY144" s="306"/>
      <c r="AZ144" s="306"/>
      <c r="BA144" s="306"/>
      <c r="BB144" s="306"/>
      <c r="BC144" s="176"/>
      <c r="BD144" s="176"/>
      <c r="BE144" s="176"/>
    </row>
    <row r="145" spans="1:57" s="163" customFormat="1">
      <c r="A145" s="303" t="s">
        <v>3768</v>
      </c>
      <c r="B145" s="303" t="s">
        <v>3769</v>
      </c>
      <c r="C145" s="303" t="s">
        <v>3795</v>
      </c>
      <c r="D145" s="303" t="s">
        <v>3796</v>
      </c>
      <c r="E145" s="303" t="s">
        <v>197</v>
      </c>
      <c r="F145" s="303" t="s">
        <v>3797</v>
      </c>
      <c r="G145" s="303" t="s">
        <v>3812</v>
      </c>
      <c r="H145" s="303" t="s">
        <v>3813</v>
      </c>
      <c r="I145" s="303">
        <v>958</v>
      </c>
      <c r="J145" s="303" t="s">
        <v>3816</v>
      </c>
      <c r="K145" s="303">
        <v>311</v>
      </c>
      <c r="L145" s="303" t="s">
        <v>3815</v>
      </c>
      <c r="M145" s="436" t="s">
        <v>508</v>
      </c>
      <c r="N145" s="436" t="s">
        <v>4870</v>
      </c>
      <c r="O145" s="436">
        <v>521219</v>
      </c>
      <c r="P145" s="436" t="s">
        <v>3786</v>
      </c>
      <c r="Q145" s="437"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8"/>
      <c r="T145" s="438">
        <v>40434000</v>
      </c>
      <c r="U145" s="438">
        <f>SP2D[[#This Row],[DIPA_REVISI3]]-SUM(SP2D[[#This Row],[Blokir AA ke 1]:[Blokir AA ke 2]])</f>
        <v>0</v>
      </c>
      <c r="V145" s="306"/>
      <c r="W145" s="306"/>
      <c r="X145" s="306"/>
      <c r="Y145" s="306"/>
      <c r="Z145" s="306"/>
      <c r="AA145" s="306"/>
      <c r="AB145" s="306"/>
      <c r="AC145" s="306"/>
      <c r="AD145" s="306"/>
      <c r="AE145" s="306"/>
      <c r="AF145" s="306"/>
      <c r="AG145" s="306"/>
      <c r="AH145" s="303" t="s">
        <v>523</v>
      </c>
      <c r="AI145" s="303" t="s">
        <v>532</v>
      </c>
      <c r="AJ145" s="303" t="s">
        <v>533</v>
      </c>
      <c r="AK145" s="303" t="s">
        <v>3774</v>
      </c>
      <c r="AL145" s="303" t="s">
        <v>3775</v>
      </c>
      <c r="AM145" s="276">
        <f t="shared" si="16"/>
        <v>0</v>
      </c>
      <c r="AN145" s="309">
        <f t="shared" si="17"/>
        <v>0</v>
      </c>
      <c r="AO145" s="276">
        <f t="shared" si="18"/>
        <v>40434000</v>
      </c>
      <c r="AP145" s="309">
        <f t="shared" si="19"/>
        <v>100</v>
      </c>
      <c r="AQ145" s="303" t="str">
        <f t="shared" si="20"/>
        <v>WA.2378.EBA.958.311.B.521219</v>
      </c>
      <c r="AR145" s="303" t="str">
        <f>IF(ISNUMBER(SEARCH("COVID",SP2D[[#This Row],[Akun]])),"COVID","Non COVID")</f>
        <v>Non COVID</v>
      </c>
      <c r="AS145"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9"/>
      <c r="AV145" s="439"/>
      <c r="AW145" s="439"/>
      <c r="AX145" s="439"/>
      <c r="AY145" s="439"/>
      <c r="AZ145" s="439"/>
      <c r="BA145" s="439"/>
      <c r="BB145" s="439"/>
      <c r="BC145" s="440"/>
      <c r="BD145" s="440"/>
      <c r="BE145" s="440"/>
    </row>
    <row r="146" spans="1:57" s="163" customFormat="1">
      <c r="A146" s="303" t="s">
        <v>3768</v>
      </c>
      <c r="B146" s="303" t="s">
        <v>3769</v>
      </c>
      <c r="C146" s="303" t="s">
        <v>3795</v>
      </c>
      <c r="D146" s="303" t="s">
        <v>3796</v>
      </c>
      <c r="E146" s="303" t="s">
        <v>197</v>
      </c>
      <c r="F146" s="303" t="s">
        <v>3797</v>
      </c>
      <c r="G146" s="303" t="s">
        <v>3812</v>
      </c>
      <c r="H146" s="303" t="s">
        <v>3813</v>
      </c>
      <c r="I146" s="303">
        <v>962</v>
      </c>
      <c r="J146" s="303" t="s">
        <v>3818</v>
      </c>
      <c r="K146" s="303">
        <v>301</v>
      </c>
      <c r="L146" s="303" t="s">
        <v>3817</v>
      </c>
      <c r="M146" s="303" t="s">
        <v>567</v>
      </c>
      <c r="N146" s="303" t="s">
        <v>3823</v>
      </c>
      <c r="O146" s="436">
        <v>521811</v>
      </c>
      <c r="P146" s="436" t="s">
        <v>3791</v>
      </c>
      <c r="Q146" s="437"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8"/>
      <c r="T146" s="438">
        <v>266494000</v>
      </c>
      <c r="U146" s="438">
        <f>SP2D[[#This Row],[DIPA_REVISI3]]-SUM(SP2D[[#This Row],[Blokir AA ke 1]:[Blokir AA ke 2]])</f>
        <v>0</v>
      </c>
      <c r="V146" s="306"/>
      <c r="W146" s="306"/>
      <c r="X146" s="306"/>
      <c r="Y146" s="306"/>
      <c r="Z146" s="306"/>
      <c r="AA146" s="306"/>
      <c r="AB146" s="306"/>
      <c r="AC146" s="306"/>
      <c r="AD146" s="306"/>
      <c r="AE146" s="306"/>
      <c r="AF146" s="306"/>
      <c r="AG146" s="306"/>
      <c r="AH146" s="303" t="s">
        <v>523</v>
      </c>
      <c r="AI146" s="303" t="s">
        <v>524</v>
      </c>
      <c r="AJ146" s="303" t="s">
        <v>525</v>
      </c>
      <c r="AK146" s="303" t="s">
        <v>3774</v>
      </c>
      <c r="AL146" s="303" t="s">
        <v>3775</v>
      </c>
      <c r="AM146" s="276">
        <f t="shared" si="16"/>
        <v>0</v>
      </c>
      <c r="AN146" s="309">
        <f t="shared" si="17"/>
        <v>0</v>
      </c>
      <c r="AO146" s="276">
        <f t="shared" si="18"/>
        <v>266494000</v>
      </c>
      <c r="AP146" s="309">
        <f t="shared" si="19"/>
        <v>100</v>
      </c>
      <c r="AQ146" s="303" t="str">
        <f t="shared" si="20"/>
        <v>WA.2378.EBA.962.301.G.521811</v>
      </c>
      <c r="AR146" s="303" t="str">
        <f>IF(ISNUMBER(SEARCH("COVID",SP2D[[#This Row],[Akun]])),"COVID","Non COVID")</f>
        <v>Non COVID</v>
      </c>
      <c r="AS146"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9"/>
      <c r="AV146" s="439"/>
      <c r="AW146" s="439"/>
      <c r="AX146" s="439"/>
      <c r="AY146" s="439"/>
      <c r="AZ146" s="439"/>
      <c r="BA146" s="439"/>
      <c r="BB146" s="439"/>
      <c r="BC146" s="440"/>
      <c r="BD146" s="440"/>
      <c r="BE146" s="440"/>
    </row>
    <row r="147" spans="1:57" s="163" customFormat="1">
      <c r="A147" s="303" t="s">
        <v>3768</v>
      </c>
      <c r="B147" s="303" t="s">
        <v>3769</v>
      </c>
      <c r="C147" s="303" t="s">
        <v>3795</v>
      </c>
      <c r="D147" s="303" t="s">
        <v>3796</v>
      </c>
      <c r="E147" s="303" t="s">
        <v>197</v>
      </c>
      <c r="F147" s="303" t="s">
        <v>3797</v>
      </c>
      <c r="G147" s="303" t="s">
        <v>3837</v>
      </c>
      <c r="H147" s="303" t="s">
        <v>3838</v>
      </c>
      <c r="I147" s="303">
        <v>951</v>
      </c>
      <c r="J147" s="303" t="s">
        <v>3839</v>
      </c>
      <c r="K147" s="303">
        <v>301</v>
      </c>
      <c r="L147" s="303" t="s">
        <v>3840</v>
      </c>
      <c r="M147" s="436" t="s">
        <v>508</v>
      </c>
      <c r="N147" s="436" t="s">
        <v>4870</v>
      </c>
      <c r="O147" s="303">
        <v>532111</v>
      </c>
      <c r="P147" s="303" t="s">
        <v>3780</v>
      </c>
      <c r="Q147" s="437" cm="1">
        <f t="array" ref="Q147">SUM(_xlfn._xlws.FILTER(HistoryDIPA[TOTAL],(HistoryDIPA[MAK]=SP2D[[#This Row],[Kode Akun]])*(HistoryDIPA[StatusDIPA]=$Q$3),0))</f>
        <v>934000</v>
      </c>
      <c r="R147" s="111" cm="1">
        <f t="array" ref="R147">SUM(_xlfn._xlws.FILTER(HistoryDIPA[TOTAL],(HistoryDIPA[MAK]=SP2D[[#This Row],[Kode Akun]])*(HistoryDIPA[StatusDIPA]=$R$3),0))</f>
        <v>934000</v>
      </c>
      <c r="S147" s="308"/>
      <c r="T147" s="438">
        <v>934000</v>
      </c>
      <c r="U147" s="438">
        <f>SP2D[[#This Row],[DIPA_REVISI3]]-SUM(SP2D[[#This Row],[Blokir AA ke 1]:[Blokir AA ke 2]])</f>
        <v>0</v>
      </c>
      <c r="V147" s="306"/>
      <c r="W147" s="306"/>
      <c r="X147" s="306"/>
      <c r="Y147" s="306"/>
      <c r="Z147" s="306"/>
      <c r="AA147" s="306"/>
      <c r="AB147" s="306"/>
      <c r="AC147" s="306"/>
      <c r="AD147" s="306"/>
      <c r="AE147" s="306"/>
      <c r="AF147" s="306"/>
      <c r="AG147" s="306"/>
      <c r="AH147" s="303" t="s">
        <v>523</v>
      </c>
      <c r="AI147" s="303" t="s">
        <v>565</v>
      </c>
      <c r="AJ147" s="303" t="s">
        <v>549</v>
      </c>
      <c r="AK147" s="303">
        <v>53</v>
      </c>
      <c r="AL147" s="303" t="s">
        <v>3775</v>
      </c>
      <c r="AM147" s="276">
        <f t="shared" si="16"/>
        <v>0</v>
      </c>
      <c r="AN147" s="309">
        <f t="shared" si="17"/>
        <v>0</v>
      </c>
      <c r="AO147" s="276">
        <f t="shared" si="18"/>
        <v>934000</v>
      </c>
      <c r="AP147" s="309">
        <f t="shared" si="19"/>
        <v>100</v>
      </c>
      <c r="AQ147" s="303" t="str">
        <f t="shared" si="20"/>
        <v>WA.2378.EBB.951.301.B.532111</v>
      </c>
      <c r="AR147" s="303" t="str">
        <f>IF(ISNUMBER(SEARCH("COVID",SP2D[[#This Row],[Akun]])),"COVID","Non COVID")</f>
        <v>Non COVID</v>
      </c>
      <c r="AS147"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9"/>
      <c r="AV147" s="439"/>
      <c r="AW147" s="439"/>
      <c r="AX147" s="439"/>
      <c r="AY147" s="439"/>
      <c r="AZ147" s="439"/>
      <c r="BA147" s="439"/>
      <c r="BB147" s="439"/>
      <c r="BC147" s="440"/>
      <c r="BD147" s="440"/>
      <c r="BE147" s="440"/>
    </row>
    <row r="148" spans="1:57" s="163" customFormat="1">
      <c r="A148" s="303" t="s">
        <v>3768</v>
      </c>
      <c r="B148" s="303" t="s">
        <v>3769</v>
      </c>
      <c r="C148" s="303" t="s">
        <v>3795</v>
      </c>
      <c r="D148" s="303" t="s">
        <v>3796</v>
      </c>
      <c r="E148" s="303" t="s">
        <v>197</v>
      </c>
      <c r="F148" s="303" t="s">
        <v>3797</v>
      </c>
      <c r="G148" s="303" t="s">
        <v>3842</v>
      </c>
      <c r="H148" s="303" t="s">
        <v>3843</v>
      </c>
      <c r="I148" s="303">
        <v>952</v>
      </c>
      <c r="J148" s="303" t="s">
        <v>3844</v>
      </c>
      <c r="K148" s="303">
        <v>301</v>
      </c>
      <c r="L148" s="303" t="s">
        <v>3845</v>
      </c>
      <c r="M148" s="303" t="s">
        <v>511</v>
      </c>
      <c r="N148" s="436" t="s">
        <v>4871</v>
      </c>
      <c r="O148" s="303">
        <v>524111</v>
      </c>
      <c r="P148" s="303" t="s">
        <v>3777</v>
      </c>
      <c r="Q148" s="437"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8"/>
      <c r="T148" s="438">
        <v>434566000</v>
      </c>
      <c r="U148" s="438">
        <f>SP2D[[#This Row],[DIPA_REVISI3]]-SUM(SP2D[[#This Row],[Blokir AA ke 1]:[Blokir AA ke 2]])</f>
        <v>0</v>
      </c>
      <c r="V148" s="306"/>
      <c r="W148" s="306"/>
      <c r="X148" s="306"/>
      <c r="Y148" s="306"/>
      <c r="Z148" s="306"/>
      <c r="AA148" s="306"/>
      <c r="AB148" s="306"/>
      <c r="AC148" s="306"/>
      <c r="AD148" s="306"/>
      <c r="AE148" s="306"/>
      <c r="AF148" s="306"/>
      <c r="AG148" s="306"/>
      <c r="AH148" s="303" t="s">
        <v>523</v>
      </c>
      <c r="AI148" s="303" t="s">
        <v>532</v>
      </c>
      <c r="AJ148" s="303" t="s">
        <v>533</v>
      </c>
      <c r="AK148" s="303" t="s">
        <v>3774</v>
      </c>
      <c r="AL148" s="303" t="s">
        <v>3775</v>
      </c>
      <c r="AM148" s="276">
        <f t="shared" si="16"/>
        <v>0</v>
      </c>
      <c r="AN148" s="309">
        <f t="shared" si="17"/>
        <v>0</v>
      </c>
      <c r="AO148" s="276">
        <f t="shared" si="18"/>
        <v>434566000</v>
      </c>
      <c r="AP148" s="309">
        <f t="shared" si="19"/>
        <v>100</v>
      </c>
      <c r="AQ148" s="303" t="str">
        <f t="shared" si="20"/>
        <v>WA.2378.EBD.952.301.D.524111</v>
      </c>
      <c r="AR148" s="303" t="str">
        <f>IF(ISNUMBER(SEARCH("COVID",SP2D[[#This Row],[Akun]])),"COVID","Non COVID")</f>
        <v>Non COVID</v>
      </c>
      <c r="AS148"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9"/>
      <c r="AV148" s="439"/>
      <c r="AW148" s="439"/>
      <c r="AX148" s="439"/>
      <c r="AY148" s="439"/>
      <c r="AZ148" s="439"/>
      <c r="BA148" s="439"/>
      <c r="BB148" s="439"/>
      <c r="BC148" s="440"/>
      <c r="BD148" s="440"/>
      <c r="BE148" s="440"/>
    </row>
    <row r="149" spans="1:57" s="163" customFormat="1">
      <c r="A149" s="303" t="s">
        <v>3768</v>
      </c>
      <c r="B149" s="303" t="s">
        <v>3769</v>
      </c>
      <c r="C149" s="303" t="s">
        <v>3795</v>
      </c>
      <c r="D149" s="303" t="s">
        <v>3796</v>
      </c>
      <c r="E149" s="303" t="s">
        <v>197</v>
      </c>
      <c r="F149" s="303" t="s">
        <v>3797</v>
      </c>
      <c r="G149" s="303" t="s">
        <v>3842</v>
      </c>
      <c r="H149" s="303" t="s">
        <v>3843</v>
      </c>
      <c r="I149" s="303">
        <v>953</v>
      </c>
      <c r="J149" s="303" t="s">
        <v>3850</v>
      </c>
      <c r="K149" s="303">
        <v>301</v>
      </c>
      <c r="L149" s="303" t="s">
        <v>3849</v>
      </c>
      <c r="M149" s="303" t="s">
        <v>509</v>
      </c>
      <c r="N149" s="436" t="s">
        <v>4872</v>
      </c>
      <c r="O149" s="303">
        <v>524111</v>
      </c>
      <c r="P149" s="303" t="s">
        <v>3777</v>
      </c>
      <c r="Q149" s="437"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8"/>
      <c r="T149" s="438">
        <v>387471000</v>
      </c>
      <c r="U149" s="438">
        <f>SP2D[[#This Row],[DIPA_REVISI3]]-SUM(SP2D[[#This Row],[Blokir AA ke 1]:[Blokir AA ke 2]])</f>
        <v>0</v>
      </c>
      <c r="V149" s="306"/>
      <c r="W149" s="306"/>
      <c r="X149" s="306"/>
      <c r="Y149" s="306"/>
      <c r="Z149" s="306"/>
      <c r="AA149" s="306"/>
      <c r="AB149" s="306"/>
      <c r="AC149" s="306"/>
      <c r="AD149" s="306"/>
      <c r="AE149" s="306"/>
      <c r="AF149" s="306"/>
      <c r="AG149" s="306"/>
      <c r="AH149" s="303" t="s">
        <v>523</v>
      </c>
      <c r="AI149" s="303" t="s">
        <v>532</v>
      </c>
      <c r="AJ149" s="303" t="s">
        <v>570</v>
      </c>
      <c r="AK149" s="303" t="s">
        <v>3774</v>
      </c>
      <c r="AL149" s="303" t="s">
        <v>3775</v>
      </c>
      <c r="AM149" s="276">
        <f t="shared" si="16"/>
        <v>0</v>
      </c>
      <c r="AN149" s="309">
        <f t="shared" si="17"/>
        <v>0</v>
      </c>
      <c r="AO149" s="276">
        <f t="shared" si="18"/>
        <v>387471000</v>
      </c>
      <c r="AP149" s="309">
        <f t="shared" si="19"/>
        <v>100</v>
      </c>
      <c r="AQ149" s="303" t="str">
        <f t="shared" si="20"/>
        <v>WA.2378.EBD.953.301.C.524111</v>
      </c>
      <c r="AR149" s="303" t="str">
        <f>IF(ISNUMBER(SEARCH("COVID",SP2D[[#This Row],[Akun]])),"COVID","Non COVID")</f>
        <v>Non COVID</v>
      </c>
      <c r="AS149"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9"/>
      <c r="AV149" s="439"/>
      <c r="AW149" s="439"/>
      <c r="AX149" s="439"/>
      <c r="AY149" s="439"/>
      <c r="AZ149" s="439"/>
      <c r="BA149" s="439"/>
      <c r="BB149" s="439"/>
      <c r="BC149" s="440"/>
      <c r="BD149" s="440"/>
      <c r="BE149" s="440"/>
    </row>
    <row r="150" spans="1:57" s="163" customFormat="1">
      <c r="A150" s="303" t="s">
        <v>3768</v>
      </c>
      <c r="B150" s="303" t="s">
        <v>3769</v>
      </c>
      <c r="C150" s="303" t="s">
        <v>3795</v>
      </c>
      <c r="D150" s="303" t="s">
        <v>3796</v>
      </c>
      <c r="E150" s="303" t="s">
        <v>197</v>
      </c>
      <c r="F150" s="303" t="s">
        <v>3797</v>
      </c>
      <c r="G150" s="303" t="s">
        <v>3842</v>
      </c>
      <c r="H150" s="303" t="s">
        <v>3843</v>
      </c>
      <c r="I150" s="303">
        <v>953</v>
      </c>
      <c r="J150" s="303" t="s">
        <v>3850</v>
      </c>
      <c r="K150" s="303">
        <v>302</v>
      </c>
      <c r="L150" s="303" t="s">
        <v>3851</v>
      </c>
      <c r="M150" s="303" t="s">
        <v>508</v>
      </c>
      <c r="N150" s="436" t="s">
        <v>4870</v>
      </c>
      <c r="O150" s="436">
        <v>521219</v>
      </c>
      <c r="P150" s="436" t="s">
        <v>3786</v>
      </c>
      <c r="Q150" s="437"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8"/>
      <c r="T150" s="438">
        <v>76463000</v>
      </c>
      <c r="U150" s="438">
        <f>SP2D[[#This Row],[DIPA_REVISI3]]-SUM(SP2D[[#This Row],[Blokir AA ke 1]:[Blokir AA ke 2]])</f>
        <v>0</v>
      </c>
      <c r="V150" s="306"/>
      <c r="W150" s="306"/>
      <c r="X150" s="306"/>
      <c r="Y150" s="306"/>
      <c r="Z150" s="306"/>
      <c r="AA150" s="306"/>
      <c r="AB150" s="306"/>
      <c r="AC150" s="306"/>
      <c r="AD150" s="306"/>
      <c r="AE150" s="306"/>
      <c r="AF150" s="306"/>
      <c r="AG150" s="306"/>
      <c r="AH150" s="303" t="s">
        <v>523</v>
      </c>
      <c r="AI150" s="303" t="s">
        <v>532</v>
      </c>
      <c r="AJ150" s="303" t="s">
        <v>570</v>
      </c>
      <c r="AK150" s="303" t="s">
        <v>3774</v>
      </c>
      <c r="AL150" s="303" t="s">
        <v>3775</v>
      </c>
      <c r="AM150" s="276">
        <f t="shared" si="16"/>
        <v>0</v>
      </c>
      <c r="AN150" s="309">
        <f t="shared" si="17"/>
        <v>0</v>
      </c>
      <c r="AO150" s="276">
        <f t="shared" si="18"/>
        <v>76463000</v>
      </c>
      <c r="AP150" s="309">
        <f t="shared" si="19"/>
        <v>100</v>
      </c>
      <c r="AQ150" s="303" t="str">
        <f t="shared" si="20"/>
        <v>WA.2378.EBD.953.302.B.521219</v>
      </c>
      <c r="AR150" s="303" t="str">
        <f>IF(ISNUMBER(SEARCH("COVID",SP2D[[#This Row],[Akun]])),"COVID","Non COVID")</f>
        <v>Non COVID</v>
      </c>
      <c r="AS150"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9"/>
      <c r="AV150" s="439"/>
      <c r="AW150" s="439"/>
      <c r="AX150" s="439"/>
      <c r="AY150" s="439"/>
      <c r="AZ150" s="439"/>
      <c r="BA150" s="439"/>
      <c r="BB150" s="439"/>
      <c r="BC150" s="440"/>
      <c r="BD150" s="440"/>
      <c r="BE150" s="440"/>
    </row>
    <row r="151" spans="1:57" s="163" customFormat="1">
      <c r="A151" s="303" t="s">
        <v>3768</v>
      </c>
      <c r="B151" s="303" t="s">
        <v>3769</v>
      </c>
      <c r="C151" s="303" t="s">
        <v>3795</v>
      </c>
      <c r="D151" s="303" t="s">
        <v>3796</v>
      </c>
      <c r="E151" s="303" t="s">
        <v>197</v>
      </c>
      <c r="F151" s="303" t="s">
        <v>3797</v>
      </c>
      <c r="G151" s="303" t="s">
        <v>3842</v>
      </c>
      <c r="H151" s="303" t="s">
        <v>3843</v>
      </c>
      <c r="I151" s="303">
        <v>955</v>
      </c>
      <c r="J151" s="303" t="s">
        <v>3853</v>
      </c>
      <c r="K151" s="303">
        <v>301</v>
      </c>
      <c r="L151" s="303" t="s">
        <v>3854</v>
      </c>
      <c r="M151" s="303" t="s">
        <v>567</v>
      </c>
      <c r="N151" s="436" t="s">
        <v>4873</v>
      </c>
      <c r="O151" s="436">
        <v>521219</v>
      </c>
      <c r="P151" s="436" t="s">
        <v>3786</v>
      </c>
      <c r="Q151" s="437"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8"/>
      <c r="T151" s="438">
        <v>92000000</v>
      </c>
      <c r="U151" s="438">
        <f>SP2D[[#This Row],[DIPA_REVISI3]]-SUM(SP2D[[#This Row],[Blokir AA ke 1]:[Blokir AA ke 2]])</f>
        <v>0</v>
      </c>
      <c r="V151" s="306"/>
      <c r="W151" s="306"/>
      <c r="X151" s="306"/>
      <c r="Y151" s="306"/>
      <c r="Z151" s="306"/>
      <c r="AA151" s="306"/>
      <c r="AB151" s="306"/>
      <c r="AC151" s="306"/>
      <c r="AD151" s="306"/>
      <c r="AE151" s="306"/>
      <c r="AF151" s="306"/>
      <c r="AG151" s="306"/>
      <c r="AH151" s="303" t="s">
        <v>523</v>
      </c>
      <c r="AI151" s="303" t="s">
        <v>565</v>
      </c>
      <c r="AJ151" s="303" t="s">
        <v>535</v>
      </c>
      <c r="AK151" s="303" t="s">
        <v>3774</v>
      </c>
      <c r="AL151" s="303" t="s">
        <v>3775</v>
      </c>
      <c r="AM151" s="276">
        <f t="shared" si="16"/>
        <v>0</v>
      </c>
      <c r="AN151" s="309">
        <f t="shared" si="17"/>
        <v>0</v>
      </c>
      <c r="AO151" s="276">
        <f t="shared" si="18"/>
        <v>92000000</v>
      </c>
      <c r="AP151" s="309">
        <f t="shared" si="19"/>
        <v>100</v>
      </c>
      <c r="AQ151" s="303" t="str">
        <f t="shared" si="20"/>
        <v>WA.2378.EBD.955.301.G.521219</v>
      </c>
      <c r="AR151" s="303" t="str">
        <f>IF(ISNUMBER(SEARCH("COVID",SP2D[[#This Row],[Akun]])),"COVID","Non COVID")</f>
        <v>Non COVID</v>
      </c>
      <c r="AS151"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9"/>
      <c r="AV151" s="439"/>
      <c r="AW151" s="439"/>
      <c r="AX151" s="439"/>
      <c r="AY151" s="439"/>
      <c r="AZ151" s="439"/>
      <c r="BA151" s="439"/>
      <c r="BB151" s="439"/>
      <c r="BC151" s="440"/>
      <c r="BD151" s="440"/>
      <c r="BE151" s="440"/>
    </row>
    <row r="152" spans="1:57">
      <c r="Q152" s="435">
        <f t="shared" ref="Q152:S152" si="21">SUM(Q4:Q151)</f>
        <v>16863164000</v>
      </c>
      <c r="R152" s="435">
        <f t="shared" si="21"/>
        <v>16863164000</v>
      </c>
      <c r="S152" s="435">
        <f t="shared" si="21"/>
        <v>100000000</v>
      </c>
      <c r="T152" s="435">
        <f>SUM(T4:T151)</f>
        <v>2887360000</v>
      </c>
      <c r="U152" s="435">
        <f>SUM(U4:U151)</f>
        <v>13875804000</v>
      </c>
      <c r="V152" s="435">
        <f t="shared" ref="V152:AG152" si="22">SUM(V4:V151)</f>
        <v>0</v>
      </c>
      <c r="W152" s="435">
        <f t="shared" si="22"/>
        <v>74237800</v>
      </c>
      <c r="X152" s="435">
        <f t="shared" si="22"/>
        <v>672277677</v>
      </c>
      <c r="Y152" s="435">
        <f t="shared" si="22"/>
        <v>1892688850</v>
      </c>
      <c r="Z152" s="435">
        <f t="shared" si="22"/>
        <v>1260934024</v>
      </c>
      <c r="AA152" s="435">
        <f t="shared" si="22"/>
        <v>2582833681</v>
      </c>
      <c r="AB152" s="435">
        <f t="shared" si="22"/>
        <v>1491274054</v>
      </c>
      <c r="AC152" s="435">
        <f t="shared" si="22"/>
        <v>229237390</v>
      </c>
      <c r="AD152" s="435">
        <f t="shared" si="22"/>
        <v>0</v>
      </c>
      <c r="AE152" s="435">
        <f t="shared" si="22"/>
        <v>0</v>
      </c>
      <c r="AF152" s="435">
        <f t="shared" si="22"/>
        <v>0</v>
      </c>
      <c r="AG152" s="435">
        <f t="shared" si="22"/>
        <v>0</v>
      </c>
      <c r="AM152" s="435">
        <f>SUM(AM4:AM151)</f>
        <v>8203483476</v>
      </c>
      <c r="AN152" s="178">
        <f>AM152/Q152*100</f>
        <v>48.647356308697468</v>
      </c>
      <c r="AO152" s="435">
        <f>SUM(AO4:AO151)</f>
        <v>8659680524</v>
      </c>
      <c r="AP152" s="178">
        <f>AO152/Q152*100</f>
        <v>51.352643691302532</v>
      </c>
      <c r="AU152" s="435">
        <f>SUM(AU4:AU151)</f>
        <v>99961115</v>
      </c>
      <c r="AV152" s="435">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5" customWidth="1"/>
    <col min="39" max="39" width="9.85546875" style="160" customWidth="1"/>
    <col min="40" max="40" width="15.28515625" style="255"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3731</v>
      </c>
      <c r="R3" s="255" t="s">
        <v>4603</v>
      </c>
      <c r="S3" s="255" t="s">
        <v>4645</v>
      </c>
      <c r="T3" s="255"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5" t="s">
        <v>3732</v>
      </c>
      <c r="AM3" s="160" t="s">
        <v>3888</v>
      </c>
      <c r="AN3" s="255"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4">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6">
        <v>2483477000</v>
      </c>
      <c r="S4" s="276"/>
      <c r="T4" s="276"/>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6">
        <f t="shared" ref="AL4:AL14" si="0">SUM(U4:AF4)</f>
        <v>1692987900</v>
      </c>
      <c r="AM4" s="175">
        <f t="shared" ref="AM4:AM14" si="1">IFERROR(AL4/Q4*100,0)</f>
        <v>68.170065597547307</v>
      </c>
      <c r="AN4" s="276">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4">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6">
        <v>38000</v>
      </c>
      <c r="S5" s="276"/>
      <c r="T5" s="276"/>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6">
        <f t="shared" si="0"/>
        <v>26074</v>
      </c>
      <c r="AM5" s="175">
        <f t="shared" si="1"/>
        <v>68.615789473684202</v>
      </c>
      <c r="AN5" s="256">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4">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6">
        <v>171959000</v>
      </c>
      <c r="S6" s="276"/>
      <c r="T6" s="276"/>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6">
        <f t="shared" si="0"/>
        <v>110831210</v>
      </c>
      <c r="AM6" s="175">
        <f t="shared" si="1"/>
        <v>64.452113585215073</v>
      </c>
      <c r="AN6" s="256">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4">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6">
        <v>46700000</v>
      </c>
      <c r="S7" s="276"/>
      <c r="T7" s="276"/>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6">
        <f t="shared" si="0"/>
        <v>33264616</v>
      </c>
      <c r="AM7" s="175">
        <f t="shared" si="1"/>
        <v>71.230441113490357</v>
      </c>
      <c r="AN7" s="256">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4">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6">
        <v>158000000</v>
      </c>
      <c r="S8" s="276"/>
      <c r="T8" s="276"/>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6">
        <f t="shared" si="0"/>
        <v>97300000</v>
      </c>
      <c r="AM8" s="175">
        <f t="shared" si="1"/>
        <v>61.582278481012651</v>
      </c>
      <c r="AN8" s="256">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4">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6">
        <v>48180000</v>
      </c>
      <c r="S9" s="276"/>
      <c r="T9" s="276"/>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6">
        <f t="shared" si="0"/>
        <v>49336000</v>
      </c>
      <c r="AM9" s="175">
        <f t="shared" si="1"/>
        <v>102.39933582399337</v>
      </c>
      <c r="AN9" s="256">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4">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6">
        <v>13133000</v>
      </c>
      <c r="S10" s="276"/>
      <c r="T10" s="276"/>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6">
        <f t="shared" si="0"/>
        <v>7527916</v>
      </c>
      <c r="AM10" s="175">
        <f t="shared" si="1"/>
        <v>57.320612198279143</v>
      </c>
      <c r="AN10" s="256">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4">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6">
        <v>130333000</v>
      </c>
      <c r="S11" s="276"/>
      <c r="T11" s="276"/>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6">
        <f t="shared" si="0"/>
        <v>89221440</v>
      </c>
      <c r="AM11" s="276">
        <f t="shared" si="1"/>
        <v>68.456522906708202</v>
      </c>
      <c r="AN11" s="256">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4">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6">
        <v>379379000</v>
      </c>
      <c r="S12" s="276"/>
      <c r="T12" s="276"/>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6">
        <f t="shared" si="0"/>
        <v>154736000</v>
      </c>
      <c r="AM12" s="175">
        <f t="shared" si="1"/>
        <v>40.78665397926612</v>
      </c>
      <c r="AN12" s="256">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4">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6">
        <v>88360000</v>
      </c>
      <c r="S13" s="276"/>
      <c r="T13" s="276"/>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6">
        <f t="shared" si="0"/>
        <v>55215000</v>
      </c>
      <c r="AM13" s="175">
        <f t="shared" si="1"/>
        <v>62.488682661837935</v>
      </c>
      <c r="AN13" s="256">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4">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6">
        <v>2635488000</v>
      </c>
      <c r="S14" s="276"/>
      <c r="T14" s="276"/>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6">
        <f t="shared" si="0"/>
        <v>1687913431</v>
      </c>
      <c r="AM14" s="175">
        <f t="shared" si="1"/>
        <v>64.045574519785333</v>
      </c>
      <c r="AN14" s="256">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3" t="s">
        <v>3768</v>
      </c>
      <c r="B15" s="303" t="s">
        <v>3769</v>
      </c>
      <c r="C15" s="303" t="s">
        <v>3795</v>
      </c>
      <c r="D15" s="303" t="s">
        <v>3796</v>
      </c>
      <c r="E15" s="303" t="s">
        <v>197</v>
      </c>
      <c r="F15" s="303" t="s">
        <v>3797</v>
      </c>
      <c r="G15" s="303" t="s">
        <v>3812</v>
      </c>
      <c r="H15" s="303" t="s">
        <v>3813</v>
      </c>
      <c r="I15" s="303">
        <v>994</v>
      </c>
      <c r="J15" s="303" t="s">
        <v>3826</v>
      </c>
      <c r="K15" s="303" t="s">
        <v>501</v>
      </c>
      <c r="L15" s="303" t="s">
        <v>4067</v>
      </c>
      <c r="M15" s="303" t="s">
        <v>2187</v>
      </c>
      <c r="N15" s="303" t="s">
        <v>4680</v>
      </c>
      <c r="O15" s="303">
        <v>512411</v>
      </c>
      <c r="P15" s="303" t="s">
        <v>4643</v>
      </c>
      <c r="Q15" s="304" cm="1">
        <f t="array" ref="Q15">SUM(_xlfn._xlws.FILTER(DIPA3[PaguRevisi],DIPA3[Akun]=SP2D_GAJI[[#This Row],[Kode Akun]],0))</f>
        <v>0</v>
      </c>
      <c r="R15" s="305">
        <v>323949000</v>
      </c>
      <c r="S15" s="305">
        <v>323949000</v>
      </c>
      <c r="T15" s="305"/>
      <c r="U15" s="306">
        <f>SUM('PER BULAN'!J264:L264)</f>
        <v>0</v>
      </c>
      <c r="V15" s="306">
        <f>SUM('PER BULAN'!M264:O264)</f>
        <v>0</v>
      </c>
      <c r="W15" s="306">
        <f>SUM('PER BULAN'!P264:R264)</f>
        <v>0</v>
      </c>
      <c r="X15" s="306">
        <f>SUM('PER BULAN'!S264:U264)</f>
        <v>0</v>
      </c>
      <c r="Y15" s="306">
        <f>SUM('PER BULAN'!V264:X264)</f>
        <v>0</v>
      </c>
      <c r="Z15" s="306">
        <f>SUM('PER BULAN'!Y264:AA264)</f>
        <v>0</v>
      </c>
      <c r="AA15" s="306">
        <f>SUM('PER BULAN'!AB264:AD264)</f>
        <v>0</v>
      </c>
      <c r="AB15" s="306">
        <f>SUM('PER BULAN'!AE264:AG264)</f>
        <v>0</v>
      </c>
      <c r="AC15" s="306">
        <f>SUM('PER BULAN'!AH264:AJ264)</f>
        <v>0</v>
      </c>
      <c r="AD15" s="306">
        <f>SUM('PER BULAN'!AK264:AM264)</f>
        <v>0</v>
      </c>
      <c r="AE15" s="306">
        <f>SUM('PER BULAN'!AN264:AP264)</f>
        <v>0</v>
      </c>
      <c r="AF15" s="307">
        <f>SUM('PER BULAN'!AQ264:AS264)</f>
        <v>0</v>
      </c>
      <c r="AG15" s="303"/>
      <c r="AH15" s="303"/>
      <c r="AI15" s="303"/>
      <c r="AJ15" s="303"/>
      <c r="AK15" s="303"/>
      <c r="AL15" s="308">
        <f>SUM(U15:AF15)</f>
        <v>0</v>
      </c>
      <c r="AM15" s="309">
        <f>IFERROR(AL15/Q15*100,0)</f>
        <v>0</v>
      </c>
      <c r="AN15" s="308">
        <f>Q15-AL15</f>
        <v>0</v>
      </c>
      <c r="AO15" s="309">
        <f>IFERROR(AN15/Q15*100,0)</f>
        <v>0</v>
      </c>
      <c r="AP15" s="310" t="str">
        <f>_xlfn.TEXTJOIN(".",TRUE,C15,E15,G15,I15,K15,M15,O15)</f>
        <v>WA.2378.EBA.994.001.GB.512411</v>
      </c>
      <c r="AQ15" s="310" t="str">
        <f>IF(ISNUMBER(SEARCH("COVID",SP2D_GAJI[[#This Row],[Akun]])),"COVID","Non COVID")</f>
        <v>Non COVID</v>
      </c>
      <c r="AR15" s="310"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1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6"/>
      <c r="AU15" s="306"/>
      <c r="AV15" s="306"/>
      <c r="AW15" s="303"/>
      <c r="AX15" s="303"/>
      <c r="AY15" s="303"/>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L207" activePane="bottomRight" state="frozen"/>
      <selection pane="topRight" activeCell="D1" sqref="D1"/>
      <selection pane="bottomLeft" activeCell="A15" sqref="A15"/>
      <selection pane="bottomRight" activeCell="AE233" sqref="AE233"/>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4.85546875" hidden="1" customWidth="1"/>
    <col min="29" max="29" width="16" hidden="1" customWidth="1"/>
    <col min="30" max="30" width="11.85546875" hidden="1"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7764</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7" t="s">
        <v>588</v>
      </c>
      <c r="F12" s="184" t="s">
        <v>4602</v>
      </c>
      <c r="G12" s="253" t="s">
        <v>4603</v>
      </c>
      <c r="H12" s="259" t="s">
        <v>4645</v>
      </c>
      <c r="I12" s="259" t="s">
        <v>4646</v>
      </c>
      <c r="J12" s="533" t="s">
        <v>3711</v>
      </c>
      <c r="K12" s="533"/>
      <c r="L12" s="533"/>
      <c r="M12" s="533" t="s">
        <v>3712</v>
      </c>
      <c r="N12" s="533"/>
      <c r="O12" s="533"/>
      <c r="P12" s="533" t="s">
        <v>3713</v>
      </c>
      <c r="Q12" s="533"/>
      <c r="R12" s="533"/>
      <c r="S12" s="533" t="s">
        <v>3714</v>
      </c>
      <c r="T12" s="533"/>
      <c r="U12" s="533"/>
      <c r="V12" s="533" t="s">
        <v>3715</v>
      </c>
      <c r="W12" s="533"/>
      <c r="X12" s="533"/>
      <c r="Y12" s="533" t="s">
        <v>3716</v>
      </c>
      <c r="Z12" s="533"/>
      <c r="AA12" s="533"/>
      <c r="AB12" s="533" t="s">
        <v>3717</v>
      </c>
      <c r="AC12" s="533"/>
      <c r="AD12" s="533"/>
      <c r="AE12" s="533" t="s">
        <v>3718</v>
      </c>
      <c r="AF12" s="533"/>
      <c r="AG12" s="533"/>
      <c r="AH12" s="533" t="s">
        <v>3719</v>
      </c>
      <c r="AI12" s="533"/>
      <c r="AJ12" s="533"/>
      <c r="AK12" s="533" t="s">
        <v>3720</v>
      </c>
      <c r="AL12" s="533"/>
      <c r="AM12" s="533"/>
      <c r="AN12" s="533" t="s">
        <v>3721</v>
      </c>
      <c r="AO12" s="533"/>
      <c r="AP12" s="533"/>
      <c r="AQ12" s="533" t="s">
        <v>3722</v>
      </c>
      <c r="AR12" s="533"/>
      <c r="AS12" s="533"/>
      <c r="AT12" s="358"/>
      <c r="AU12" s="535" t="s">
        <v>3728</v>
      </c>
      <c r="AV12" s="536" t="s">
        <v>3729</v>
      </c>
      <c r="AW12" s="534" t="s">
        <v>3730</v>
      </c>
      <c r="AX12" s="534"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7"/>
      <c r="F13" s="184"/>
      <c r="G13" s="253"/>
      <c r="H13" s="259"/>
      <c r="I13" s="259"/>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8"/>
      <c r="AU13" s="535"/>
      <c r="AV13" s="536"/>
      <c r="AW13" s="534"/>
      <c r="AX13" s="534"/>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2"/>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3"/>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4"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5"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6"/>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9"/>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7"/>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7"/>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7"/>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9"/>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7"/>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7"/>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7"/>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6"/>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9"/>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7"/>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7"/>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6"/>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9"/>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7"/>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7"/>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7"/>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7"/>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7"/>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7"/>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7"/>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9"/>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7"/>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7"/>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7"/>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7"/>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7"/>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7"/>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9"/>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7"/>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7"/>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7"/>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7"/>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6"/>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9"/>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7"/>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7"/>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7"/>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7"/>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7"/>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3"/>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4"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5"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5"/>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9"/>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7"/>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9"/>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7"/>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4"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5"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5"/>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9"/>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7"/>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7"/>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7"/>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7"/>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7"/>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9"/>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9" customFormat="1">
      <c r="B79" s="372">
        <v>521219</v>
      </c>
      <c r="C79" s="373" t="s">
        <v>53</v>
      </c>
      <c r="D79" s="374"/>
      <c r="E79" s="375"/>
      <c r="F79" s="376">
        <v>40434000</v>
      </c>
      <c r="G79" s="376">
        <v>40434000</v>
      </c>
      <c r="H79" s="376"/>
      <c r="I79" s="376">
        <v>40434000</v>
      </c>
      <c r="J79" s="376"/>
      <c r="K79" s="376"/>
      <c r="L79" s="376"/>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7"/>
      <c r="AW79" s="378"/>
      <c r="AX79" s="377"/>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5"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5"/>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9"/>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7"/>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7"/>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7"/>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9"/>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7"/>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7"/>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7"/>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9"/>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7"/>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7"/>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7"/>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7"/>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9"/>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7"/>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7"/>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7"/>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9"/>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7"/>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7"/>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7"/>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7"/>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7"/>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7"/>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9"/>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7"/>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7"/>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7"/>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7"/>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7"/>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9"/>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7"/>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7"/>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7"/>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7"/>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7"/>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9"/>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7"/>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7"/>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7"/>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7"/>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9"/>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7"/>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7"/>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0"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7"/>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7"/>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5"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5"/>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9"/>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7"/>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7"/>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9"/>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7"/>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7"/>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9"/>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7"/>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7"/>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9"/>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7"/>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7"/>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9"/>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7"/>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7"/>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7"/>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4"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5"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5"/>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9"/>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7"/>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9"/>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7"/>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4"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5"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5"/>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9"/>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7"/>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7"/>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0"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7"/>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7"/>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9"/>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7"/>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7"/>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0" t="s">
        <v>3804</v>
      </c>
      <c r="BB163" s="111"/>
      <c r="BC163" s="111"/>
      <c r="BD163" s="179"/>
      <c r="BE163" s="111"/>
      <c r="BF163" s="111"/>
      <c r="BG163" s="111"/>
      <c r="BH163" s="111"/>
      <c r="BI163" s="111"/>
      <c r="BJ163" s="111"/>
      <c r="BK163" s="111"/>
      <c r="BL163" s="111">
        <v>358831</v>
      </c>
    </row>
    <row r="164" spans="2:64">
      <c r="B164" s="172">
        <v>521811</v>
      </c>
      <c r="C164" s="110" t="s">
        <v>64</v>
      </c>
      <c r="D164" s="110"/>
      <c r="E164" s="367"/>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7"/>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7"/>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9"/>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7"/>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7"/>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7"/>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7"/>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9"/>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7"/>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5"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5"/>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9"/>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7"/>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7"/>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0" t="s">
        <v>3804</v>
      </c>
      <c r="BB178" s="111"/>
      <c r="BC178" s="111">
        <v>499528</v>
      </c>
      <c r="BD178" s="179"/>
      <c r="BE178" s="111"/>
      <c r="BF178" s="111"/>
      <c r="BG178" s="111"/>
      <c r="BH178" s="111"/>
      <c r="BI178" s="111"/>
      <c r="BJ178" s="111"/>
      <c r="BK178" s="111"/>
      <c r="BL178" s="111"/>
    </row>
    <row r="179" spans="2:64">
      <c r="B179" s="172">
        <v>524111</v>
      </c>
      <c r="C179" s="110" t="s">
        <v>19</v>
      </c>
      <c r="D179" s="110"/>
      <c r="E179" s="367"/>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9"/>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7"/>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7"/>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0"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7"/>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7"/>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7"/>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9"/>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7"/>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5"/>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9"/>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7"/>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7"/>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7"/>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9"/>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7"/>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5"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5"/>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9"/>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7"/>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7"/>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9"/>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7"/>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7"/>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9"/>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7"/>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7"/>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9"/>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7"/>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7"/>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7"/>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9"/>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7"/>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7"/>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9"/>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7"/>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7"/>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7"/>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9"/>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7"/>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5"/>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5"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5"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5"/>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9"/>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7"/>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7"/>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0" t="s">
        <v>3804</v>
      </c>
      <c r="BB225" s="111"/>
      <c r="BC225" s="111"/>
      <c r="BD225" s="111"/>
      <c r="BE225" s="111"/>
      <c r="BF225" s="111"/>
      <c r="BG225" s="111"/>
      <c r="BH225" s="111"/>
      <c r="BI225" s="111"/>
      <c r="BJ225" s="111"/>
      <c r="BK225" s="111"/>
      <c r="BL225" s="111"/>
    </row>
    <row r="226" spans="2:64">
      <c r="B226" s="172">
        <v>521811</v>
      </c>
      <c r="C226" s="110" t="s">
        <v>64</v>
      </c>
      <c r="D226" s="110"/>
      <c r="E226" s="367"/>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7"/>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7"/>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7"/>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9"/>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7"/>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7"/>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7"/>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7"/>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7"/>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9"/>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7"/>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7"/>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7"/>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9"/>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7"/>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5"/>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9"/>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7"/>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7"/>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7"/>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5" t="s">
        <v>585</v>
      </c>
      <c r="C249" s="286" t="s">
        <v>586</v>
      </c>
      <c r="D249" s="286" t="s">
        <v>587</v>
      </c>
      <c r="E249" s="286" t="s">
        <v>588</v>
      </c>
      <c r="F249" s="286" t="s">
        <v>4602</v>
      </c>
      <c r="G249" s="286" t="s">
        <v>4603</v>
      </c>
      <c r="H249" s="259" t="s">
        <v>4645</v>
      </c>
      <c r="I249" s="259" t="s">
        <v>4646</v>
      </c>
      <c r="J249" s="287" t="s">
        <v>3711</v>
      </c>
      <c r="K249" s="287" t="s">
        <v>4647</v>
      </c>
      <c r="L249" s="287" t="s">
        <v>4648</v>
      </c>
      <c r="M249" s="287" t="s">
        <v>3712</v>
      </c>
      <c r="N249" s="287" t="s">
        <v>4649</v>
      </c>
      <c r="O249" s="287" t="s">
        <v>4650</v>
      </c>
      <c r="P249" s="287" t="s">
        <v>3713</v>
      </c>
      <c r="Q249" s="287" t="s">
        <v>4651</v>
      </c>
      <c r="R249" s="287" t="s">
        <v>4652</v>
      </c>
      <c r="S249" s="287" t="s">
        <v>3714</v>
      </c>
      <c r="T249" s="287" t="s">
        <v>4653</v>
      </c>
      <c r="U249" s="287" t="s">
        <v>4654</v>
      </c>
      <c r="V249" s="287" t="s">
        <v>3715</v>
      </c>
      <c r="W249" s="287" t="s">
        <v>4655</v>
      </c>
      <c r="X249" s="287" t="s">
        <v>4656</v>
      </c>
      <c r="Y249" s="287" t="s">
        <v>3716</v>
      </c>
      <c r="Z249" s="287" t="s">
        <v>4657</v>
      </c>
      <c r="AA249" s="287" t="s">
        <v>4658</v>
      </c>
      <c r="AB249" s="287" t="s">
        <v>3717</v>
      </c>
      <c r="AC249" s="287" t="s">
        <v>4659</v>
      </c>
      <c r="AD249" s="287" t="s">
        <v>4660</v>
      </c>
      <c r="AE249" s="287" t="s">
        <v>3718</v>
      </c>
      <c r="AF249" s="287" t="s">
        <v>4661</v>
      </c>
      <c r="AG249" s="287" t="s">
        <v>4662</v>
      </c>
      <c r="AH249" s="287" t="s">
        <v>3719</v>
      </c>
      <c r="AI249" s="287" t="s">
        <v>4663</v>
      </c>
      <c r="AJ249" s="287" t="s">
        <v>4664</v>
      </c>
      <c r="AK249" s="287" t="s">
        <v>3720</v>
      </c>
      <c r="AL249" s="287" t="s">
        <v>4665</v>
      </c>
      <c r="AM249" s="287" t="s">
        <v>4666</v>
      </c>
      <c r="AN249" s="287" t="s">
        <v>3721</v>
      </c>
      <c r="AO249" s="287" t="s">
        <v>4667</v>
      </c>
      <c r="AP249" s="287" t="s">
        <v>4668</v>
      </c>
      <c r="AQ249" s="287" t="s">
        <v>3722</v>
      </c>
      <c r="AR249" s="287" t="s">
        <v>4669</v>
      </c>
      <c r="AS249" s="287" t="s">
        <v>4670</v>
      </c>
      <c r="AT249" s="287" t="s">
        <v>4821</v>
      </c>
      <c r="AU249" s="286" t="s">
        <v>3728</v>
      </c>
      <c r="AV249" s="288" t="s">
        <v>3729</v>
      </c>
      <c r="AW249" s="289" t="s">
        <v>3730</v>
      </c>
      <c r="AX249" s="289" t="s">
        <v>4671</v>
      </c>
      <c r="AY249" s="290" t="s">
        <v>3898</v>
      </c>
      <c r="AZ249" s="290" t="s">
        <v>500</v>
      </c>
      <c r="BA249" s="290" t="s">
        <v>3884</v>
      </c>
      <c r="BB249" s="291" t="s">
        <v>3897</v>
      </c>
      <c r="BC249" s="291" t="s">
        <v>4672</v>
      </c>
      <c r="BD249" s="291" t="s">
        <v>4673</v>
      </c>
      <c r="BE249" s="291" t="s">
        <v>4674</v>
      </c>
      <c r="BF249" s="291" t="s">
        <v>4675</v>
      </c>
      <c r="BG249" s="291" t="s">
        <v>4676</v>
      </c>
      <c r="BH249" s="291" t="s">
        <v>4677</v>
      </c>
      <c r="BI249" s="291" t="s">
        <v>4678</v>
      </c>
    </row>
    <row r="250" spans="2:64">
      <c r="B250" s="281"/>
      <c r="C250" s="259"/>
      <c r="D250" s="259"/>
      <c r="E250" s="357"/>
      <c r="F250" s="259"/>
      <c r="G250" s="259"/>
      <c r="H250" s="259"/>
      <c r="I250" s="302">
        <f t="shared" ref="I250:I265" si="573">G250-F250</f>
        <v>0</v>
      </c>
      <c r="J250" s="257" t="s">
        <v>3725</v>
      </c>
      <c r="K250" s="257" t="s">
        <v>3723</v>
      </c>
      <c r="L250" s="257" t="s">
        <v>3724</v>
      </c>
      <c r="M250" s="257" t="s">
        <v>3725</v>
      </c>
      <c r="N250" s="257" t="s">
        <v>3723</v>
      </c>
      <c r="O250" s="257" t="s">
        <v>3724</v>
      </c>
      <c r="P250" s="257" t="s">
        <v>3725</v>
      </c>
      <c r="Q250" s="257" t="s">
        <v>3723</v>
      </c>
      <c r="R250" s="257" t="s">
        <v>3724</v>
      </c>
      <c r="S250" s="257" t="s">
        <v>3725</v>
      </c>
      <c r="T250" s="257" t="s">
        <v>3723</v>
      </c>
      <c r="U250" s="257" t="s">
        <v>3724</v>
      </c>
      <c r="V250" s="257" t="s">
        <v>3725</v>
      </c>
      <c r="W250" s="257" t="s">
        <v>3723</v>
      </c>
      <c r="X250" s="257" t="s">
        <v>3724</v>
      </c>
      <c r="Y250" s="257" t="s">
        <v>3725</v>
      </c>
      <c r="Z250" s="257" t="s">
        <v>3723</v>
      </c>
      <c r="AA250" s="257" t="s">
        <v>3724</v>
      </c>
      <c r="AB250" s="257" t="s">
        <v>3725</v>
      </c>
      <c r="AC250" s="257" t="s">
        <v>3723</v>
      </c>
      <c r="AD250" s="257" t="s">
        <v>3724</v>
      </c>
      <c r="AE250" s="257" t="s">
        <v>3725</v>
      </c>
      <c r="AF250" s="257" t="s">
        <v>3723</v>
      </c>
      <c r="AG250" s="257" t="s">
        <v>3724</v>
      </c>
      <c r="AH250" s="257" t="s">
        <v>3725</v>
      </c>
      <c r="AI250" s="257" t="s">
        <v>3723</v>
      </c>
      <c r="AJ250" s="257" t="s">
        <v>3724</v>
      </c>
      <c r="AK250" s="257" t="s">
        <v>3725</v>
      </c>
      <c r="AL250" s="257" t="s">
        <v>3723</v>
      </c>
      <c r="AM250" s="257" t="s">
        <v>3724</v>
      </c>
      <c r="AN250" s="257" t="s">
        <v>3725</v>
      </c>
      <c r="AO250" s="257" t="s">
        <v>3723</v>
      </c>
      <c r="AP250" s="257" t="s">
        <v>3724</v>
      </c>
      <c r="AQ250" s="257" t="s">
        <v>3725</v>
      </c>
      <c r="AR250" s="257" t="s">
        <v>3723</v>
      </c>
      <c r="AS250" s="257" t="s">
        <v>3724</v>
      </c>
      <c r="AT250" s="358"/>
      <c r="AU250" s="259"/>
      <c r="AV250" s="260"/>
      <c r="AW250" s="258"/>
      <c r="AX250" s="258"/>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2" t="s">
        <v>501</v>
      </c>
      <c r="C251" s="129" t="s">
        <v>76</v>
      </c>
      <c r="D251" s="129"/>
      <c r="E251" s="363"/>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206927988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3978359587</v>
      </c>
      <c r="AV251" s="278">
        <f t="shared" ref="AV251:AV263" si="577">IFERROR(AU251/F251*100,0)</f>
        <v>61.403951893163686</v>
      </c>
      <c r="AW251" s="131">
        <f t="shared" ref="AW251:AW263" si="578">F251-AU251</f>
        <v>2500636413</v>
      </c>
      <c r="AX251" s="131">
        <f t="shared" ref="AX251:AX263" si="579">AW251/F251*100</f>
        <v>38.596048106836307</v>
      </c>
      <c r="AY251" s="129" t="s">
        <v>565</v>
      </c>
      <c r="AZ251" s="133" t="s">
        <v>535</v>
      </c>
      <c r="BB251" s="262"/>
      <c r="BD251" s="262"/>
    </row>
    <row r="252" spans="2:64">
      <c r="B252" s="283" t="s">
        <v>1786</v>
      </c>
      <c r="C252" s="263" t="s">
        <v>1787</v>
      </c>
      <c r="D252" s="264"/>
      <c r="E252" s="368"/>
      <c r="F252" s="265">
        <f>SUM(F253:F263)</f>
        <v>6155047000</v>
      </c>
      <c r="G252" s="265">
        <f>SUM(G253:G263)</f>
        <v>6155047000</v>
      </c>
      <c r="H252" s="265">
        <f>SUM(H253:H263)</f>
        <v>0</v>
      </c>
      <c r="I252" s="265">
        <f t="shared" si="573"/>
        <v>0</v>
      </c>
      <c r="J252" s="265">
        <f t="shared" ref="J252:K252" si="580">SUM(J253:J263)</f>
        <v>208949299</v>
      </c>
      <c r="K252" s="265">
        <f t="shared" si="580"/>
        <v>0</v>
      </c>
      <c r="L252" s="265">
        <f>SUM(L253:L263)</f>
        <v>0</v>
      </c>
      <c r="M252" s="265">
        <f t="shared" ref="M252:N252" si="581">SUM(M253:M263)</f>
        <v>471416928</v>
      </c>
      <c r="N252" s="265">
        <f t="shared" si="581"/>
        <v>0</v>
      </c>
      <c r="O252" s="265">
        <f>SUM(O253:O263)</f>
        <v>0</v>
      </c>
      <c r="P252" s="265">
        <f t="shared" ref="P252:Q252" si="582">SUM(P253:P263)</f>
        <v>493246114</v>
      </c>
      <c r="Q252" s="265">
        <f t="shared" si="582"/>
        <v>0</v>
      </c>
      <c r="R252" s="265">
        <f>SUM(R253:R263)</f>
        <v>0</v>
      </c>
      <c r="S252" s="265">
        <f t="shared" ref="S252:AR252" si="583">SUM(S253:S263)</f>
        <v>811194029</v>
      </c>
      <c r="T252" s="265">
        <f t="shared" si="583"/>
        <v>0</v>
      </c>
      <c r="U252" s="265">
        <f t="shared" si="583"/>
        <v>0</v>
      </c>
      <c r="V252" s="265">
        <f t="shared" si="583"/>
        <v>480605233</v>
      </c>
      <c r="W252" s="265">
        <f t="shared" si="583"/>
        <v>0</v>
      </c>
      <c r="X252" s="265">
        <f t="shared" si="583"/>
        <v>0</v>
      </c>
      <c r="Y252" s="265">
        <f t="shared" si="583"/>
        <v>474970701</v>
      </c>
      <c r="Z252" s="265">
        <f t="shared" si="583"/>
        <v>0</v>
      </c>
      <c r="AA252" s="265">
        <f t="shared" si="583"/>
        <v>0</v>
      </c>
      <c r="AB252" s="265">
        <f t="shared" si="583"/>
        <v>831049295</v>
      </c>
      <c r="AC252" s="265">
        <f t="shared" si="583"/>
        <v>0</v>
      </c>
      <c r="AD252" s="265">
        <f t="shared" si="583"/>
        <v>0</v>
      </c>
      <c r="AE252" s="265">
        <f t="shared" si="583"/>
        <v>206927988</v>
      </c>
      <c r="AF252" s="265">
        <f t="shared" si="583"/>
        <v>0</v>
      </c>
      <c r="AG252" s="265">
        <f t="shared" si="583"/>
        <v>0</v>
      </c>
      <c r="AH252" s="265">
        <f t="shared" si="583"/>
        <v>0</v>
      </c>
      <c r="AI252" s="265">
        <f t="shared" si="583"/>
        <v>0</v>
      </c>
      <c r="AJ252" s="265">
        <f t="shared" si="583"/>
        <v>0</v>
      </c>
      <c r="AK252" s="265">
        <f t="shared" si="583"/>
        <v>0</v>
      </c>
      <c r="AL252" s="265">
        <f t="shared" si="583"/>
        <v>0</v>
      </c>
      <c r="AM252" s="265">
        <f t="shared" si="583"/>
        <v>0</v>
      </c>
      <c r="AN252" s="265">
        <f t="shared" si="583"/>
        <v>0</v>
      </c>
      <c r="AO252" s="265">
        <f t="shared" si="583"/>
        <v>0</v>
      </c>
      <c r="AP252" s="265">
        <f t="shared" si="583"/>
        <v>0</v>
      </c>
      <c r="AQ252" s="265">
        <f t="shared" si="583"/>
        <v>0</v>
      </c>
      <c r="AR252" s="265">
        <f t="shared" si="583"/>
        <v>0</v>
      </c>
      <c r="AS252" s="113"/>
      <c r="AT252" s="113"/>
      <c r="AU252" s="113">
        <f t="shared" si="576"/>
        <v>3978359587</v>
      </c>
      <c r="AV252" s="170">
        <f t="shared" si="577"/>
        <v>64.635730433902452</v>
      </c>
      <c r="AW252" s="121">
        <f t="shared" si="578"/>
        <v>2176687413</v>
      </c>
      <c r="AX252" s="277">
        <f t="shared" si="579"/>
        <v>35.364269566097548</v>
      </c>
      <c r="AY252" s="264" t="s">
        <v>565</v>
      </c>
      <c r="AZ252" t="s">
        <v>535</v>
      </c>
      <c r="BB252" s="266"/>
      <c r="BC252"/>
      <c r="BD252" s="266"/>
      <c r="BE252"/>
    </row>
    <row r="253" spans="2:64">
      <c r="B253" s="284">
        <v>511111</v>
      </c>
      <c r="C253" s="267" t="s">
        <v>77</v>
      </c>
      <c r="D253" s="267"/>
      <c r="E253" s="369"/>
      <c r="F253" s="268">
        <v>2483477000</v>
      </c>
      <c r="G253" s="269">
        <v>2483477000</v>
      </c>
      <c r="H253" s="269"/>
      <c r="I253" s="269">
        <f t="shared" si="573"/>
        <v>0</v>
      </c>
      <c r="J253" s="269">
        <v>165683660</v>
      </c>
      <c r="K253" s="270"/>
      <c r="L253" s="270"/>
      <c r="M253" s="270">
        <v>164673160</v>
      </c>
      <c r="N253" s="270"/>
      <c r="O253" s="270"/>
      <c r="P253" s="271">
        <v>178479060</v>
      </c>
      <c r="Q253" s="270"/>
      <c r="R253" s="270"/>
      <c r="S253" s="271">
        <v>333776320</v>
      </c>
      <c r="T253" s="270"/>
      <c r="U253" s="270"/>
      <c r="V253" s="272">
        <f>167581800+211500</f>
        <v>167793300</v>
      </c>
      <c r="W253" s="270"/>
      <c r="X253" s="270"/>
      <c r="Y253" s="270">
        <f>3445500+167581800+618300</f>
        <v>171645600</v>
      </c>
      <c r="Z253" s="270"/>
      <c r="AA253" s="270"/>
      <c r="AB253" s="270">
        <f>166352500+171027300+203000+211500+8172200+1911000</f>
        <v>347877500</v>
      </c>
      <c r="AC253" s="270"/>
      <c r="AD253" s="270"/>
      <c r="AE253" s="270">
        <v>163059300</v>
      </c>
      <c r="AF253" s="270"/>
      <c r="AG253" s="270"/>
      <c r="AH253" s="270"/>
      <c r="AI253" s="270"/>
      <c r="AJ253" s="270"/>
      <c r="AK253" s="270"/>
      <c r="AL253" s="270"/>
      <c r="AM253" s="270"/>
      <c r="AN253" s="270"/>
      <c r="AO253" s="270"/>
      <c r="AP253" s="270"/>
      <c r="AQ253" s="270"/>
      <c r="AR253" s="270"/>
      <c r="AS253" s="270"/>
      <c r="AT253" s="270"/>
      <c r="AU253" s="270">
        <f t="shared" si="576"/>
        <v>1692987900</v>
      </c>
      <c r="AV253" s="279">
        <f t="shared" si="577"/>
        <v>68.170065597547307</v>
      </c>
      <c r="AW253" s="274">
        <f t="shared" si="578"/>
        <v>790489100</v>
      </c>
      <c r="AX253" s="273">
        <f t="shared" si="579"/>
        <v>31.829934402452693</v>
      </c>
      <c r="AY253" s="267" t="s">
        <v>565</v>
      </c>
      <c r="AZ253" t="s">
        <v>535</v>
      </c>
      <c r="BB253" s="159"/>
      <c r="BC253"/>
      <c r="BD253" s="159"/>
      <c r="BE253"/>
    </row>
    <row r="254" spans="2:64">
      <c r="B254" s="284">
        <v>511119</v>
      </c>
      <c r="C254" s="267" t="s">
        <v>79</v>
      </c>
      <c r="D254" s="267"/>
      <c r="E254" s="369"/>
      <c r="F254" s="268">
        <v>38000</v>
      </c>
      <c r="G254" s="269">
        <v>38000</v>
      </c>
      <c r="H254" s="269"/>
      <c r="I254" s="269">
        <f t="shared" si="573"/>
        <v>0</v>
      </c>
      <c r="J254" s="269">
        <v>2296</v>
      </c>
      <c r="K254" s="270"/>
      <c r="L254" s="270"/>
      <c r="M254" s="271">
        <v>2382</v>
      </c>
      <c r="N254" s="270"/>
      <c r="O254" s="270"/>
      <c r="P254" s="271">
        <v>3161</v>
      </c>
      <c r="Q254" s="270"/>
      <c r="R254" s="270"/>
      <c r="S254" s="271">
        <v>5493</v>
      </c>
      <c r="T254" s="270"/>
      <c r="U254" s="270"/>
      <c r="V254" s="272">
        <f>2454+35</f>
        <v>2489</v>
      </c>
      <c r="W254" s="270"/>
      <c r="X254" s="270"/>
      <c r="Y254" s="270">
        <f>17+2454+47</f>
        <v>2518</v>
      </c>
      <c r="Z254" s="270"/>
      <c r="AA254" s="270"/>
      <c r="AB254" s="270">
        <f>2379+2768+35+66</f>
        <v>5248</v>
      </c>
      <c r="AC254" s="270"/>
      <c r="AD254" s="270"/>
      <c r="AE254" s="270">
        <v>2487</v>
      </c>
      <c r="AF254" s="270"/>
      <c r="AG254" s="270"/>
      <c r="AH254" s="270"/>
      <c r="AI254" s="270"/>
      <c r="AJ254" s="270"/>
      <c r="AK254" s="270"/>
      <c r="AL254" s="270"/>
      <c r="AM254" s="270"/>
      <c r="AN254" s="270"/>
      <c r="AO254" s="270"/>
      <c r="AP254" s="270"/>
      <c r="AQ254" s="270"/>
      <c r="AR254" s="270"/>
      <c r="AS254" s="270"/>
      <c r="AT254" s="270"/>
      <c r="AU254" s="270">
        <f t="shared" si="576"/>
        <v>26074</v>
      </c>
      <c r="AV254" s="279">
        <f t="shared" si="577"/>
        <v>68.615789473684202</v>
      </c>
      <c r="AW254" s="274">
        <f t="shared" si="578"/>
        <v>11926</v>
      </c>
      <c r="AX254" s="273">
        <f t="shared" si="579"/>
        <v>31.38421052631579</v>
      </c>
      <c r="AY254" s="267" t="s">
        <v>565</v>
      </c>
      <c r="AZ254" t="s">
        <v>535</v>
      </c>
      <c r="BB254" s="159"/>
      <c r="BC254"/>
      <c r="BD254" s="159"/>
      <c r="BE254"/>
    </row>
    <row r="255" spans="2:64">
      <c r="B255" s="284">
        <v>511121</v>
      </c>
      <c r="C255" s="267" t="s">
        <v>80</v>
      </c>
      <c r="D255" s="267"/>
      <c r="E255" s="369"/>
      <c r="F255" s="268">
        <v>171959000</v>
      </c>
      <c r="G255" s="269">
        <v>171959000</v>
      </c>
      <c r="H255" s="269"/>
      <c r="I255" s="269">
        <f t="shared" si="573"/>
        <v>0</v>
      </c>
      <c r="J255" s="269">
        <v>11298990</v>
      </c>
      <c r="K255" s="270"/>
      <c r="L255" s="270"/>
      <c r="M255" s="271">
        <v>10479130</v>
      </c>
      <c r="N255" s="270"/>
      <c r="O255" s="270"/>
      <c r="P255" s="271">
        <v>11369370</v>
      </c>
      <c r="Q255" s="270"/>
      <c r="R255" s="270"/>
      <c r="S255" s="271">
        <v>21754920</v>
      </c>
      <c r="T255" s="270"/>
      <c r="U255" s="270"/>
      <c r="V255" s="272">
        <v>10849200</v>
      </c>
      <c r="W255" s="270"/>
      <c r="X255" s="270"/>
      <c r="Y255" s="270">
        <f>344550+10849200</f>
        <v>11193750</v>
      </c>
      <c r="Z255" s="270"/>
      <c r="AA255" s="270"/>
      <c r="AB255" s="270">
        <f>10726270+11193750+20300+817220</f>
        <v>22757540</v>
      </c>
      <c r="AC255" s="270"/>
      <c r="AD255" s="270"/>
      <c r="AE255" s="270">
        <v>11128310</v>
      </c>
      <c r="AF255" s="270"/>
      <c r="AG255" s="270"/>
      <c r="AH255" s="270"/>
      <c r="AI255" s="270"/>
      <c r="AJ255" s="270"/>
      <c r="AK255" s="270"/>
      <c r="AL255" s="270"/>
      <c r="AM255" s="270"/>
      <c r="AN255" s="270"/>
      <c r="AO255" s="270"/>
      <c r="AP255" s="270"/>
      <c r="AQ255" s="270"/>
      <c r="AR255" s="270"/>
      <c r="AS255" s="270"/>
      <c r="AT255" s="270"/>
      <c r="AU255" s="270">
        <f t="shared" si="576"/>
        <v>110831210</v>
      </c>
      <c r="AV255" s="279">
        <f t="shared" si="577"/>
        <v>64.452113585215073</v>
      </c>
      <c r="AW255" s="274">
        <f t="shared" si="578"/>
        <v>61127790</v>
      </c>
      <c r="AX255" s="273">
        <f t="shared" si="579"/>
        <v>35.547886414784919</v>
      </c>
      <c r="AY255" s="267" t="s">
        <v>565</v>
      </c>
      <c r="AZ255" t="s">
        <v>535</v>
      </c>
      <c r="BB255" s="159"/>
      <c r="BC255"/>
      <c r="BD255" s="159"/>
      <c r="BE255"/>
    </row>
    <row r="256" spans="2:64">
      <c r="B256" s="284">
        <v>511122</v>
      </c>
      <c r="C256" s="267" t="s">
        <v>81</v>
      </c>
      <c r="D256" s="267"/>
      <c r="E256" s="369"/>
      <c r="F256" s="268">
        <v>46700000</v>
      </c>
      <c r="G256" s="269">
        <v>46700000</v>
      </c>
      <c r="H256" s="269"/>
      <c r="I256" s="269">
        <f t="shared" si="573"/>
        <v>0</v>
      </c>
      <c r="J256" s="269">
        <v>3180974</v>
      </c>
      <c r="K256" s="270"/>
      <c r="L256" s="270"/>
      <c r="M256" s="271">
        <v>3106994</v>
      </c>
      <c r="N256" s="270"/>
      <c r="O256" s="270"/>
      <c r="P256" s="271">
        <v>3451660</v>
      </c>
      <c r="Q256" s="270"/>
      <c r="R256" s="270"/>
      <c r="S256" s="271">
        <v>6510188</v>
      </c>
      <c r="T256" s="270"/>
      <c r="U256" s="270"/>
      <c r="V256" s="272">
        <v>3249442</v>
      </c>
      <c r="W256" s="270"/>
      <c r="X256" s="270"/>
      <c r="Y256" s="270">
        <f>137820+3249442</f>
        <v>3387262</v>
      </c>
      <c r="Z256" s="270"/>
      <c r="AA256" s="270"/>
      <c r="AB256" s="270">
        <f>3392150+3387262+163444</f>
        <v>6942856</v>
      </c>
      <c r="AC256" s="270"/>
      <c r="AD256" s="270"/>
      <c r="AE256" s="270">
        <v>3435240</v>
      </c>
      <c r="AF256" s="270"/>
      <c r="AG256" s="270"/>
      <c r="AH256" s="270"/>
      <c r="AI256" s="270"/>
      <c r="AJ256" s="270"/>
      <c r="AK256" s="270"/>
      <c r="AL256" s="270"/>
      <c r="AM256" s="270"/>
      <c r="AN256" s="270"/>
      <c r="AO256" s="270"/>
      <c r="AP256" s="270"/>
      <c r="AQ256" s="270"/>
      <c r="AR256" s="270"/>
      <c r="AS256" s="270"/>
      <c r="AT256" s="270"/>
      <c r="AU256" s="270">
        <f t="shared" si="576"/>
        <v>33264616</v>
      </c>
      <c r="AV256" s="279">
        <f t="shared" si="577"/>
        <v>71.230441113490357</v>
      </c>
      <c r="AW256" s="274">
        <f t="shared" si="578"/>
        <v>13435384</v>
      </c>
      <c r="AX256" s="273">
        <f t="shared" si="579"/>
        <v>28.769558886509639</v>
      </c>
      <c r="AY256" s="267" t="s">
        <v>565</v>
      </c>
      <c r="AZ256" t="s">
        <v>535</v>
      </c>
      <c r="BB256" s="159"/>
      <c r="BC256"/>
      <c r="BD256" s="159"/>
      <c r="BE256"/>
    </row>
    <row r="257" spans="2:61">
      <c r="B257" s="284">
        <v>511123</v>
      </c>
      <c r="C257" s="267" t="s">
        <v>82</v>
      </c>
      <c r="D257" s="267"/>
      <c r="E257" s="369"/>
      <c r="F257" s="268">
        <v>158000000</v>
      </c>
      <c r="G257" s="269">
        <v>158000000</v>
      </c>
      <c r="H257" s="269"/>
      <c r="I257" s="269">
        <f t="shared" si="573"/>
        <v>0</v>
      </c>
      <c r="J257" s="269">
        <v>9730000</v>
      </c>
      <c r="K257" s="270"/>
      <c r="L257" s="270"/>
      <c r="M257" s="271">
        <v>9730000</v>
      </c>
      <c r="N257" s="270"/>
      <c r="O257" s="270"/>
      <c r="P257" s="271">
        <v>9730000</v>
      </c>
      <c r="Q257" s="270"/>
      <c r="R257" s="270"/>
      <c r="S257" s="271">
        <v>19460000</v>
      </c>
      <c r="T257" s="270"/>
      <c r="U257" s="270"/>
      <c r="V257" s="272">
        <v>9730000</v>
      </c>
      <c r="W257" s="270"/>
      <c r="X257" s="270"/>
      <c r="Y257" s="270">
        <v>9730000</v>
      </c>
      <c r="Z257" s="270"/>
      <c r="AA257" s="270"/>
      <c r="AB257" s="270">
        <f>9730000+9730000</f>
        <v>19460000</v>
      </c>
      <c r="AC257" s="270"/>
      <c r="AD257" s="270"/>
      <c r="AE257" s="270">
        <v>9730000</v>
      </c>
      <c r="AF257" s="270"/>
      <c r="AG257" s="270"/>
      <c r="AH257" s="270"/>
      <c r="AI257" s="270"/>
      <c r="AJ257" s="270"/>
      <c r="AK257" s="270"/>
      <c r="AL257" s="270"/>
      <c r="AM257" s="270"/>
      <c r="AN257" s="270"/>
      <c r="AO257" s="270"/>
      <c r="AP257" s="270"/>
      <c r="AQ257" s="270"/>
      <c r="AR257" s="270"/>
      <c r="AS257" s="270"/>
      <c r="AT257" s="270"/>
      <c r="AU257" s="270">
        <f t="shared" si="576"/>
        <v>97300000</v>
      </c>
      <c r="AV257" s="279">
        <f t="shared" si="577"/>
        <v>61.582278481012651</v>
      </c>
      <c r="AW257" s="274">
        <f t="shared" si="578"/>
        <v>60700000</v>
      </c>
      <c r="AX257" s="273">
        <f t="shared" si="579"/>
        <v>38.417721518987342</v>
      </c>
      <c r="AY257" s="267" t="s">
        <v>565</v>
      </c>
      <c r="AZ257" t="s">
        <v>535</v>
      </c>
      <c r="BB257" s="159"/>
      <c r="BC257"/>
      <c r="BD257" s="159"/>
      <c r="BE257"/>
    </row>
    <row r="258" spans="2:61">
      <c r="B258" s="284">
        <v>511124</v>
      </c>
      <c r="C258" s="267" t="s">
        <v>83</v>
      </c>
      <c r="D258" s="267"/>
      <c r="E258" s="369"/>
      <c r="F258" s="268">
        <v>48180000</v>
      </c>
      <c r="G258" s="269">
        <v>48180000</v>
      </c>
      <c r="H258" s="269"/>
      <c r="I258" s="269">
        <f t="shared" si="573"/>
        <v>0</v>
      </c>
      <c r="J258" s="269">
        <v>4480000</v>
      </c>
      <c r="K258" s="270"/>
      <c r="L258" s="270"/>
      <c r="M258" s="271">
        <v>4480000</v>
      </c>
      <c r="N258" s="270"/>
      <c r="O258" s="270"/>
      <c r="P258" s="271">
        <v>5134000</v>
      </c>
      <c r="Q258" s="270"/>
      <c r="R258" s="270"/>
      <c r="S258" s="271">
        <v>9614000</v>
      </c>
      <c r="T258" s="270"/>
      <c r="U258" s="270"/>
      <c r="V258" s="272">
        <v>4807000</v>
      </c>
      <c r="W258" s="270"/>
      <c r="X258" s="270"/>
      <c r="Y258" s="270">
        <f>480000+4807000</f>
        <v>5287000</v>
      </c>
      <c r="Z258" s="270"/>
      <c r="AA258" s="270"/>
      <c r="AB258" s="270">
        <f>5287000+5287000</f>
        <v>10574000</v>
      </c>
      <c r="AC258" s="270"/>
      <c r="AD258" s="270"/>
      <c r="AE258" s="270">
        <v>4960000</v>
      </c>
      <c r="AF258" s="270"/>
      <c r="AG258" s="270"/>
      <c r="AH258" s="270"/>
      <c r="AI258" s="270"/>
      <c r="AJ258" s="270"/>
      <c r="AK258" s="270"/>
      <c r="AL258" s="270"/>
      <c r="AM258" s="270"/>
      <c r="AN258" s="270"/>
      <c r="AO258" s="270"/>
      <c r="AP258" s="270"/>
      <c r="AQ258" s="270"/>
      <c r="AR258" s="270"/>
      <c r="AS258" s="270"/>
      <c r="AT258" s="270"/>
      <c r="AU258" s="270">
        <f t="shared" si="576"/>
        <v>49336000</v>
      </c>
      <c r="AV258" s="279">
        <f t="shared" si="577"/>
        <v>102.39933582399337</v>
      </c>
      <c r="AW258" s="274">
        <f t="shared" si="578"/>
        <v>-1156000</v>
      </c>
      <c r="AX258" s="273">
        <f t="shared" si="579"/>
        <v>-2.3993358239933582</v>
      </c>
      <c r="AY258" s="267" t="s">
        <v>565</v>
      </c>
      <c r="AZ258" t="s">
        <v>535</v>
      </c>
      <c r="BB258" s="159"/>
      <c r="BC258"/>
      <c r="BD258" s="159"/>
      <c r="BE258"/>
    </row>
    <row r="259" spans="2:61">
      <c r="B259" s="284">
        <v>511125</v>
      </c>
      <c r="C259" s="267" t="s">
        <v>84</v>
      </c>
      <c r="D259" s="267"/>
      <c r="E259" s="369"/>
      <c r="F259" s="268">
        <v>13133000</v>
      </c>
      <c r="G259" s="269">
        <v>13133000</v>
      </c>
      <c r="H259" s="269"/>
      <c r="I259" s="269">
        <f t="shared" si="573"/>
        <v>0</v>
      </c>
      <c r="J259" s="269">
        <v>265559</v>
      </c>
      <c r="K259" s="270"/>
      <c r="L259" s="270"/>
      <c r="M259" s="271">
        <v>273792</v>
      </c>
      <c r="N259" s="270"/>
      <c r="O259" s="270"/>
      <c r="P259" s="271">
        <v>399758</v>
      </c>
      <c r="Q259" s="270"/>
      <c r="R259" s="270"/>
      <c r="S259" s="271">
        <v>2872401</v>
      </c>
      <c r="T259" s="270"/>
      <c r="U259" s="270"/>
      <c r="V259" s="272">
        <f>273209+10008</f>
        <v>283217</v>
      </c>
      <c r="W259" s="270"/>
      <c r="X259" s="270"/>
      <c r="Y259" s="270">
        <v>273209</v>
      </c>
      <c r="Z259" s="270"/>
      <c r="AA259" s="270"/>
      <c r="AB259" s="270">
        <f>273209+2599192+10008</f>
        <v>2882409</v>
      </c>
      <c r="AC259" s="270"/>
      <c r="AD259" s="270"/>
      <c r="AE259" s="270">
        <v>277571</v>
      </c>
      <c r="AF259" s="270"/>
      <c r="AG259" s="270"/>
      <c r="AH259" s="270"/>
      <c r="AI259" s="270"/>
      <c r="AJ259" s="270"/>
      <c r="AK259" s="270"/>
      <c r="AL259" s="270"/>
      <c r="AM259" s="270"/>
      <c r="AN259" s="270"/>
      <c r="AO259" s="270"/>
      <c r="AP259" s="270"/>
      <c r="AQ259" s="270"/>
      <c r="AR259" s="270"/>
      <c r="AS259" s="270"/>
      <c r="AT259" s="270"/>
      <c r="AU259" s="270">
        <f t="shared" si="576"/>
        <v>7527916</v>
      </c>
      <c r="AV259" s="279">
        <f t="shared" si="577"/>
        <v>57.320612198279143</v>
      </c>
      <c r="AW259" s="274">
        <f t="shared" si="578"/>
        <v>5605084</v>
      </c>
      <c r="AX259" s="273">
        <f t="shared" si="579"/>
        <v>42.679387801720857</v>
      </c>
      <c r="AY259" s="267" t="s">
        <v>565</v>
      </c>
      <c r="AZ259" t="s">
        <v>535</v>
      </c>
      <c r="BB259" s="159"/>
      <c r="BC259"/>
      <c r="BD259" s="159"/>
      <c r="BE259"/>
    </row>
    <row r="260" spans="2:61">
      <c r="B260" s="284">
        <v>511126</v>
      </c>
      <c r="C260" s="267" t="s">
        <v>85</v>
      </c>
      <c r="D260" s="267"/>
      <c r="E260" s="369"/>
      <c r="F260" s="268">
        <v>130333000</v>
      </c>
      <c r="G260" s="269">
        <v>130333000</v>
      </c>
      <c r="H260" s="269"/>
      <c r="I260" s="269">
        <f t="shared" si="573"/>
        <v>0</v>
      </c>
      <c r="J260" s="269">
        <v>8762820</v>
      </c>
      <c r="K260" s="270"/>
      <c r="L260" s="270"/>
      <c r="M260" s="271">
        <v>8545560</v>
      </c>
      <c r="N260" s="270"/>
      <c r="O260" s="270"/>
      <c r="P260" s="271">
        <v>9197340</v>
      </c>
      <c r="Q260" s="270"/>
      <c r="R260" s="270"/>
      <c r="S260" s="271">
        <f>8907660+8762820</f>
        <v>17670480</v>
      </c>
      <c r="T260" s="270"/>
      <c r="U260" s="270"/>
      <c r="V260" s="272">
        <v>8835240</v>
      </c>
      <c r="W260" s="270"/>
      <c r="X260" s="270"/>
      <c r="Y260" s="270">
        <f>289680+8835240</f>
        <v>9124920</v>
      </c>
      <c r="Z260" s="270"/>
      <c r="AA260" s="270"/>
      <c r="AB260" s="270">
        <f>8980080+9124920</f>
        <v>18105000</v>
      </c>
      <c r="AC260" s="270"/>
      <c r="AD260" s="270"/>
      <c r="AE260" s="270">
        <v>8980080</v>
      </c>
      <c r="AF260" s="270"/>
      <c r="AG260" s="270"/>
      <c r="AH260" s="270"/>
      <c r="AI260" s="270"/>
      <c r="AJ260" s="270"/>
      <c r="AK260" s="270"/>
      <c r="AL260" s="270"/>
      <c r="AM260" s="270"/>
      <c r="AN260" s="270"/>
      <c r="AO260" s="270"/>
      <c r="AP260" s="270"/>
      <c r="AQ260" s="270"/>
      <c r="AR260" s="270"/>
      <c r="AS260" s="270"/>
      <c r="AT260" s="270"/>
      <c r="AU260" s="270">
        <f t="shared" si="576"/>
        <v>89221440</v>
      </c>
      <c r="AV260" s="279">
        <f t="shared" si="577"/>
        <v>68.456522906708202</v>
      </c>
      <c r="AW260" s="274">
        <f t="shared" si="578"/>
        <v>41111560</v>
      </c>
      <c r="AX260" s="273">
        <f t="shared" si="579"/>
        <v>31.543477093291798</v>
      </c>
      <c r="AY260" s="267" t="s">
        <v>565</v>
      </c>
      <c r="AZ260" t="s">
        <v>535</v>
      </c>
      <c r="BB260" s="159"/>
      <c r="BC260"/>
      <c r="BD260" s="159"/>
      <c r="BE260"/>
    </row>
    <row r="261" spans="2:61">
      <c r="B261" s="284">
        <v>511129</v>
      </c>
      <c r="C261" s="267" t="s">
        <v>86</v>
      </c>
      <c r="D261" s="267"/>
      <c r="E261" s="369"/>
      <c r="F261" s="268">
        <v>379379000</v>
      </c>
      <c r="G261" s="270">
        <v>379379000</v>
      </c>
      <c r="H261" s="270"/>
      <c r="I261" s="270">
        <f t="shared" si="573"/>
        <v>0</v>
      </c>
      <c r="J261" s="270"/>
      <c r="K261" s="270"/>
      <c r="L261" s="270"/>
      <c r="M261" s="271">
        <v>31515000</v>
      </c>
      <c r="N261" s="270"/>
      <c r="O261" s="270"/>
      <c r="P261" s="271">
        <v>24572000</v>
      </c>
      <c r="Q261" s="270"/>
      <c r="R261" s="270"/>
      <c r="S261" s="271">
        <v>27330000</v>
      </c>
      <c r="T261" s="270"/>
      <c r="U261" s="270"/>
      <c r="V261" s="271">
        <v>26312000</v>
      </c>
      <c r="W261" s="270"/>
      <c r="X261" s="270"/>
      <c r="Y261" s="270">
        <v>16698000</v>
      </c>
      <c r="Z261" s="270"/>
      <c r="AA261" s="270"/>
      <c r="AB261" s="270">
        <v>28309000</v>
      </c>
      <c r="AC261" s="270"/>
      <c r="AD261" s="270"/>
      <c r="AE261" s="270"/>
      <c r="AF261" s="270"/>
      <c r="AG261" s="270"/>
      <c r="AH261" s="270"/>
      <c r="AI261" s="270"/>
      <c r="AJ261" s="270"/>
      <c r="AK261" s="270"/>
      <c r="AL261" s="270"/>
      <c r="AM261" s="270"/>
      <c r="AN261" s="270"/>
      <c r="AO261" s="270"/>
      <c r="AP261" s="270"/>
      <c r="AQ261" s="270"/>
      <c r="AR261" s="270"/>
      <c r="AS261" s="270"/>
      <c r="AT261" s="270"/>
      <c r="AU261" s="270">
        <f t="shared" si="576"/>
        <v>154736000</v>
      </c>
      <c r="AV261" s="279">
        <f t="shared" si="577"/>
        <v>40.78665397926612</v>
      </c>
      <c r="AW261" s="274">
        <f t="shared" si="578"/>
        <v>224643000</v>
      </c>
      <c r="AX261" s="273">
        <f t="shared" si="579"/>
        <v>59.21334602073388</v>
      </c>
      <c r="AY261" s="267" t="s">
        <v>565</v>
      </c>
      <c r="AZ261" t="s">
        <v>535</v>
      </c>
      <c r="BB261" s="159"/>
      <c r="BC261"/>
      <c r="BD261" s="159"/>
      <c r="BE261"/>
    </row>
    <row r="262" spans="2:61">
      <c r="B262" s="284">
        <v>511151</v>
      </c>
      <c r="C262" s="267" t="s">
        <v>87</v>
      </c>
      <c r="D262" s="267"/>
      <c r="E262" s="369"/>
      <c r="F262" s="268">
        <v>88360000</v>
      </c>
      <c r="G262" s="270">
        <v>88360000</v>
      </c>
      <c r="H262" s="270"/>
      <c r="I262" s="270">
        <f t="shared" si="573"/>
        <v>0</v>
      </c>
      <c r="J262" s="270">
        <v>5545000</v>
      </c>
      <c r="K262" s="270"/>
      <c r="L262" s="270"/>
      <c r="M262" s="271">
        <v>5545000</v>
      </c>
      <c r="N262" s="270"/>
      <c r="O262" s="270"/>
      <c r="P262" s="271">
        <v>5735000</v>
      </c>
      <c r="Q262" s="270"/>
      <c r="R262" s="270"/>
      <c r="S262" s="271">
        <v>11070000</v>
      </c>
      <c r="T262" s="270"/>
      <c r="U262" s="270"/>
      <c r="V262" s="272">
        <v>5535000</v>
      </c>
      <c r="W262" s="270"/>
      <c r="X262" s="270"/>
      <c r="Y262" s="270">
        <v>5535000</v>
      </c>
      <c r="Z262" s="270"/>
      <c r="AA262" s="270"/>
      <c r="AB262" s="270">
        <f>5355000+5535000+5000</f>
        <v>10895000</v>
      </c>
      <c r="AC262" s="270"/>
      <c r="AD262" s="270"/>
      <c r="AE262" s="270">
        <v>5355000</v>
      </c>
      <c r="AF262" s="270"/>
      <c r="AG262" s="270"/>
      <c r="AH262" s="270"/>
      <c r="AI262" s="270"/>
      <c r="AJ262" s="270"/>
      <c r="AK262" s="270"/>
      <c r="AL262" s="270"/>
      <c r="AM262" s="270"/>
      <c r="AN262" s="270"/>
      <c r="AO262" s="270"/>
      <c r="AP262" s="270"/>
      <c r="AQ262" s="270"/>
      <c r="AR262" s="270"/>
      <c r="AS262" s="270"/>
      <c r="AT262" s="270"/>
      <c r="AU262" s="270">
        <f t="shared" si="576"/>
        <v>55215000</v>
      </c>
      <c r="AV262" s="279">
        <f t="shared" si="577"/>
        <v>62.488682661837935</v>
      </c>
      <c r="AW262" s="274">
        <f t="shared" si="578"/>
        <v>33145000</v>
      </c>
      <c r="AX262" s="273">
        <f t="shared" si="579"/>
        <v>37.511317338162065</v>
      </c>
      <c r="AY262" s="267" t="s">
        <v>565</v>
      </c>
      <c r="AZ262" t="s">
        <v>535</v>
      </c>
      <c r="BB262" s="159"/>
      <c r="BC262"/>
      <c r="BD262" s="159"/>
      <c r="BE262"/>
    </row>
    <row r="263" spans="2:61">
      <c r="B263" s="284">
        <v>512411</v>
      </c>
      <c r="C263" s="267" t="s">
        <v>88</v>
      </c>
      <c r="D263" s="267"/>
      <c r="E263" s="369"/>
      <c r="F263" s="268">
        <v>2635488000</v>
      </c>
      <c r="G263" s="270">
        <v>2635488000</v>
      </c>
      <c r="H263" s="270"/>
      <c r="I263" s="270">
        <f t="shared" si="573"/>
        <v>0</v>
      </c>
      <c r="J263" s="270"/>
      <c r="K263" s="270"/>
      <c r="L263" s="270"/>
      <c r="M263" s="271">
        <v>233065910</v>
      </c>
      <c r="N263" s="270"/>
      <c r="O263" s="270"/>
      <c r="P263" s="271">
        <v>245174765</v>
      </c>
      <c r="Q263" s="270"/>
      <c r="R263" s="270"/>
      <c r="S263" s="271">
        <v>361130227</v>
      </c>
      <c r="T263" s="270"/>
      <c r="U263" s="270"/>
      <c r="V263" s="272">
        <f>236089382+4745975+2372988</f>
        <v>243208345</v>
      </c>
      <c r="W263" s="270"/>
      <c r="X263" s="270"/>
      <c r="Y263" s="270">
        <f>241668914+424528</f>
        <v>242093442</v>
      </c>
      <c r="Z263" s="270"/>
      <c r="AA263" s="270"/>
      <c r="AB263" s="270">
        <f>121840910+241399832</f>
        <v>363240742</v>
      </c>
      <c r="AC263" s="270"/>
      <c r="AD263" s="270"/>
      <c r="AE263" s="270"/>
      <c r="AF263" s="270"/>
      <c r="AG263" s="270"/>
      <c r="AH263" s="270"/>
      <c r="AI263" s="270"/>
      <c r="AJ263" s="270"/>
      <c r="AK263" s="270"/>
      <c r="AL263" s="270"/>
      <c r="AM263" s="270"/>
      <c r="AN263" s="270"/>
      <c r="AO263" s="270"/>
      <c r="AP263" s="270"/>
      <c r="AQ263" s="270"/>
      <c r="AR263" s="270"/>
      <c r="AS263" s="270"/>
      <c r="AT263" s="270"/>
      <c r="AU263" s="270">
        <f t="shared" si="576"/>
        <v>1687913431</v>
      </c>
      <c r="AV263" s="279">
        <f t="shared" si="577"/>
        <v>64.045574519785333</v>
      </c>
      <c r="AW263" s="274">
        <f t="shared" si="578"/>
        <v>947574569</v>
      </c>
      <c r="AX263" s="273">
        <f t="shared" si="579"/>
        <v>35.954425480214667</v>
      </c>
      <c r="AY263" s="267" t="s">
        <v>565</v>
      </c>
      <c r="AZ263" t="s">
        <v>535</v>
      </c>
      <c r="BB263" s="159"/>
      <c r="BC263"/>
      <c r="BD263" s="159"/>
      <c r="BE263"/>
    </row>
    <row r="264" spans="2:61">
      <c r="B264" s="283" t="s">
        <v>2187</v>
      </c>
      <c r="C264" s="263" t="s">
        <v>3604</v>
      </c>
      <c r="D264" s="264"/>
      <c r="E264" s="368"/>
      <c r="F264" s="265">
        <f t="shared" ref="F264:G264" si="584">F265</f>
        <v>323949000</v>
      </c>
      <c r="G264" s="265">
        <f t="shared" si="584"/>
        <v>323949000</v>
      </c>
      <c r="H264" s="265">
        <f>H265</f>
        <v>323949000</v>
      </c>
      <c r="I264" s="265">
        <f t="shared" si="573"/>
        <v>0</v>
      </c>
      <c r="J264" s="265">
        <f t="shared" ref="J264:K264" si="585">SUM(J265:J275)</f>
        <v>0</v>
      </c>
      <c r="K264" s="265">
        <f t="shared" si="585"/>
        <v>0</v>
      </c>
      <c r="L264" s="265">
        <f>SUM(L265:L275)</f>
        <v>0</v>
      </c>
      <c r="M264" s="265">
        <f t="shared" ref="M264:N264" si="586">SUM(M265:M275)</f>
        <v>0</v>
      </c>
      <c r="N264" s="265">
        <f t="shared" si="586"/>
        <v>0</v>
      </c>
      <c r="O264" s="265">
        <f>SUM(O265:O275)</f>
        <v>0</v>
      </c>
      <c r="P264" s="265">
        <f t="shared" ref="P264:Q264" si="587">SUM(P265:P275)</f>
        <v>0</v>
      </c>
      <c r="Q264" s="265">
        <f t="shared" si="587"/>
        <v>0</v>
      </c>
      <c r="R264" s="265">
        <f>SUM(R265:R275)</f>
        <v>0</v>
      </c>
      <c r="S264" s="265">
        <f t="shared" ref="S264:AR264" si="588">SUM(S265:S275)</f>
        <v>0</v>
      </c>
      <c r="T264" s="265">
        <f t="shared" si="588"/>
        <v>0</v>
      </c>
      <c r="U264" s="265">
        <f t="shared" si="588"/>
        <v>0</v>
      </c>
      <c r="V264" s="265">
        <f t="shared" si="588"/>
        <v>0</v>
      </c>
      <c r="W264" s="265">
        <f t="shared" si="588"/>
        <v>0</v>
      </c>
      <c r="X264" s="265">
        <f t="shared" si="588"/>
        <v>0</v>
      </c>
      <c r="Y264" s="265">
        <f t="shared" si="588"/>
        <v>0</v>
      </c>
      <c r="Z264" s="265">
        <f t="shared" si="588"/>
        <v>0</v>
      </c>
      <c r="AA264" s="265">
        <f t="shared" si="588"/>
        <v>0</v>
      </c>
      <c r="AB264" s="265">
        <f t="shared" si="588"/>
        <v>0</v>
      </c>
      <c r="AC264" s="265">
        <f t="shared" si="588"/>
        <v>0</v>
      </c>
      <c r="AD264" s="265">
        <f t="shared" si="588"/>
        <v>0</v>
      </c>
      <c r="AE264" s="265">
        <f t="shared" si="588"/>
        <v>0</v>
      </c>
      <c r="AF264" s="265">
        <f t="shared" si="588"/>
        <v>0</v>
      </c>
      <c r="AG264" s="265">
        <f t="shared" si="588"/>
        <v>0</v>
      </c>
      <c r="AH264" s="265">
        <f t="shared" si="588"/>
        <v>0</v>
      </c>
      <c r="AI264" s="265">
        <f t="shared" si="588"/>
        <v>0</v>
      </c>
      <c r="AJ264" s="265">
        <f t="shared" si="588"/>
        <v>0</v>
      </c>
      <c r="AK264" s="265">
        <f t="shared" si="588"/>
        <v>0</v>
      </c>
      <c r="AL264" s="265">
        <f t="shared" si="588"/>
        <v>0</v>
      </c>
      <c r="AM264" s="265">
        <f t="shared" si="588"/>
        <v>0</v>
      </c>
      <c r="AN264" s="265">
        <f t="shared" si="588"/>
        <v>0</v>
      </c>
      <c r="AO264" s="265">
        <f t="shared" si="588"/>
        <v>0</v>
      </c>
      <c r="AP264" s="265">
        <f t="shared" si="588"/>
        <v>0</v>
      </c>
      <c r="AQ264" s="265">
        <f t="shared" si="588"/>
        <v>0</v>
      </c>
      <c r="AR264" s="265">
        <f t="shared" si="588"/>
        <v>0</v>
      </c>
      <c r="AS264" s="113"/>
      <c r="AT264" s="113"/>
      <c r="AU264" s="113">
        <f t="shared" ref="AU264" si="589">SUM(J264:AS264)</f>
        <v>0</v>
      </c>
      <c r="AV264" s="170">
        <f t="shared" ref="AV264" si="590">IFERROR(AU264/F264*100,0)</f>
        <v>0</v>
      </c>
      <c r="AW264" s="113">
        <f t="shared" ref="AW264" si="591">F264-AU264</f>
        <v>323949000</v>
      </c>
      <c r="AX264" s="277">
        <f t="shared" ref="AX264" si="592">AW264/F264*100</f>
        <v>100</v>
      </c>
      <c r="AY264" s="264" t="s">
        <v>565</v>
      </c>
      <c r="AZ264" t="s">
        <v>535</v>
      </c>
      <c r="BB264" s="266"/>
      <c r="BC264"/>
      <c r="BD264" s="266"/>
      <c r="BE264"/>
    </row>
    <row r="265" spans="2:61">
      <c r="B265" s="284">
        <v>512411</v>
      </c>
      <c r="C265" s="292" t="s">
        <v>88</v>
      </c>
      <c r="D265" s="292"/>
      <c r="E265" s="370"/>
      <c r="F265" s="293">
        <v>323949000</v>
      </c>
      <c r="G265" s="293">
        <v>323949000</v>
      </c>
      <c r="H265" s="293">
        <v>323949000</v>
      </c>
      <c r="I265" s="293">
        <f t="shared" si="573"/>
        <v>0</v>
      </c>
      <c r="J265" s="293"/>
      <c r="K265" s="293"/>
      <c r="L265" s="293"/>
      <c r="M265" s="294"/>
      <c r="N265" s="293"/>
      <c r="O265" s="293"/>
      <c r="P265" s="294"/>
      <c r="Q265" s="293"/>
      <c r="R265" s="293"/>
      <c r="S265" s="294"/>
      <c r="T265" s="293"/>
      <c r="U265" s="293"/>
      <c r="V265" s="295"/>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f>SUM(J265:AS265)</f>
        <v>0</v>
      </c>
      <c r="AV265" s="296">
        <f>IFERROR(AU265/F265*100,0)</f>
        <v>0</v>
      </c>
      <c r="AW265" s="297">
        <f>F265-AU265</f>
        <v>323949000</v>
      </c>
      <c r="AX265" s="298">
        <f>AW265/F265*100</f>
        <v>100</v>
      </c>
      <c r="AY265" s="292"/>
      <c r="AZ265" s="171"/>
      <c r="BA265" s="171"/>
      <c r="BB265" s="299"/>
      <c r="BC265" s="299"/>
      <c r="BD265" s="299"/>
      <c r="BE265" s="299"/>
      <c r="BF265" s="171"/>
      <c r="BG265" s="171"/>
      <c r="BH265" s="171"/>
      <c r="BI265" s="171"/>
    </row>
    <row r="268" spans="2:61">
      <c r="AG268" t="s">
        <v>7750</v>
      </c>
      <c r="AU268" s="161">
        <f>AU253+AU254+AU255+AU256+AU257+AU258+AU259+AU260+AU262</f>
        <v>2135710156</v>
      </c>
    </row>
    <row r="269" spans="2:61">
      <c r="AG269" t="s">
        <v>7751</v>
      </c>
      <c r="AU269" s="161">
        <f>AU261</f>
        <v>154736000</v>
      </c>
    </row>
    <row r="270" spans="2:61">
      <c r="AB270" s="161"/>
      <c r="AG270" t="s">
        <v>7752</v>
      </c>
      <c r="AU270" s="161">
        <f>AU263</f>
        <v>1687913431</v>
      </c>
    </row>
    <row r="271" spans="2:61">
      <c r="AU271" s="161">
        <f>SUM(AU268:AU270)</f>
        <v>3978359587</v>
      </c>
    </row>
    <row r="272" spans="2:61">
      <c r="D272" s="159"/>
      <c r="E272" s="371"/>
      <c r="F272" s="159"/>
    </row>
    <row r="273" spans="4:6">
      <c r="D273" s="159"/>
      <c r="E273" s="371"/>
      <c r="F273" s="159"/>
    </row>
    <row r="274" spans="4:6">
      <c r="D274" s="159"/>
      <c r="E274" s="371"/>
      <c r="F274" s="159"/>
    </row>
    <row r="275" spans="4:6">
      <c r="D275" s="159"/>
      <c r="E275" s="371"/>
      <c r="F275" s="159"/>
    </row>
    <row r="276" spans="4:6">
      <c r="D276" s="159"/>
      <c r="E276" s="371"/>
      <c r="F276" s="159"/>
    </row>
    <row r="277" spans="4:6">
      <c r="D277" s="159"/>
      <c r="E277" s="371"/>
      <c r="F277" s="159"/>
    </row>
    <row r="278" spans="4:6">
      <c r="D278" s="159"/>
      <c r="E278" s="371"/>
      <c r="F278" s="159"/>
    </row>
    <row r="279" spans="4:6">
      <c r="D279" s="159"/>
      <c r="E279" s="371"/>
      <c r="F279" s="159"/>
    </row>
    <row r="280" spans="4:6">
      <c r="D280" s="159"/>
      <c r="E280" s="371"/>
      <c r="F280" s="159"/>
    </row>
    <row r="281" spans="4:6">
      <c r="D281" s="159"/>
      <c r="E281" s="371"/>
      <c r="F281" s="159"/>
    </row>
    <row r="282" spans="4:6">
      <c r="D282" s="159"/>
      <c r="E282" s="371"/>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1191" priority="8">
      <formula>ROW()=CELL("ROW")</formula>
    </cfRule>
  </conditionalFormatting>
  <conditionalFormatting sqref="AS251:AT252">
    <cfRule type="expression" dxfId="1190" priority="6">
      <formula>ROW()=CELL("ROW")</formula>
    </cfRule>
  </conditionalFormatting>
  <conditionalFormatting sqref="B252:C252">
    <cfRule type="expression" dxfId="1189" priority="5">
      <formula>AND($R$4="Ya",$Q$2=ROW())</formula>
    </cfRule>
  </conditionalFormatting>
  <conditionalFormatting sqref="AU253:AU263">
    <cfRule type="expression" dxfId="1188" priority="4">
      <formula>ROW()=CELL("ROW")</formula>
    </cfRule>
  </conditionalFormatting>
  <conditionalFormatting sqref="AS264:AT264">
    <cfRule type="expression" dxfId="1187" priority="3">
      <formula>ROW()=CELL("ROW")</formula>
    </cfRule>
  </conditionalFormatting>
  <conditionalFormatting sqref="B264:C264">
    <cfRule type="expression" dxfId="1186" priority="2">
      <formula>AND($R$4="Ya",$Q$2=ROW())</formula>
    </cfRule>
  </conditionalFormatting>
  <conditionalFormatting sqref="AW251:AW265">
    <cfRule type="cellIs" dxfId="1185"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O28" sqref="O28"/>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66" t="s">
        <v>7686</v>
      </c>
      <c r="B1" s="566"/>
      <c r="C1" s="566"/>
      <c r="D1" s="566"/>
      <c r="E1" s="566"/>
      <c r="F1" s="566"/>
      <c r="G1" s="566"/>
      <c r="H1" s="566"/>
      <c r="I1" s="566"/>
      <c r="J1" s="566"/>
      <c r="K1" s="566"/>
      <c r="L1" s="566"/>
      <c r="M1" s="566"/>
      <c r="N1" s="566"/>
    </row>
    <row r="2" spans="1:15" ht="15.75">
      <c r="A2" s="567" t="str">
        <f>'PER BULAN'!B5</f>
        <v>Berdasarkan DIPA Revisi 3 TA. 2022 (Tanggal 13 Juli 2022)</v>
      </c>
      <c r="B2" s="567"/>
      <c r="C2" s="567"/>
      <c r="D2" s="567"/>
      <c r="E2" s="567"/>
      <c r="F2" s="567"/>
      <c r="G2" s="567"/>
      <c r="H2" s="567"/>
      <c r="I2" s="567"/>
      <c r="J2" s="567"/>
      <c r="K2" s="567"/>
      <c r="L2" s="567"/>
      <c r="M2" s="567"/>
      <c r="N2" s="567"/>
    </row>
    <row r="3" spans="1:15" ht="15.75">
      <c r="A3" s="567" t="str">
        <f>'PER BULAN'!B6</f>
        <v>SAMPAI DENGAN 8 AGUSTUS 2022</v>
      </c>
      <c r="B3" s="567"/>
      <c r="C3" s="567"/>
      <c r="D3" s="567"/>
      <c r="E3" s="567"/>
      <c r="F3" s="567"/>
      <c r="G3" s="567"/>
      <c r="H3" s="567"/>
      <c r="I3" s="567"/>
      <c r="J3" s="567"/>
      <c r="K3" s="567"/>
      <c r="L3" s="567"/>
      <c r="M3" s="567"/>
      <c r="N3" s="567"/>
    </row>
    <row r="4" spans="1:15">
      <c r="A4" s="361"/>
      <c r="B4" s="361"/>
      <c r="C4" s="361"/>
      <c r="D4" s="361"/>
      <c r="E4" s="361"/>
      <c r="F4" s="361"/>
      <c r="G4" s="361"/>
      <c r="H4" s="361"/>
      <c r="I4" s="361"/>
      <c r="J4" s="361"/>
      <c r="K4" s="361"/>
      <c r="L4" s="361"/>
      <c r="M4" s="361"/>
      <c r="N4" s="361"/>
    </row>
    <row r="5" spans="1:15" ht="15.75">
      <c r="A5" s="329" t="s">
        <v>3878</v>
      </c>
    </row>
    <row r="6" spans="1:15">
      <c r="A6" s="544" t="s">
        <v>571</v>
      </c>
      <c r="B6" s="544" t="s">
        <v>500</v>
      </c>
      <c r="C6" s="547" t="s">
        <v>7680</v>
      </c>
      <c r="D6" s="548"/>
      <c r="E6" s="548"/>
      <c r="F6" s="548"/>
      <c r="G6" s="549"/>
      <c r="H6" s="557" t="s">
        <v>7682</v>
      </c>
      <c r="I6" s="558"/>
      <c r="J6" s="558"/>
      <c r="K6" s="558"/>
      <c r="L6" s="559"/>
      <c r="M6" s="541" t="s">
        <v>4679</v>
      </c>
      <c r="N6" s="541" t="s">
        <v>4681</v>
      </c>
    </row>
    <row r="7" spans="1:15" ht="14.45" customHeight="1">
      <c r="A7" s="545"/>
      <c r="B7" s="545"/>
      <c r="C7" s="550" t="s">
        <v>7681</v>
      </c>
      <c r="D7" s="547" t="s">
        <v>3732</v>
      </c>
      <c r="E7" s="549"/>
      <c r="F7" s="547" t="s">
        <v>3733</v>
      </c>
      <c r="G7" s="549"/>
      <c r="H7" s="560" t="s">
        <v>7683</v>
      </c>
      <c r="I7" s="557" t="s">
        <v>3732</v>
      </c>
      <c r="J7" s="559"/>
      <c r="K7" s="557" t="s">
        <v>3733</v>
      </c>
      <c r="L7" s="559"/>
      <c r="M7" s="542"/>
      <c r="N7" s="542"/>
    </row>
    <row r="8" spans="1:15" ht="14.45" customHeight="1">
      <c r="A8" s="546"/>
      <c r="B8" s="546"/>
      <c r="C8" s="551"/>
      <c r="D8" s="313" t="s">
        <v>4691</v>
      </c>
      <c r="E8" s="313" t="s">
        <v>3729</v>
      </c>
      <c r="F8" s="313" t="s">
        <v>4691</v>
      </c>
      <c r="G8" s="313" t="s">
        <v>3729</v>
      </c>
      <c r="H8" s="561"/>
      <c r="I8" s="444" t="s">
        <v>4691</v>
      </c>
      <c r="J8" s="444" t="s">
        <v>3729</v>
      </c>
      <c r="K8" s="444" t="s">
        <v>4691</v>
      </c>
      <c r="L8" s="444" t="s">
        <v>3729</v>
      </c>
      <c r="M8" s="543"/>
      <c r="N8" s="543"/>
    </row>
    <row r="9" spans="1:15">
      <c r="A9" s="570"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1"/>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71"/>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1"/>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2"/>
      <c r="B13" s="453" t="s">
        <v>4687</v>
      </c>
      <c r="C13" s="454">
        <f>SUM(C9:C12)</f>
        <v>4328014000</v>
      </c>
      <c r="D13" s="454">
        <f>SUM(D9:D12)</f>
        <v>2275241963</v>
      </c>
      <c r="E13" s="455">
        <f t="shared" si="0"/>
        <v>52.570115600365433</v>
      </c>
      <c r="F13" s="454">
        <f t="shared" si="1"/>
        <v>2052772037</v>
      </c>
      <c r="G13" s="455">
        <f t="shared" si="2"/>
        <v>47.429884399634567</v>
      </c>
      <c r="H13" s="454">
        <f>SUM(H9:H12)</f>
        <v>3618462000</v>
      </c>
      <c r="I13" s="454">
        <f>SUM(I9:I12)</f>
        <v>2275241963</v>
      </c>
      <c r="J13" s="455">
        <f t="shared" si="4"/>
        <v>62.878702691917177</v>
      </c>
      <c r="K13" s="454">
        <f t="shared" si="5"/>
        <v>1343220037</v>
      </c>
      <c r="L13" s="455">
        <f t="shared" si="6"/>
        <v>37.121297308082831</v>
      </c>
      <c r="M13" s="454">
        <f>SUM(M9:M12)</f>
        <v>100000000</v>
      </c>
      <c r="N13" s="454">
        <f>SUM(N9:N12)</f>
        <v>609552000</v>
      </c>
    </row>
    <row r="14" spans="1:15" ht="15" customHeight="1">
      <c r="A14" s="570"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71"/>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71"/>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72"/>
      <c r="B17" s="453" t="s">
        <v>4688</v>
      </c>
      <c r="C17" s="454">
        <f>SUM(C14:C16)</f>
        <v>9985150000</v>
      </c>
      <c r="D17" s="454">
        <f>SUM(D14:D16)</f>
        <v>5220546680</v>
      </c>
      <c r="E17" s="455">
        <f t="shared" si="0"/>
        <v>52.283107214213111</v>
      </c>
      <c r="F17" s="454">
        <f t="shared" si="1"/>
        <v>4764603320</v>
      </c>
      <c r="G17" s="455">
        <f t="shared" si="2"/>
        <v>47.716892785786897</v>
      </c>
      <c r="H17" s="454">
        <f>SUM(H14:H16)</f>
        <v>9046216000</v>
      </c>
      <c r="I17" s="454">
        <f>SUM(I14:I16)</f>
        <v>5220546680</v>
      </c>
      <c r="J17" s="455">
        <f t="shared" si="4"/>
        <v>57.709728354927627</v>
      </c>
      <c r="K17" s="454">
        <f t="shared" si="5"/>
        <v>3825669320</v>
      </c>
      <c r="L17" s="455">
        <f t="shared" si="6"/>
        <v>42.290271645072366</v>
      </c>
      <c r="M17" s="454">
        <f t="shared" ref="M17:N17" si="8">SUM(M14:M16)</f>
        <v>0</v>
      </c>
      <c r="N17" s="454">
        <f t="shared" si="8"/>
        <v>938934000</v>
      </c>
    </row>
    <row r="18" spans="1:17" ht="15" customHeight="1">
      <c r="A18" s="570"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71"/>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72"/>
      <c r="B20" s="453" t="s">
        <v>4689</v>
      </c>
      <c r="C20" s="454">
        <f>SUM(C18:C19)</f>
        <v>1278600000</v>
      </c>
      <c r="D20" s="454">
        <f>SUM(D18:D19)</f>
        <v>246477175</v>
      </c>
      <c r="E20" s="455">
        <f t="shared" si="0"/>
        <v>19.27711363991866</v>
      </c>
      <c r="F20" s="454">
        <f t="shared" si="1"/>
        <v>1032122825</v>
      </c>
      <c r="G20" s="455">
        <f t="shared" si="2"/>
        <v>80.722886360081333</v>
      </c>
      <c r="H20" s="454">
        <f>SUM(H18:H19)</f>
        <v>372369000</v>
      </c>
      <c r="I20" s="454">
        <f>SUM(I18:I19)</f>
        <v>246477175</v>
      </c>
      <c r="J20" s="455">
        <f t="shared" si="4"/>
        <v>66.191647263869982</v>
      </c>
      <c r="K20" s="454">
        <f t="shared" si="5"/>
        <v>125891825</v>
      </c>
      <c r="L20" s="455">
        <f t="shared" si="6"/>
        <v>33.808352736130018</v>
      </c>
      <c r="M20" s="454">
        <f t="shared" ref="M20:N20" si="10">SUM(M18:M19)</f>
        <v>0</v>
      </c>
      <c r="N20" s="454">
        <f t="shared" si="10"/>
        <v>906231000</v>
      </c>
    </row>
    <row r="21" spans="1:17" ht="15" customHeight="1">
      <c r="A21" s="570"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71"/>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72"/>
      <c r="B23" s="453" t="s">
        <v>4690</v>
      </c>
      <c r="C23" s="454">
        <f>SUM(C21:C22)</f>
        <v>1271400000</v>
      </c>
      <c r="D23" s="454">
        <f>SUM(D21:D22)</f>
        <v>461217658</v>
      </c>
      <c r="E23" s="455">
        <f t="shared" si="0"/>
        <v>36.276361333962562</v>
      </c>
      <c r="F23" s="454">
        <f t="shared" si="1"/>
        <v>810182342</v>
      </c>
      <c r="G23" s="455">
        <f t="shared" si="2"/>
        <v>63.723638666037438</v>
      </c>
      <c r="H23" s="454">
        <f>SUM(H21:H22)</f>
        <v>838757000</v>
      </c>
      <c r="I23" s="454">
        <f>SUM(I21:I22)</f>
        <v>461217658</v>
      </c>
      <c r="J23" s="455">
        <f t="shared" si="4"/>
        <v>54.988233540822904</v>
      </c>
      <c r="K23" s="454">
        <f t="shared" si="5"/>
        <v>377539342</v>
      </c>
      <c r="L23" s="455">
        <f t="shared" si="6"/>
        <v>45.011766459177096</v>
      </c>
      <c r="M23" s="454">
        <f t="shared" ref="M23:N23" si="12">SUM(M21:M22)</f>
        <v>0</v>
      </c>
      <c r="N23" s="454">
        <f t="shared" si="12"/>
        <v>432643000</v>
      </c>
    </row>
    <row r="24" spans="1:17">
      <c r="A24" s="555" t="s">
        <v>3735</v>
      </c>
      <c r="B24" s="555"/>
      <c r="C24" s="447">
        <f>C13++C17+C20+C23</f>
        <v>16863164000</v>
      </c>
      <c r="D24" s="447">
        <f>D13++D17+D20+D23</f>
        <v>8203483476</v>
      </c>
      <c r="E24" s="448">
        <f t="shared" si="0"/>
        <v>48.647356308697468</v>
      </c>
      <c r="F24" s="447">
        <f t="shared" si="1"/>
        <v>8659680524</v>
      </c>
      <c r="G24" s="448">
        <f t="shared" si="2"/>
        <v>51.352643691302532</v>
      </c>
      <c r="H24" s="144">
        <f>H13++H17+H20+H23</f>
        <v>13875804000</v>
      </c>
      <c r="I24" s="144">
        <f>I13++I17+I20+I23</f>
        <v>8203483476</v>
      </c>
      <c r="J24" s="462">
        <f t="shared" si="4"/>
        <v>59.120779422943706</v>
      </c>
      <c r="K24" s="144">
        <f t="shared" si="5"/>
        <v>5672320524</v>
      </c>
      <c r="L24" s="462">
        <f t="shared" si="6"/>
        <v>40.879220577056294</v>
      </c>
      <c r="M24" s="452">
        <f t="shared" ref="M24:N24" si="13">M13++M17+M20+M23</f>
        <v>100000000</v>
      </c>
      <c r="N24" s="452">
        <f t="shared" si="13"/>
        <v>2887360000</v>
      </c>
      <c r="O24" s="159"/>
    </row>
    <row r="25" spans="1:17">
      <c r="A25" s="568" t="s">
        <v>4685</v>
      </c>
      <c r="B25" s="569"/>
      <c r="C25" s="449">
        <f>C24</f>
        <v>16863164000</v>
      </c>
      <c r="D25" s="450">
        <f>D24</f>
        <v>8203483476</v>
      </c>
      <c r="E25" s="451">
        <f t="shared" si="0"/>
        <v>48.647356308697468</v>
      </c>
      <c r="F25" s="450">
        <f t="shared" si="1"/>
        <v>8659680524</v>
      </c>
      <c r="G25" s="451">
        <f t="shared" si="2"/>
        <v>51.352643691302532</v>
      </c>
      <c r="H25" s="463">
        <f>H24</f>
        <v>13875804000</v>
      </c>
      <c r="I25" s="464">
        <f>I24</f>
        <v>8203483476</v>
      </c>
      <c r="J25" s="465">
        <f t="shared" si="4"/>
        <v>59.120779422943706</v>
      </c>
      <c r="K25" s="464">
        <f t="shared" si="5"/>
        <v>5672320524</v>
      </c>
      <c r="L25" s="465">
        <f t="shared" si="6"/>
        <v>40.879220577056294</v>
      </c>
      <c r="M25" s="539">
        <f>SUM(M24,N24)</f>
        <v>2987360000</v>
      </c>
      <c r="N25" s="540"/>
      <c r="O25" s="161"/>
    </row>
    <row r="28" spans="1:17" ht="15.75">
      <c r="A28" s="329" t="s">
        <v>3885</v>
      </c>
      <c r="P28" s="159">
        <f>I25</f>
        <v>8203483476</v>
      </c>
      <c r="Q28" s="480">
        <v>44775</v>
      </c>
    </row>
    <row r="29" spans="1:17" ht="14.45" customHeight="1">
      <c r="A29" s="552" t="s">
        <v>3871</v>
      </c>
      <c r="B29" s="552" t="s">
        <v>3872</v>
      </c>
      <c r="C29" s="547" t="s">
        <v>7680</v>
      </c>
      <c r="D29" s="548"/>
      <c r="E29" s="548"/>
      <c r="F29" s="548"/>
      <c r="G29" s="549"/>
      <c r="H29" s="557" t="s">
        <v>7682</v>
      </c>
      <c r="I29" s="558"/>
      <c r="J29" s="558"/>
      <c r="K29" s="558"/>
      <c r="L29" s="559"/>
      <c r="M29" s="541" t="s">
        <v>4679</v>
      </c>
      <c r="N29" s="541" t="s">
        <v>4681</v>
      </c>
      <c r="P29" s="159">
        <v>8037886086</v>
      </c>
      <c r="Q29" s="480">
        <v>44774</v>
      </c>
    </row>
    <row r="30" spans="1:17">
      <c r="A30" s="553"/>
      <c r="B30" s="553"/>
      <c r="C30" s="550" t="s">
        <v>7681</v>
      </c>
      <c r="D30" s="547" t="s">
        <v>3732</v>
      </c>
      <c r="E30" s="549"/>
      <c r="F30" s="547" t="s">
        <v>3733</v>
      </c>
      <c r="G30" s="549"/>
      <c r="H30" s="560" t="s">
        <v>7683</v>
      </c>
      <c r="I30" s="557" t="s">
        <v>3732</v>
      </c>
      <c r="J30" s="559"/>
      <c r="K30" s="557" t="s">
        <v>3733</v>
      </c>
      <c r="L30" s="559"/>
      <c r="M30" s="542"/>
      <c r="N30" s="542"/>
      <c r="P30" s="159">
        <f>P28-P29</f>
        <v>165597390</v>
      </c>
      <c r="Q30" s="350">
        <f>P30/H25*100</f>
        <v>1.1934255485303771</v>
      </c>
    </row>
    <row r="31" spans="1:17">
      <c r="A31" s="554"/>
      <c r="B31" s="554"/>
      <c r="C31" s="551"/>
      <c r="D31" s="313" t="s">
        <v>4691</v>
      </c>
      <c r="E31" s="313" t="s">
        <v>3729</v>
      </c>
      <c r="F31" s="313" t="s">
        <v>4691</v>
      </c>
      <c r="G31" s="313" t="s">
        <v>3729</v>
      </c>
      <c r="H31" s="561"/>
      <c r="I31" s="444" t="s">
        <v>4691</v>
      </c>
      <c r="J31" s="444" t="s">
        <v>3729</v>
      </c>
      <c r="K31" s="444" t="s">
        <v>4691</v>
      </c>
      <c r="L31" s="444" t="s">
        <v>3729</v>
      </c>
      <c r="M31" s="543"/>
      <c r="N31" s="543"/>
      <c r="Q31">
        <v>57.93</v>
      </c>
    </row>
    <row r="32" spans="1:17">
      <c r="A32" s="146">
        <v>1</v>
      </c>
      <c r="B32" s="147" t="s">
        <v>3873</v>
      </c>
      <c r="C32" s="148">
        <f>SUM(C33:C34)</f>
        <v>16207230000</v>
      </c>
      <c r="D32" s="148">
        <f>SUM(D33:D34)</f>
        <v>7549283476</v>
      </c>
      <c r="E32" s="445">
        <f t="shared" ref="E32:E35" si="14">IFERROR(D32/C32*100,0)</f>
        <v>46.579726924341792</v>
      </c>
      <c r="F32" s="148">
        <f>SUM(F33:F34)</f>
        <v>8657946524</v>
      </c>
      <c r="G32" s="445">
        <f t="shared" ref="G32:G35" si="15">IFERROR(F32/C32*100,0)</f>
        <v>53.420273075658208</v>
      </c>
      <c r="H32" s="148">
        <f>SUM(H33:H34)</f>
        <v>13221604000</v>
      </c>
      <c r="I32" s="148">
        <f>SUM(I33:I34)</f>
        <v>7549283476</v>
      </c>
      <c r="J32" s="445">
        <f t="shared" ref="J32:J35" si="16">IFERROR(I32/H32*100,0)</f>
        <v>57.098090942672307</v>
      </c>
      <c r="K32" s="148">
        <f>SUM(K33:K34)</f>
        <v>5672320524</v>
      </c>
      <c r="L32" s="445">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6">
        <f t="shared" si="14"/>
        <v>43.162565117153946</v>
      </c>
      <c r="F33" s="115">
        <f t="shared" ref="F33:F34" si="19">C33-D33</f>
        <v>1247955686</v>
      </c>
      <c r="G33" s="446">
        <f t="shared" si="15"/>
        <v>56.837434882846047</v>
      </c>
      <c r="H33" s="152" cm="1">
        <f t="array" ref="H33">SUM(_xlfn._xlws.FILTER(SP2D[Pagu-Blokir],SP2D[Jenis Belanja]="Belanja Barang Operasional",0))</f>
        <v>2095658000</v>
      </c>
      <c r="I33" s="152">
        <f t="shared" ref="I33:I34" si="20">D33</f>
        <v>947702314</v>
      </c>
      <c r="J33" s="446">
        <f t="shared" si="16"/>
        <v>45.222183867787585</v>
      </c>
      <c r="K33" s="152">
        <f t="shared" ref="K33:K34" si="21">H33-I33</f>
        <v>1147955686</v>
      </c>
      <c r="L33" s="446">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6">
        <f t="shared" si="14"/>
        <v>47.115207073124985</v>
      </c>
      <c r="F34" s="115">
        <f t="shared" si="19"/>
        <v>7409990838</v>
      </c>
      <c r="G34" s="446">
        <f t="shared" si="15"/>
        <v>52.884792926875015</v>
      </c>
      <c r="H34" s="152" cm="1">
        <f t="array" ref="H34">SUM(_xlfn._xlws.FILTER(SP2D[Pagu-Blokir],SP2D[Jenis Belanja]="Belanja Barang Non Operasional",0))</f>
        <v>11125946000</v>
      </c>
      <c r="I34" s="152">
        <f t="shared" si="20"/>
        <v>6601581162</v>
      </c>
      <c r="J34" s="446">
        <f t="shared" si="16"/>
        <v>59.335009912864933</v>
      </c>
      <c r="K34" s="152">
        <f t="shared" si="21"/>
        <v>4524364838</v>
      </c>
      <c r="L34" s="446">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5">
        <f t="shared" si="14"/>
        <v>99.735644134928208</v>
      </c>
      <c r="F35" s="148">
        <f>F11</f>
        <v>1734000</v>
      </c>
      <c r="G35" s="445">
        <f t="shared" si="15"/>
        <v>0.26435586507179076</v>
      </c>
      <c r="H35" s="148">
        <f>H11</f>
        <v>654200000</v>
      </c>
      <c r="I35" s="148">
        <f>I11</f>
        <v>654200000</v>
      </c>
      <c r="J35" s="445">
        <f t="shared" si="16"/>
        <v>100</v>
      </c>
      <c r="K35" s="148">
        <f>K11</f>
        <v>0</v>
      </c>
      <c r="L35" s="445">
        <f t="shared" si="17"/>
        <v>0</v>
      </c>
      <c r="M35" s="148">
        <f>M11</f>
        <v>0</v>
      </c>
      <c r="N35" s="148">
        <f>N11</f>
        <v>1734000</v>
      </c>
    </row>
    <row r="36" spans="1:16">
      <c r="A36" s="146"/>
      <c r="B36" s="147"/>
      <c r="C36" s="148"/>
      <c r="D36" s="148"/>
      <c r="E36" s="148"/>
      <c r="F36" s="148"/>
      <c r="G36" s="148"/>
      <c r="H36" s="148"/>
      <c r="I36" s="148"/>
      <c r="J36" s="445"/>
      <c r="K36" s="148"/>
      <c r="L36" s="445"/>
      <c r="M36" s="148"/>
      <c r="N36" s="148"/>
    </row>
    <row r="37" spans="1:16">
      <c r="A37" s="562" t="s">
        <v>590</v>
      </c>
      <c r="B37" s="563"/>
      <c r="C37" s="456">
        <f>SUM(C32,C35)</f>
        <v>16863164000</v>
      </c>
      <c r="D37" s="456">
        <f>SUM(D32,D35)</f>
        <v>8203483476</v>
      </c>
      <c r="E37" s="457">
        <f t="shared" ref="E37" si="22">IFERROR(D37/C37*100,0)</f>
        <v>48.647356308697468</v>
      </c>
      <c r="F37" s="456">
        <f>SUM(F32,F35)</f>
        <v>8659680524</v>
      </c>
      <c r="G37" s="457">
        <f t="shared" ref="G37" si="23">IFERROR(F37/C37*100,0)</f>
        <v>51.352643691302532</v>
      </c>
      <c r="H37" s="459">
        <f>SUM(H32,H35)</f>
        <v>13875804000</v>
      </c>
      <c r="I37" s="459">
        <f>SUM(I32,I35)</f>
        <v>8203483476</v>
      </c>
      <c r="J37" s="460">
        <f t="shared" ref="J37" si="24">IFERROR(I37/H37*100,0)</f>
        <v>59.120779422943706</v>
      </c>
      <c r="K37" s="459">
        <f>SUM(K32,K35)</f>
        <v>5672320524</v>
      </c>
      <c r="L37" s="460">
        <f t="shared" ref="L37" si="25">IFERROR(K37/H37*100,0)</f>
        <v>40.879220577056294</v>
      </c>
      <c r="M37" s="466">
        <f t="shared" ref="M37:N37" si="26">SUM(M32,M35)</f>
        <v>100000000</v>
      </c>
      <c r="N37" s="466">
        <f t="shared" si="26"/>
        <v>2887360000</v>
      </c>
    </row>
    <row r="38" spans="1:16">
      <c r="A38" s="562" t="s">
        <v>3876</v>
      </c>
      <c r="B38" s="563"/>
      <c r="C38" s="456"/>
      <c r="D38" s="456"/>
      <c r="E38" s="456"/>
      <c r="F38" s="456"/>
      <c r="G38" s="456"/>
      <c r="H38" s="459"/>
      <c r="I38" s="459"/>
      <c r="J38" s="460"/>
      <c r="K38" s="459"/>
      <c r="L38" s="460"/>
      <c r="M38" s="466"/>
      <c r="N38" s="466"/>
    </row>
    <row r="39" spans="1:16">
      <c r="A39" s="562" t="s">
        <v>3877</v>
      </c>
      <c r="B39" s="563"/>
      <c r="C39" s="456">
        <f>C37</f>
        <v>16863164000</v>
      </c>
      <c r="D39" s="456">
        <f>D37</f>
        <v>8203483476</v>
      </c>
      <c r="E39" s="458">
        <f t="shared" ref="E39" si="27">IFERROR(D39/C39*100,0)</f>
        <v>48.647356308697468</v>
      </c>
      <c r="F39" s="456">
        <f>F37</f>
        <v>8659680524</v>
      </c>
      <c r="G39" s="458">
        <f t="shared" ref="G39" si="28">IFERROR(F39/C39*100,0)</f>
        <v>51.352643691302532</v>
      </c>
      <c r="H39" s="459">
        <f>H37</f>
        <v>13875804000</v>
      </c>
      <c r="I39" s="459">
        <f>I37</f>
        <v>8203483476</v>
      </c>
      <c r="J39" s="461">
        <f t="shared" ref="J39" si="29">IFERROR(I39/H39*100,0)</f>
        <v>59.120779422943706</v>
      </c>
      <c r="K39" s="459">
        <f>K37</f>
        <v>5672320524</v>
      </c>
      <c r="L39" s="461">
        <f t="shared" ref="L39" si="30">IFERROR(K39/H39*100,0)</f>
        <v>40.879220577056294</v>
      </c>
      <c r="M39" s="564">
        <f>SUM(M37:N37)</f>
        <v>2987360000</v>
      </c>
      <c r="N39" s="565"/>
    </row>
    <row r="40" spans="1:16" s="280" customFormat="1">
      <c r="A40" s="315"/>
      <c r="B40" s="315"/>
      <c r="C40" s="316"/>
      <c r="D40" s="316"/>
      <c r="E40" s="316"/>
      <c r="F40" s="316"/>
      <c r="G40" s="316"/>
      <c r="H40" s="316"/>
      <c r="I40" s="316"/>
      <c r="J40" s="316"/>
      <c r="K40" s="316"/>
      <c r="L40" s="316"/>
      <c r="M40" s="317"/>
      <c r="N40" s="317"/>
      <c r="P40" s="266"/>
    </row>
    <row r="42" spans="1:16" ht="15.75">
      <c r="A42" s="328" t="s">
        <v>3883</v>
      </c>
    </row>
    <row r="43" spans="1:16">
      <c r="A43" s="544" t="s">
        <v>571</v>
      </c>
      <c r="B43" s="544" t="s">
        <v>500</v>
      </c>
      <c r="C43" s="547" t="s">
        <v>7680</v>
      </c>
      <c r="D43" s="548"/>
      <c r="E43" s="548"/>
      <c r="F43" s="548"/>
      <c r="G43" s="549"/>
      <c r="H43" s="557" t="s">
        <v>7682</v>
      </c>
      <c r="I43" s="558"/>
      <c r="J43" s="558"/>
      <c r="K43" s="558"/>
      <c r="L43" s="559"/>
      <c r="M43" s="541" t="s">
        <v>4679</v>
      </c>
      <c r="N43" s="541" t="s">
        <v>4681</v>
      </c>
    </row>
    <row r="44" spans="1:16">
      <c r="A44" s="545"/>
      <c r="B44" s="545"/>
      <c r="C44" s="550" t="s">
        <v>7681</v>
      </c>
      <c r="D44" s="547" t="s">
        <v>3732</v>
      </c>
      <c r="E44" s="549"/>
      <c r="F44" s="547" t="s">
        <v>3733</v>
      </c>
      <c r="G44" s="549"/>
      <c r="H44" s="560" t="s">
        <v>7683</v>
      </c>
      <c r="I44" s="557" t="s">
        <v>3732</v>
      </c>
      <c r="J44" s="559"/>
      <c r="K44" s="557" t="s">
        <v>3733</v>
      </c>
      <c r="L44" s="559"/>
      <c r="M44" s="542"/>
      <c r="N44" s="542"/>
    </row>
    <row r="45" spans="1:16">
      <c r="A45" s="546"/>
      <c r="B45" s="546"/>
      <c r="C45" s="551"/>
      <c r="D45" s="313" t="s">
        <v>4691</v>
      </c>
      <c r="E45" s="313" t="s">
        <v>3729</v>
      </c>
      <c r="F45" s="313" t="s">
        <v>4691</v>
      </c>
      <c r="G45" s="313" t="s">
        <v>3729</v>
      </c>
      <c r="H45" s="561"/>
      <c r="I45" s="444" t="s">
        <v>4691</v>
      </c>
      <c r="J45" s="444" t="s">
        <v>3729</v>
      </c>
      <c r="K45" s="444" t="s">
        <v>4691</v>
      </c>
      <c r="L45" s="444" t="s">
        <v>3729</v>
      </c>
      <c r="M45" s="543"/>
      <c r="N45" s="543"/>
    </row>
    <row r="46" spans="1:16">
      <c r="A46" s="556"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56"/>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56"/>
      <c r="B48" s="453" t="s">
        <v>4687</v>
      </c>
      <c r="C48" s="454">
        <f>SUM(C46:C47)</f>
        <v>88812000</v>
      </c>
      <c r="D48" s="454">
        <f t="shared" ref="D48" si="38">SUM(D46:D47)</f>
        <v>88811280</v>
      </c>
      <c r="E48" s="455">
        <f t="shared" si="31"/>
        <v>99.999189298743417</v>
      </c>
      <c r="F48" s="454">
        <f t="shared" si="32"/>
        <v>720</v>
      </c>
      <c r="G48" s="455">
        <f t="shared" si="33"/>
        <v>8.107012565869478E-4</v>
      </c>
      <c r="H48" s="454">
        <f>SUM(H46:H47)</f>
        <v>88812000</v>
      </c>
      <c r="I48" s="454">
        <f t="shared" si="37"/>
        <v>88811280</v>
      </c>
      <c r="J48" s="455">
        <f t="shared" si="37"/>
        <v>99.999189298743417</v>
      </c>
      <c r="K48" s="454">
        <f t="shared" si="35"/>
        <v>720</v>
      </c>
      <c r="L48" s="455">
        <f t="shared" si="36"/>
        <v>8.107012565869478E-4</v>
      </c>
      <c r="M48" s="454">
        <f t="shared" ref="M48:N48" si="39">SUM(M46:M47)</f>
        <v>0</v>
      </c>
      <c r="N48" s="454">
        <f t="shared" si="39"/>
        <v>0</v>
      </c>
    </row>
    <row r="49" spans="1:14">
      <c r="A49" s="556"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6"/>
      <c r="B51" s="453" t="s">
        <v>4688</v>
      </c>
      <c r="C51" s="454">
        <f t="shared" ref="C51:N51" si="40">SUM(C49:C50)</f>
        <v>0</v>
      </c>
      <c r="D51" s="454">
        <f t="shared" ref="D51" si="41">SUM(D49:D50)</f>
        <v>0</v>
      </c>
      <c r="E51" s="455">
        <f t="shared" si="31"/>
        <v>0</v>
      </c>
      <c r="F51" s="454">
        <f t="shared" si="32"/>
        <v>0</v>
      </c>
      <c r="G51" s="455">
        <f t="shared" si="33"/>
        <v>0</v>
      </c>
      <c r="H51" s="454">
        <f t="shared" ref="H51" si="42">SUM(H49:H50)</f>
        <v>0</v>
      </c>
      <c r="I51" s="454">
        <f t="shared" si="37"/>
        <v>0</v>
      </c>
      <c r="J51" s="455">
        <f t="shared" si="37"/>
        <v>0</v>
      </c>
      <c r="K51" s="454">
        <f t="shared" si="35"/>
        <v>0</v>
      </c>
      <c r="L51" s="455">
        <f t="shared" si="36"/>
        <v>0</v>
      </c>
      <c r="M51" s="454">
        <f t="shared" si="40"/>
        <v>0</v>
      </c>
      <c r="N51" s="454">
        <f t="shared" si="40"/>
        <v>0</v>
      </c>
    </row>
    <row r="52" spans="1:14">
      <c r="A52" s="556"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6"/>
      <c r="B54" s="453" t="s">
        <v>4689</v>
      </c>
      <c r="C54" s="454">
        <f t="shared" ref="C54:N54" si="43">SUM(C52:C53)</f>
        <v>0</v>
      </c>
      <c r="D54" s="454">
        <f t="shared" ref="D54" si="44">SUM(D52:D53)</f>
        <v>0</v>
      </c>
      <c r="E54" s="455">
        <f t="shared" si="31"/>
        <v>0</v>
      </c>
      <c r="F54" s="454">
        <f t="shared" si="32"/>
        <v>0</v>
      </c>
      <c r="G54" s="455">
        <f t="shared" si="33"/>
        <v>0</v>
      </c>
      <c r="H54" s="454">
        <f t="shared" ref="H54" si="45">SUM(H52:H53)</f>
        <v>0</v>
      </c>
      <c r="I54" s="454">
        <f t="shared" si="37"/>
        <v>0</v>
      </c>
      <c r="J54" s="455">
        <f t="shared" si="37"/>
        <v>0</v>
      </c>
      <c r="K54" s="454">
        <f t="shared" si="35"/>
        <v>0</v>
      </c>
      <c r="L54" s="455">
        <f t="shared" si="36"/>
        <v>0</v>
      </c>
      <c r="M54" s="454">
        <f t="shared" si="43"/>
        <v>0</v>
      </c>
      <c r="N54" s="454">
        <f t="shared" si="43"/>
        <v>0</v>
      </c>
    </row>
    <row r="55" spans="1:14">
      <c r="A55" s="556"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6"/>
      <c r="B57" s="453" t="s">
        <v>4690</v>
      </c>
      <c r="C57" s="454">
        <f t="shared" ref="C57:N57" si="46">SUM(C55:C56)</f>
        <v>8000000</v>
      </c>
      <c r="D57" s="454">
        <f t="shared" ref="D57" si="47">SUM(D55:D56)</f>
        <v>365000</v>
      </c>
      <c r="E57" s="455">
        <f t="shared" si="31"/>
        <v>4.5625</v>
      </c>
      <c r="F57" s="454">
        <f t="shared" si="32"/>
        <v>7635000</v>
      </c>
      <c r="G57" s="455">
        <f t="shared" si="33"/>
        <v>95.4375</v>
      </c>
      <c r="H57" s="454">
        <f t="shared" ref="H57" si="48">SUM(H55:H56)</f>
        <v>8000000</v>
      </c>
      <c r="I57" s="454">
        <f t="shared" si="37"/>
        <v>365000</v>
      </c>
      <c r="J57" s="455">
        <f t="shared" si="37"/>
        <v>4.5625</v>
      </c>
      <c r="K57" s="454">
        <f t="shared" si="35"/>
        <v>7635000</v>
      </c>
      <c r="L57" s="455">
        <f t="shared" si="36"/>
        <v>95.4375</v>
      </c>
      <c r="M57" s="454">
        <f t="shared" si="46"/>
        <v>0</v>
      </c>
      <c r="N57" s="454">
        <f t="shared" si="46"/>
        <v>0</v>
      </c>
    </row>
    <row r="58" spans="1:14">
      <c r="A58" s="555" t="s">
        <v>3735</v>
      </c>
      <c r="B58" s="555"/>
      <c r="C58" s="447">
        <f>C48+C51+C54+C57</f>
        <v>96812000</v>
      </c>
      <c r="D58" s="447">
        <f>D48+D51+D54+D57</f>
        <v>89176280</v>
      </c>
      <c r="E58" s="448">
        <f t="shared" si="31"/>
        <v>92.112837251580387</v>
      </c>
      <c r="F58" s="447">
        <f t="shared" si="32"/>
        <v>7635720</v>
      </c>
      <c r="G58" s="448">
        <f t="shared" si="33"/>
        <v>7.887162748419617</v>
      </c>
      <c r="H58" s="144">
        <f>H48+H51+H54+H57</f>
        <v>96812000</v>
      </c>
      <c r="I58" s="144">
        <f t="shared" si="37"/>
        <v>89176280</v>
      </c>
      <c r="J58" s="462">
        <f t="shared" si="37"/>
        <v>92.112837251580387</v>
      </c>
      <c r="K58" s="144">
        <f t="shared" si="35"/>
        <v>7635720</v>
      </c>
      <c r="L58" s="462">
        <f t="shared" si="36"/>
        <v>7.887162748419617</v>
      </c>
      <c r="M58" s="452">
        <f t="shared" ref="M58:N58" si="49">M48+M51+M54+M57</f>
        <v>0</v>
      </c>
      <c r="N58" s="452">
        <f t="shared" si="49"/>
        <v>0</v>
      </c>
    </row>
    <row r="59" spans="1:14">
      <c r="A59" s="555" t="s">
        <v>4685</v>
      </c>
      <c r="B59" s="555"/>
      <c r="C59" s="449">
        <f>C58</f>
        <v>96812000</v>
      </c>
      <c r="D59" s="449">
        <f>D58</f>
        <v>89176280</v>
      </c>
      <c r="E59" s="467">
        <f t="shared" si="31"/>
        <v>92.112837251580387</v>
      </c>
      <c r="F59" s="449">
        <f t="shared" si="32"/>
        <v>7635720</v>
      </c>
      <c r="G59" s="467">
        <f t="shared" si="33"/>
        <v>7.887162748419617</v>
      </c>
      <c r="H59" s="463">
        <f>H58</f>
        <v>96812000</v>
      </c>
      <c r="I59" s="463">
        <f t="shared" si="37"/>
        <v>89176280</v>
      </c>
      <c r="J59" s="468">
        <f t="shared" si="37"/>
        <v>92.112837251580387</v>
      </c>
      <c r="K59" s="463">
        <f t="shared" si="35"/>
        <v>7635720</v>
      </c>
      <c r="L59" s="468">
        <f t="shared" si="36"/>
        <v>7.887162748419617</v>
      </c>
      <c r="M59" s="537">
        <f>SUM(M58:N58)</f>
        <v>0</v>
      </c>
      <c r="N59" s="538"/>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tabSelected="1" zoomScale="85" zoomScaleNormal="85" workbookViewId="0">
      <pane xSplit="2" ySplit="3" topLeftCell="C4" activePane="bottomRight" state="frozen"/>
      <selection pane="topRight" activeCell="C1" sqref="C1"/>
      <selection pane="bottomLeft" activeCell="A4" sqref="A4"/>
      <selection pane="bottomRight" activeCell="D16" sqref="D16"/>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3" t="s">
        <v>7687</v>
      </c>
      <c r="B1" s="573"/>
      <c r="C1" s="573"/>
      <c r="D1" s="573"/>
      <c r="E1" s="573"/>
      <c r="F1" s="573"/>
      <c r="G1" s="573"/>
      <c r="H1" s="573"/>
      <c r="I1" s="573"/>
      <c r="J1" s="573"/>
      <c r="K1" s="573"/>
      <c r="L1" s="573"/>
      <c r="M1" s="573"/>
      <c r="N1" s="573"/>
    </row>
    <row r="2" spans="1:15" ht="15.75">
      <c r="A2" s="567" t="str">
        <f>'PER BULAN'!B5</f>
        <v>Berdasarkan DIPA Revisi 3 TA. 2022 (Tanggal 13 Juli 2022)</v>
      </c>
      <c r="B2" s="567"/>
      <c r="C2" s="567"/>
      <c r="D2" s="567"/>
      <c r="E2" s="567"/>
      <c r="F2" s="567"/>
      <c r="G2" s="567"/>
      <c r="H2" s="567"/>
      <c r="I2" s="567"/>
      <c r="J2" s="567"/>
      <c r="K2" s="567"/>
      <c r="L2" s="567"/>
      <c r="M2" s="567"/>
      <c r="N2" s="567"/>
    </row>
    <row r="3" spans="1:15" ht="15.75">
      <c r="A3" s="567" t="str">
        <f>'PER BULAN'!B6</f>
        <v>SAMPAI DENGAN 8 AGUSTUS 2022</v>
      </c>
      <c r="B3" s="567"/>
      <c r="C3" s="567"/>
      <c r="D3" s="567"/>
      <c r="E3" s="567"/>
      <c r="F3" s="567"/>
      <c r="G3" s="567"/>
      <c r="H3" s="567"/>
      <c r="I3" s="567"/>
      <c r="J3" s="567"/>
      <c r="K3" s="567"/>
      <c r="L3" s="567"/>
      <c r="M3" s="567"/>
      <c r="N3" s="567"/>
    </row>
    <row r="4" spans="1:15">
      <c r="A4" s="361"/>
      <c r="B4" s="361"/>
      <c r="C4" s="361"/>
      <c r="D4" s="361"/>
      <c r="E4" s="361"/>
      <c r="F4" s="361"/>
      <c r="G4" s="361"/>
      <c r="H4" s="361"/>
      <c r="I4" s="361"/>
      <c r="J4" s="361"/>
      <c r="K4" s="361"/>
      <c r="L4" s="361"/>
      <c r="M4" s="361"/>
      <c r="N4" s="361"/>
    </row>
    <row r="5" spans="1:15" ht="15.75">
      <c r="A5" s="329" t="s">
        <v>3878</v>
      </c>
    </row>
    <row r="6" spans="1:15">
      <c r="A6" s="544" t="s">
        <v>571</v>
      </c>
      <c r="B6" s="544" t="s">
        <v>500</v>
      </c>
      <c r="C6" s="547" t="s">
        <v>7680</v>
      </c>
      <c r="D6" s="548"/>
      <c r="E6" s="548"/>
      <c r="F6" s="548"/>
      <c r="G6" s="549"/>
      <c r="H6" s="557" t="s">
        <v>7682</v>
      </c>
      <c r="I6" s="558"/>
      <c r="J6" s="558"/>
      <c r="K6" s="558"/>
      <c r="L6" s="559"/>
      <c r="M6" s="541" t="s">
        <v>4679</v>
      </c>
      <c r="N6" s="541" t="s">
        <v>4681</v>
      </c>
    </row>
    <row r="7" spans="1:15" ht="14.45" customHeight="1">
      <c r="A7" s="545"/>
      <c r="B7" s="545"/>
      <c r="C7" s="550" t="s">
        <v>7681</v>
      </c>
      <c r="D7" s="547" t="s">
        <v>3732</v>
      </c>
      <c r="E7" s="549"/>
      <c r="F7" s="547" t="s">
        <v>3733</v>
      </c>
      <c r="G7" s="549"/>
      <c r="H7" s="560" t="s">
        <v>7683</v>
      </c>
      <c r="I7" s="557" t="s">
        <v>3732</v>
      </c>
      <c r="J7" s="559"/>
      <c r="K7" s="557" t="s">
        <v>3733</v>
      </c>
      <c r="L7" s="559"/>
      <c r="M7" s="542"/>
      <c r="N7" s="542"/>
    </row>
    <row r="8" spans="1:15" ht="14.45" customHeight="1">
      <c r="A8" s="546"/>
      <c r="B8" s="546"/>
      <c r="C8" s="551"/>
      <c r="D8" s="313" t="s">
        <v>4691</v>
      </c>
      <c r="E8" s="313" t="s">
        <v>3729</v>
      </c>
      <c r="F8" s="313" t="s">
        <v>4691</v>
      </c>
      <c r="G8" s="313" t="s">
        <v>3729</v>
      </c>
      <c r="H8" s="561"/>
      <c r="I8" s="444" t="s">
        <v>4691</v>
      </c>
      <c r="J8" s="444" t="s">
        <v>3729</v>
      </c>
      <c r="K8" s="444" t="s">
        <v>4691</v>
      </c>
      <c r="L8" s="444" t="s">
        <v>3729</v>
      </c>
      <c r="M8" s="543"/>
      <c r="N8" s="543"/>
    </row>
    <row r="9" spans="1:15">
      <c r="A9" s="570"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1"/>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71"/>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1"/>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1"/>
      <c r="B13" s="139" t="s">
        <v>4067</v>
      </c>
      <c r="C13" s="115" cm="1">
        <f t="array" ref="C13">SUM(_xlfn._xlws.FILTER(SP2D_GAJI[Pagu Semula],SP2D_GAJI[Komponen]=B13,0))</f>
        <v>6478996000</v>
      </c>
      <c r="D13" s="115" cm="1">
        <f t="array" ref="D13">SUM(_xlfn._xlws.FILTER(SP2D_GAJI[Realisasi],SP2D_GAJI[Komponen]=B13,0))</f>
        <v>3978359587</v>
      </c>
      <c r="E13" s="167">
        <f t="shared" si="0"/>
        <v>61.403951893163686</v>
      </c>
      <c r="F13" s="115">
        <f t="shared" ref="F13" si="7">C13-D13</f>
        <v>2500636413</v>
      </c>
      <c r="G13" s="167">
        <f t="shared" ref="G13" si="8">IFERROR(F13/C13*100,0)</f>
        <v>38.596048106836307</v>
      </c>
      <c r="H13" s="115">
        <f>C13-SUM(M13:N13)</f>
        <v>6155047000</v>
      </c>
      <c r="I13" s="115">
        <f t="shared" si="3"/>
        <v>3978359587</v>
      </c>
      <c r="J13" s="167">
        <f t="shared" si="4"/>
        <v>64.635730433902452</v>
      </c>
      <c r="K13" s="115">
        <f t="shared" ref="K13" si="9">H13-I13</f>
        <v>2176687413</v>
      </c>
      <c r="L13" s="167">
        <f t="shared" ref="L13" si="10">IFERROR(K13/H13*100,0)</f>
        <v>35.364269566097548</v>
      </c>
      <c r="M13" s="115" cm="1">
        <f t="array" ref="M13">SUM(_xlfn._xlws.FILTER(SP2D_GAJI[Blokir AA ke 1],SP2D_GAJI[Komponen]=$B13,0))</f>
        <v>323949000</v>
      </c>
      <c r="N13" s="115" cm="1">
        <f t="array" ref="N13">SUM(_xlfn._xlws.FILTER(SP2D_GAJI[Blokir AA ke 2],SP2D_GAJI[Komponen]=$B13,0))</f>
        <v>0</v>
      </c>
    </row>
    <row r="14" spans="1:15">
      <c r="A14" s="572"/>
      <c r="B14" s="453" t="s">
        <v>4687</v>
      </c>
      <c r="C14" s="454">
        <f>SUM(C9:C13)</f>
        <v>10807010000</v>
      </c>
      <c r="D14" s="454">
        <f>SUM(D9:D13)</f>
        <v>6253601550</v>
      </c>
      <c r="E14" s="455">
        <f t="shared" si="0"/>
        <v>57.866158632221122</v>
      </c>
      <c r="F14" s="454">
        <f>SUM(F9:F13)</f>
        <v>4553408450</v>
      </c>
      <c r="G14" s="455">
        <f t="shared" si="2"/>
        <v>42.133841367778878</v>
      </c>
      <c r="H14" s="454">
        <f t="shared" ref="H14:I14" si="11">SUM(H9:H13)</f>
        <v>9773509000</v>
      </c>
      <c r="I14" s="454">
        <f t="shared" si="11"/>
        <v>6253601550</v>
      </c>
      <c r="J14" s="455">
        <f t="shared" si="4"/>
        <v>63.985223219214305</v>
      </c>
      <c r="K14" s="454">
        <f>SUM(K9:K13)</f>
        <v>3519907450</v>
      </c>
      <c r="L14" s="455">
        <f t="shared" si="6"/>
        <v>36.014776780785695</v>
      </c>
      <c r="M14" s="454">
        <f>SUM(M9:M13)</f>
        <v>423949000</v>
      </c>
      <c r="N14" s="454">
        <f>SUM(N9:N13)</f>
        <v>609552000</v>
      </c>
    </row>
    <row r="15" spans="1:15" ht="15" customHeight="1">
      <c r="A15" s="570"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71"/>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71"/>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72"/>
      <c r="B18" s="453" t="s">
        <v>4688</v>
      </c>
      <c r="C18" s="454">
        <f>SUM(C15:C17)</f>
        <v>9985150000</v>
      </c>
      <c r="D18" s="454">
        <f>SUM(D15:D17)</f>
        <v>5220546680</v>
      </c>
      <c r="E18" s="455">
        <f t="shared" si="0"/>
        <v>52.283107214213111</v>
      </c>
      <c r="F18" s="454">
        <f t="shared" si="1"/>
        <v>4764603320</v>
      </c>
      <c r="G18" s="455">
        <f t="shared" si="2"/>
        <v>47.716892785786897</v>
      </c>
      <c r="H18" s="454">
        <f>SUM(H15:H17)</f>
        <v>9046216000</v>
      </c>
      <c r="I18" s="454">
        <f>SUM(I15:I17)</f>
        <v>5220546680</v>
      </c>
      <c r="J18" s="455">
        <f t="shared" si="4"/>
        <v>57.709728354927627</v>
      </c>
      <c r="K18" s="454">
        <f t="shared" si="5"/>
        <v>3825669320</v>
      </c>
      <c r="L18" s="455">
        <f t="shared" si="6"/>
        <v>42.290271645072366</v>
      </c>
      <c r="M18" s="454">
        <f t="shared" ref="M18:N18" si="13">SUM(M15:M17)</f>
        <v>0</v>
      </c>
      <c r="N18" s="454">
        <f t="shared" si="13"/>
        <v>938934000</v>
      </c>
    </row>
    <row r="19" spans="1:15" ht="15" customHeight="1">
      <c r="A19" s="570"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71"/>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72"/>
      <c r="B21" s="453" t="s">
        <v>4689</v>
      </c>
      <c r="C21" s="454">
        <f>SUM(C19:C20)</f>
        <v>1278600000</v>
      </c>
      <c r="D21" s="454">
        <f>SUM(D19:D20)</f>
        <v>246477175</v>
      </c>
      <c r="E21" s="455">
        <f t="shared" si="0"/>
        <v>19.27711363991866</v>
      </c>
      <c r="F21" s="454">
        <f t="shared" si="1"/>
        <v>1032122825</v>
      </c>
      <c r="G21" s="455">
        <f t="shared" si="2"/>
        <v>80.722886360081333</v>
      </c>
      <c r="H21" s="454">
        <f>SUM(H19:H20)</f>
        <v>372369000</v>
      </c>
      <c r="I21" s="454">
        <f>SUM(I19:I20)</f>
        <v>246477175</v>
      </c>
      <c r="J21" s="455">
        <f t="shared" si="4"/>
        <v>66.191647263869982</v>
      </c>
      <c r="K21" s="454">
        <f t="shared" si="5"/>
        <v>125891825</v>
      </c>
      <c r="L21" s="455">
        <f t="shared" si="6"/>
        <v>33.808352736130018</v>
      </c>
      <c r="M21" s="454">
        <f t="shared" ref="M21:N21" si="14">SUM(M19:M20)</f>
        <v>0</v>
      </c>
      <c r="N21" s="454">
        <f t="shared" si="14"/>
        <v>906231000</v>
      </c>
    </row>
    <row r="22" spans="1:15" ht="15" customHeight="1">
      <c r="A22" s="570"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71"/>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72"/>
      <c r="B24" s="453" t="s">
        <v>4690</v>
      </c>
      <c r="C24" s="454">
        <f>SUM(C22:C23)</f>
        <v>1271400000</v>
      </c>
      <c r="D24" s="454">
        <f>SUM(D22:D23)</f>
        <v>461217658</v>
      </c>
      <c r="E24" s="455">
        <f t="shared" si="0"/>
        <v>36.276361333962562</v>
      </c>
      <c r="F24" s="454">
        <f t="shared" si="1"/>
        <v>810182342</v>
      </c>
      <c r="G24" s="455">
        <f t="shared" si="2"/>
        <v>63.723638666037438</v>
      </c>
      <c r="H24" s="454">
        <f>SUM(H22:H23)</f>
        <v>838757000</v>
      </c>
      <c r="I24" s="454">
        <f>SUM(I22:I23)</f>
        <v>461217658</v>
      </c>
      <c r="J24" s="455">
        <f t="shared" si="4"/>
        <v>54.988233540822904</v>
      </c>
      <c r="K24" s="454">
        <f t="shared" si="5"/>
        <v>377539342</v>
      </c>
      <c r="L24" s="455">
        <f t="shared" si="6"/>
        <v>45.011766459177096</v>
      </c>
      <c r="M24" s="454">
        <f t="shared" ref="M24:N24" si="15">SUM(M22:M23)</f>
        <v>0</v>
      </c>
      <c r="N24" s="454">
        <f t="shared" si="15"/>
        <v>432643000</v>
      </c>
    </row>
    <row r="25" spans="1:15">
      <c r="A25" s="555" t="s">
        <v>3735</v>
      </c>
      <c r="B25" s="555"/>
      <c r="C25" s="447">
        <f>C14++C18+C21+C24</f>
        <v>23342160000</v>
      </c>
      <c r="D25" s="447">
        <f>D14++D18+D21+D24</f>
        <v>12181843063</v>
      </c>
      <c r="E25" s="448">
        <f t="shared" si="0"/>
        <v>52.188156807253485</v>
      </c>
      <c r="F25" s="447">
        <f t="shared" si="1"/>
        <v>11160316937</v>
      </c>
      <c r="G25" s="448">
        <f t="shared" si="2"/>
        <v>47.811843192746515</v>
      </c>
      <c r="H25" s="144">
        <f>H14++H18+H21+H24</f>
        <v>20030851000</v>
      </c>
      <c r="I25" s="144">
        <f>I14++I18+I21+I24</f>
        <v>12181843063</v>
      </c>
      <c r="J25" s="462">
        <f t="shared" si="4"/>
        <v>60.815404512768836</v>
      </c>
      <c r="K25" s="144">
        <f t="shared" si="5"/>
        <v>7849007937</v>
      </c>
      <c r="L25" s="462">
        <f t="shared" si="6"/>
        <v>39.184595487231171</v>
      </c>
      <c r="M25" s="452">
        <f t="shared" ref="M25:N25" si="16">M14++M18+M21+M24</f>
        <v>423949000</v>
      </c>
      <c r="N25" s="452">
        <f t="shared" si="16"/>
        <v>2887360000</v>
      </c>
      <c r="O25" s="159"/>
    </row>
    <row r="26" spans="1:15">
      <c r="A26" s="568" t="s">
        <v>4685</v>
      </c>
      <c r="B26" s="569"/>
      <c r="C26" s="449">
        <f>C25</f>
        <v>23342160000</v>
      </c>
      <c r="D26" s="450">
        <f>D25</f>
        <v>12181843063</v>
      </c>
      <c r="E26" s="451">
        <f t="shared" si="0"/>
        <v>52.188156807253485</v>
      </c>
      <c r="F26" s="450">
        <f t="shared" si="1"/>
        <v>11160316937</v>
      </c>
      <c r="G26" s="451">
        <f t="shared" si="2"/>
        <v>47.811843192746515</v>
      </c>
      <c r="H26" s="463">
        <f>H25</f>
        <v>20030851000</v>
      </c>
      <c r="I26" s="464">
        <f>I25</f>
        <v>12181843063</v>
      </c>
      <c r="J26" s="465">
        <f t="shared" si="4"/>
        <v>60.815404512768836</v>
      </c>
      <c r="K26" s="464">
        <f t="shared" si="5"/>
        <v>7849007937</v>
      </c>
      <c r="L26" s="465">
        <f t="shared" si="6"/>
        <v>39.184595487231171</v>
      </c>
      <c r="M26" s="539">
        <f>SUM(M25,N25)</f>
        <v>3311309000</v>
      </c>
      <c r="N26" s="540"/>
      <c r="O26" s="161"/>
    </row>
    <row r="29" spans="1:15" ht="15.75">
      <c r="A29" s="329" t="s">
        <v>3885</v>
      </c>
    </row>
    <row r="30" spans="1:15" ht="14.45" customHeight="1">
      <c r="A30" s="552" t="s">
        <v>3871</v>
      </c>
      <c r="B30" s="552" t="s">
        <v>3872</v>
      </c>
      <c r="C30" s="547" t="s">
        <v>7680</v>
      </c>
      <c r="D30" s="548"/>
      <c r="E30" s="548"/>
      <c r="F30" s="548"/>
      <c r="G30" s="549"/>
      <c r="H30" s="557" t="s">
        <v>7682</v>
      </c>
      <c r="I30" s="558"/>
      <c r="J30" s="558"/>
      <c r="K30" s="558"/>
      <c r="L30" s="559"/>
      <c r="M30" s="541" t="s">
        <v>4679</v>
      </c>
      <c r="N30" s="541" t="s">
        <v>4681</v>
      </c>
    </row>
    <row r="31" spans="1:15">
      <c r="A31" s="553"/>
      <c r="B31" s="553"/>
      <c r="C31" s="550" t="s">
        <v>7681</v>
      </c>
      <c r="D31" s="547" t="s">
        <v>3732</v>
      </c>
      <c r="E31" s="549"/>
      <c r="F31" s="547" t="s">
        <v>3733</v>
      </c>
      <c r="G31" s="549"/>
      <c r="H31" s="560" t="s">
        <v>7683</v>
      </c>
      <c r="I31" s="557" t="s">
        <v>3732</v>
      </c>
      <c r="J31" s="559"/>
      <c r="K31" s="557" t="s">
        <v>3733</v>
      </c>
      <c r="L31" s="559"/>
      <c r="M31" s="542"/>
      <c r="N31" s="542"/>
    </row>
    <row r="32" spans="1:15">
      <c r="A32" s="554"/>
      <c r="B32" s="554"/>
      <c r="C32" s="551"/>
      <c r="D32" s="313" t="s">
        <v>4691</v>
      </c>
      <c r="E32" s="313" t="s">
        <v>3729</v>
      </c>
      <c r="F32" s="313" t="s">
        <v>4691</v>
      </c>
      <c r="G32" s="313" t="s">
        <v>3729</v>
      </c>
      <c r="H32" s="561"/>
      <c r="I32" s="444" t="s">
        <v>4691</v>
      </c>
      <c r="J32" s="444" t="s">
        <v>3729</v>
      </c>
      <c r="K32" s="444" t="s">
        <v>4691</v>
      </c>
      <c r="L32" s="444" t="s">
        <v>3729</v>
      </c>
      <c r="M32" s="543"/>
      <c r="N32" s="543"/>
    </row>
    <row r="33" spans="1:14">
      <c r="A33" s="146">
        <v>1</v>
      </c>
      <c r="B33" s="147" t="s">
        <v>4068</v>
      </c>
      <c r="C33" s="148">
        <f>C13</f>
        <v>6478996000</v>
      </c>
      <c r="D33" s="148">
        <f>D13</f>
        <v>3978359587</v>
      </c>
      <c r="E33" s="445">
        <f t="shared" ref="E33" si="17">IFERROR(D33/C33*100,0)</f>
        <v>61.403951893163686</v>
      </c>
      <c r="F33" s="148">
        <f t="shared" ref="F33:F36" si="18">C33-D33</f>
        <v>2500636413</v>
      </c>
      <c r="G33" s="445">
        <f t="shared" ref="G33" si="19">IFERROR(F33/C33*100,0)</f>
        <v>38.596048106836307</v>
      </c>
      <c r="H33" s="148">
        <f>H13</f>
        <v>6155047000</v>
      </c>
      <c r="I33" s="148">
        <f>I13</f>
        <v>3978359587</v>
      </c>
      <c r="J33" s="445">
        <f t="shared" ref="J33" si="20">IFERROR(I33/H33*100,0)</f>
        <v>64.635730433902452</v>
      </c>
      <c r="K33" s="148">
        <f t="shared" ref="K33:K36" si="21">H33-I33</f>
        <v>2176687413</v>
      </c>
      <c r="L33" s="445">
        <f t="shared" ref="L33" si="22">IFERROR(K33/H33*100,0)</f>
        <v>35.364269566097548</v>
      </c>
      <c r="M33" s="148">
        <f>M13</f>
        <v>323949000</v>
      </c>
      <c r="N33" s="148">
        <f>N13</f>
        <v>0</v>
      </c>
    </row>
    <row r="34" spans="1:14">
      <c r="A34" s="146">
        <v>2</v>
      </c>
      <c r="B34" s="147" t="s">
        <v>3873</v>
      </c>
      <c r="C34" s="148">
        <f>SUM(C35:C36)</f>
        <v>16207230000</v>
      </c>
      <c r="D34" s="148">
        <f>SUM(D35:D36)</f>
        <v>7549283476</v>
      </c>
      <c r="E34" s="445">
        <f t="shared" ref="E34:E37" si="23">IFERROR(D34/C34*100,0)</f>
        <v>46.579726924341792</v>
      </c>
      <c r="F34" s="148">
        <f>SUM(F35:F36)</f>
        <v>8657946524</v>
      </c>
      <c r="G34" s="445">
        <f t="shared" ref="G34:G37" si="24">IFERROR(F34/C34*100,0)</f>
        <v>53.420273075658208</v>
      </c>
      <c r="H34" s="148">
        <f>SUM(H35:H36)</f>
        <v>13221604000</v>
      </c>
      <c r="I34" s="148">
        <f>SUM(I35:I36)</f>
        <v>7549283476</v>
      </c>
      <c r="J34" s="445">
        <f t="shared" ref="J34:J37" si="25">IFERROR(I34/H34*100,0)</f>
        <v>57.098090942672307</v>
      </c>
      <c r="K34" s="148">
        <f>SUM(K35:K36)</f>
        <v>5672320524</v>
      </c>
      <c r="L34" s="445">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6">
        <f t="shared" si="23"/>
        <v>43.162565117153946</v>
      </c>
      <c r="F35" s="115">
        <f t="shared" si="18"/>
        <v>1247955686</v>
      </c>
      <c r="G35" s="446">
        <f t="shared" si="24"/>
        <v>56.837434882846047</v>
      </c>
      <c r="H35" s="152" cm="1">
        <f t="array" ref="H35">SUM(_xlfn._xlws.FILTER(SP2D[Pagu-Blokir],SP2D[Jenis Belanja]="Belanja Barang Operasional",0))</f>
        <v>2095658000</v>
      </c>
      <c r="I35" s="152">
        <f>D35</f>
        <v>947702314</v>
      </c>
      <c r="J35" s="446">
        <f t="shared" si="25"/>
        <v>45.222183867787585</v>
      </c>
      <c r="K35" s="152">
        <f t="shared" si="21"/>
        <v>1147955686</v>
      </c>
      <c r="L35" s="446">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6">
        <f t="shared" si="23"/>
        <v>47.115207073124985</v>
      </c>
      <c r="F36" s="115">
        <f t="shared" si="18"/>
        <v>7409990838</v>
      </c>
      <c r="G36" s="446">
        <f t="shared" si="24"/>
        <v>52.884792926875015</v>
      </c>
      <c r="H36" s="152" cm="1">
        <f t="array" ref="H36">SUM(_xlfn._xlws.FILTER(SP2D[Pagu-Blokir],SP2D[Jenis Belanja]="Belanja Barang Non Operasional",0))</f>
        <v>11125946000</v>
      </c>
      <c r="I36" s="152">
        <f>D36</f>
        <v>6601581162</v>
      </c>
      <c r="J36" s="446">
        <f t="shared" si="25"/>
        <v>59.335009912864933</v>
      </c>
      <c r="K36" s="152">
        <f t="shared" si="21"/>
        <v>4524364838</v>
      </c>
      <c r="L36" s="446">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5">
        <f t="shared" si="23"/>
        <v>99.735644134928208</v>
      </c>
      <c r="F37" s="148">
        <f>F11</f>
        <v>1734000</v>
      </c>
      <c r="G37" s="445">
        <f t="shared" si="24"/>
        <v>0.26435586507179076</v>
      </c>
      <c r="H37" s="148">
        <f>H11</f>
        <v>654200000</v>
      </c>
      <c r="I37" s="148">
        <f>I11</f>
        <v>654200000</v>
      </c>
      <c r="J37" s="445">
        <f t="shared" si="25"/>
        <v>100</v>
      </c>
      <c r="K37" s="148">
        <f>K11</f>
        <v>0</v>
      </c>
      <c r="L37" s="445">
        <f t="shared" si="26"/>
        <v>0</v>
      </c>
      <c r="M37" s="148">
        <f>M11</f>
        <v>0</v>
      </c>
      <c r="N37" s="148">
        <f>N11</f>
        <v>1734000</v>
      </c>
    </row>
    <row r="38" spans="1:14">
      <c r="A38" s="146"/>
      <c r="B38" s="147"/>
      <c r="C38" s="148"/>
      <c r="D38" s="148"/>
      <c r="E38" s="148"/>
      <c r="F38" s="148"/>
      <c r="G38" s="148"/>
      <c r="H38" s="148"/>
      <c r="I38" s="148"/>
      <c r="J38" s="445"/>
      <c r="K38" s="148"/>
      <c r="L38" s="445"/>
      <c r="M38" s="148"/>
      <c r="N38" s="148"/>
    </row>
    <row r="39" spans="1:14">
      <c r="A39" s="562" t="s">
        <v>590</v>
      </c>
      <c r="B39" s="563"/>
      <c r="C39" s="456">
        <f>SUM(C33,C34,C37)</f>
        <v>23342160000</v>
      </c>
      <c r="D39" s="456">
        <f>SUM(D33,D34,D37)</f>
        <v>12181843063</v>
      </c>
      <c r="E39" s="457">
        <f t="shared" ref="E39" si="28">IFERROR(D39/C39*100,0)</f>
        <v>52.188156807253485</v>
      </c>
      <c r="F39" s="456">
        <f>SUM(F33,F34,F37)</f>
        <v>11160316937</v>
      </c>
      <c r="G39" s="457">
        <f t="shared" ref="G39" si="29">IFERROR(F39/C39*100,0)</f>
        <v>47.811843192746515</v>
      </c>
      <c r="H39" s="459">
        <f>SUM(H33,H34,H37)</f>
        <v>20030851000</v>
      </c>
      <c r="I39" s="459">
        <f>SUM(I33,I34,I37)</f>
        <v>12181843063</v>
      </c>
      <c r="J39" s="460">
        <f t="shared" ref="J39" si="30">IFERROR(I39/H39*100,0)</f>
        <v>60.815404512768836</v>
      </c>
      <c r="K39" s="459">
        <f>SUM(K33,K34,K37)</f>
        <v>7849007937</v>
      </c>
      <c r="L39" s="460">
        <f t="shared" ref="L39" si="31">IFERROR(K39/H39*100,0)</f>
        <v>39.184595487231171</v>
      </c>
      <c r="M39" s="466">
        <f>SUM(M33,M34,M37)</f>
        <v>423949000</v>
      </c>
      <c r="N39" s="466">
        <f>SUM(N33,N34,N37)</f>
        <v>2887360000</v>
      </c>
    </row>
    <row r="40" spans="1:14">
      <c r="A40" s="562" t="s">
        <v>3876</v>
      </c>
      <c r="B40" s="563"/>
      <c r="C40" s="456"/>
      <c r="D40" s="456"/>
      <c r="E40" s="456"/>
      <c r="F40" s="456"/>
      <c r="G40" s="456"/>
      <c r="H40" s="459"/>
      <c r="I40" s="459"/>
      <c r="J40" s="460"/>
      <c r="K40" s="459"/>
      <c r="L40" s="460"/>
      <c r="M40" s="466"/>
      <c r="N40" s="466"/>
    </row>
    <row r="41" spans="1:14">
      <c r="A41" s="562" t="s">
        <v>3877</v>
      </c>
      <c r="B41" s="563"/>
      <c r="C41" s="456">
        <f>C39</f>
        <v>23342160000</v>
      </c>
      <c r="D41" s="456">
        <f>D39</f>
        <v>12181843063</v>
      </c>
      <c r="E41" s="458">
        <f t="shared" ref="E41" si="32">IFERROR(D41/C41*100,0)</f>
        <v>52.188156807253485</v>
      </c>
      <c r="F41" s="456">
        <f>F39</f>
        <v>11160316937</v>
      </c>
      <c r="G41" s="458">
        <f t="shared" ref="G41" si="33">IFERROR(F41/C41*100,0)</f>
        <v>47.811843192746515</v>
      </c>
      <c r="H41" s="459">
        <f>H39</f>
        <v>20030851000</v>
      </c>
      <c r="I41" s="459">
        <f>I39</f>
        <v>12181843063</v>
      </c>
      <c r="J41" s="461">
        <f t="shared" ref="J41" si="34">IFERROR(I41/H41*100,0)</f>
        <v>60.815404512768836</v>
      </c>
      <c r="K41" s="459">
        <f>K39</f>
        <v>7849007937</v>
      </c>
      <c r="L41" s="461">
        <f t="shared" ref="L41" si="35">IFERROR(K41/H41*100,0)</f>
        <v>39.184595487231171</v>
      </c>
      <c r="M41" s="564">
        <f>SUM(M39:N39)</f>
        <v>3311309000</v>
      </c>
      <c r="N41" s="565"/>
    </row>
    <row r="42" spans="1:14" s="280" customFormat="1">
      <c r="A42" s="315"/>
      <c r="B42" s="315"/>
      <c r="C42" s="316"/>
      <c r="D42" s="316"/>
      <c r="E42" s="316"/>
      <c r="F42" s="316"/>
      <c r="G42" s="316"/>
      <c r="H42" s="316"/>
      <c r="I42" s="316"/>
      <c r="J42" s="316"/>
      <c r="K42" s="316"/>
      <c r="L42" s="316"/>
      <c r="M42" s="317"/>
      <c r="N42" s="317"/>
    </row>
    <row r="44" spans="1:14" ht="15.75">
      <c r="A44" s="328" t="s">
        <v>3883</v>
      </c>
    </row>
    <row r="45" spans="1:14">
      <c r="A45" s="544" t="s">
        <v>571</v>
      </c>
      <c r="B45" s="544" t="s">
        <v>500</v>
      </c>
      <c r="C45" s="547" t="s">
        <v>7680</v>
      </c>
      <c r="D45" s="548"/>
      <c r="E45" s="548"/>
      <c r="F45" s="548"/>
      <c r="G45" s="549"/>
      <c r="H45" s="557" t="s">
        <v>7682</v>
      </c>
      <c r="I45" s="558"/>
      <c r="J45" s="558"/>
      <c r="K45" s="558"/>
      <c r="L45" s="559"/>
      <c r="M45" s="541" t="s">
        <v>4679</v>
      </c>
      <c r="N45" s="541" t="s">
        <v>4681</v>
      </c>
    </row>
    <row r="46" spans="1:14">
      <c r="A46" s="545"/>
      <c r="B46" s="545"/>
      <c r="C46" s="550" t="s">
        <v>7681</v>
      </c>
      <c r="D46" s="547" t="s">
        <v>3732</v>
      </c>
      <c r="E46" s="549"/>
      <c r="F46" s="547" t="s">
        <v>3733</v>
      </c>
      <c r="G46" s="549"/>
      <c r="H46" s="560" t="s">
        <v>7683</v>
      </c>
      <c r="I46" s="557" t="s">
        <v>3732</v>
      </c>
      <c r="J46" s="559"/>
      <c r="K46" s="557" t="s">
        <v>3733</v>
      </c>
      <c r="L46" s="559"/>
      <c r="M46" s="542"/>
      <c r="N46" s="542"/>
    </row>
    <row r="47" spans="1:14">
      <c r="A47" s="546"/>
      <c r="B47" s="546"/>
      <c r="C47" s="551"/>
      <c r="D47" s="313" t="s">
        <v>4691</v>
      </c>
      <c r="E47" s="313" t="s">
        <v>3729</v>
      </c>
      <c r="F47" s="313" t="s">
        <v>4691</v>
      </c>
      <c r="G47" s="313" t="s">
        <v>3729</v>
      </c>
      <c r="H47" s="561"/>
      <c r="I47" s="444" t="s">
        <v>4691</v>
      </c>
      <c r="J47" s="444" t="s">
        <v>3729</v>
      </c>
      <c r="K47" s="444" t="s">
        <v>4691</v>
      </c>
      <c r="L47" s="444" t="s">
        <v>3729</v>
      </c>
      <c r="M47" s="543"/>
      <c r="N47" s="543"/>
    </row>
    <row r="48" spans="1:14">
      <c r="A48" s="556"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6"/>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453" t="s">
        <v>4687</v>
      </c>
      <c r="C50" s="454">
        <f>SUM(C48:C49)</f>
        <v>88812000</v>
      </c>
      <c r="D50" s="454">
        <f t="shared" ref="D50" si="42">SUM(D48:D49)</f>
        <v>88811280</v>
      </c>
      <c r="E50" s="455">
        <f t="shared" si="36"/>
        <v>99.999189298743417</v>
      </c>
      <c r="F50" s="454">
        <f t="shared" si="37"/>
        <v>720</v>
      </c>
      <c r="G50" s="455">
        <f t="shared" si="38"/>
        <v>8.107012565869478E-4</v>
      </c>
      <c r="H50" s="454">
        <f>SUM(H48:H49)</f>
        <v>88812000</v>
      </c>
      <c r="I50" s="454">
        <f t="shared" si="41"/>
        <v>88811280</v>
      </c>
      <c r="J50" s="455">
        <f t="shared" si="41"/>
        <v>99.999189298743417</v>
      </c>
      <c r="K50" s="454">
        <f t="shared" si="39"/>
        <v>720</v>
      </c>
      <c r="L50" s="455">
        <f t="shared" si="40"/>
        <v>8.107012565869478E-4</v>
      </c>
      <c r="M50" s="454">
        <f t="shared" ref="M50:N50" si="43">SUM(M48:M49)</f>
        <v>0</v>
      </c>
      <c r="N50" s="454">
        <f t="shared" si="43"/>
        <v>0</v>
      </c>
    </row>
    <row r="51" spans="1:14">
      <c r="A51" s="556"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6"/>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453" t="s">
        <v>4688</v>
      </c>
      <c r="C53" s="454">
        <f t="shared" ref="C53:N53" si="44">SUM(C51:C52)</f>
        <v>0</v>
      </c>
      <c r="D53" s="454">
        <f t="shared" si="44"/>
        <v>0</v>
      </c>
      <c r="E53" s="455">
        <f t="shared" si="36"/>
        <v>0</v>
      </c>
      <c r="F53" s="454">
        <f t="shared" si="37"/>
        <v>0</v>
      </c>
      <c r="G53" s="455">
        <f t="shared" si="38"/>
        <v>0</v>
      </c>
      <c r="H53" s="454">
        <f t="shared" ref="H53" si="45">SUM(H51:H52)</f>
        <v>0</v>
      </c>
      <c r="I53" s="454">
        <f t="shared" si="41"/>
        <v>0</v>
      </c>
      <c r="J53" s="455">
        <f t="shared" si="41"/>
        <v>0</v>
      </c>
      <c r="K53" s="454">
        <f t="shared" si="39"/>
        <v>0</v>
      </c>
      <c r="L53" s="455">
        <f t="shared" si="40"/>
        <v>0</v>
      </c>
      <c r="M53" s="454">
        <f t="shared" si="44"/>
        <v>0</v>
      </c>
      <c r="N53" s="454">
        <f t="shared" si="44"/>
        <v>0</v>
      </c>
    </row>
    <row r="54" spans="1:14">
      <c r="A54" s="556"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6"/>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453" t="s">
        <v>4689</v>
      </c>
      <c r="C56" s="454">
        <f t="shared" ref="C56:N56" si="46">SUM(C54:C55)</f>
        <v>0</v>
      </c>
      <c r="D56" s="454">
        <f t="shared" si="46"/>
        <v>0</v>
      </c>
      <c r="E56" s="455">
        <f t="shared" si="36"/>
        <v>0</v>
      </c>
      <c r="F56" s="454">
        <f t="shared" si="37"/>
        <v>0</v>
      </c>
      <c r="G56" s="455">
        <f t="shared" si="38"/>
        <v>0</v>
      </c>
      <c r="H56" s="454">
        <f t="shared" ref="H56" si="47">SUM(H54:H55)</f>
        <v>0</v>
      </c>
      <c r="I56" s="454">
        <f t="shared" si="41"/>
        <v>0</v>
      </c>
      <c r="J56" s="455">
        <f t="shared" si="41"/>
        <v>0</v>
      </c>
      <c r="K56" s="454">
        <f t="shared" si="39"/>
        <v>0</v>
      </c>
      <c r="L56" s="455">
        <f t="shared" si="40"/>
        <v>0</v>
      </c>
      <c r="M56" s="454">
        <f t="shared" si="46"/>
        <v>0</v>
      </c>
      <c r="N56" s="454">
        <f t="shared" si="46"/>
        <v>0</v>
      </c>
    </row>
    <row r="57" spans="1:14">
      <c r="A57" s="556"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6"/>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6"/>
      <c r="B59" s="453" t="s">
        <v>4690</v>
      </c>
      <c r="C59" s="454">
        <f t="shared" ref="C59:N59" si="48">SUM(C57:C58)</f>
        <v>8000000</v>
      </c>
      <c r="D59" s="454">
        <f t="shared" si="48"/>
        <v>365000</v>
      </c>
      <c r="E59" s="455">
        <f t="shared" si="36"/>
        <v>4.5625</v>
      </c>
      <c r="F59" s="454">
        <f t="shared" si="37"/>
        <v>7635000</v>
      </c>
      <c r="G59" s="455">
        <f t="shared" si="38"/>
        <v>95.4375</v>
      </c>
      <c r="H59" s="454">
        <f t="shared" ref="H59" si="49">SUM(H57:H58)</f>
        <v>8000000</v>
      </c>
      <c r="I59" s="454">
        <f t="shared" si="41"/>
        <v>365000</v>
      </c>
      <c r="J59" s="455">
        <f t="shared" si="41"/>
        <v>4.5625</v>
      </c>
      <c r="K59" s="454">
        <f t="shared" si="39"/>
        <v>7635000</v>
      </c>
      <c r="L59" s="455">
        <f t="shared" si="40"/>
        <v>95.4375</v>
      </c>
      <c r="M59" s="454">
        <f t="shared" si="48"/>
        <v>0</v>
      </c>
      <c r="N59" s="454">
        <f t="shared" si="48"/>
        <v>0</v>
      </c>
    </row>
    <row r="60" spans="1:14">
      <c r="A60" s="555" t="s">
        <v>3735</v>
      </c>
      <c r="B60" s="555"/>
      <c r="C60" s="447">
        <f>C50+C53+C56+C59</f>
        <v>96812000</v>
      </c>
      <c r="D60" s="447">
        <f>D50+D53+D56+D59</f>
        <v>89176280</v>
      </c>
      <c r="E60" s="448">
        <f t="shared" si="36"/>
        <v>92.112837251580387</v>
      </c>
      <c r="F60" s="447">
        <f t="shared" si="37"/>
        <v>7635720</v>
      </c>
      <c r="G60" s="448">
        <f t="shared" si="38"/>
        <v>7.887162748419617</v>
      </c>
      <c r="H60" s="144">
        <f>H50+H53+H56+H59</f>
        <v>96812000</v>
      </c>
      <c r="I60" s="144">
        <f t="shared" si="41"/>
        <v>89176280</v>
      </c>
      <c r="J60" s="462">
        <f t="shared" si="41"/>
        <v>92.112837251580387</v>
      </c>
      <c r="K60" s="144">
        <f t="shared" si="39"/>
        <v>7635720</v>
      </c>
      <c r="L60" s="462">
        <f t="shared" si="40"/>
        <v>7.887162748419617</v>
      </c>
      <c r="M60" s="452">
        <f t="shared" ref="M60:N60" si="50">M50+M53+M56+M59</f>
        <v>0</v>
      </c>
      <c r="N60" s="452">
        <f t="shared" si="50"/>
        <v>0</v>
      </c>
    </row>
    <row r="61" spans="1:14">
      <c r="A61" s="555" t="s">
        <v>4685</v>
      </c>
      <c r="B61" s="555"/>
      <c r="C61" s="449">
        <f>C60</f>
        <v>96812000</v>
      </c>
      <c r="D61" s="449">
        <f>D60</f>
        <v>89176280</v>
      </c>
      <c r="E61" s="467">
        <f t="shared" si="36"/>
        <v>92.112837251580387</v>
      </c>
      <c r="F61" s="449">
        <f t="shared" si="37"/>
        <v>7635720</v>
      </c>
      <c r="G61" s="467">
        <f t="shared" si="38"/>
        <v>7.887162748419617</v>
      </c>
      <c r="H61" s="463">
        <f>H60</f>
        <v>96812000</v>
      </c>
      <c r="I61" s="463">
        <f t="shared" si="41"/>
        <v>89176280</v>
      </c>
      <c r="J61" s="468">
        <f t="shared" si="41"/>
        <v>92.112837251580387</v>
      </c>
      <c r="K61" s="463">
        <f t="shared" si="39"/>
        <v>7635720</v>
      </c>
      <c r="L61" s="468">
        <f t="shared" si="40"/>
        <v>7.887162748419617</v>
      </c>
      <c r="M61" s="537">
        <f>SUM(M60:N60)</f>
        <v>0</v>
      </c>
      <c r="N61" s="538"/>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7" t="s">
        <v>4686</v>
      </c>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8 AGUSTUS 2022</v>
      </c>
      <c r="B3" s="567"/>
      <c r="C3" s="567"/>
      <c r="D3" s="567"/>
      <c r="E3" s="567"/>
      <c r="F3" s="567"/>
      <c r="G3" s="567"/>
      <c r="H3" s="567"/>
      <c r="I3" s="567"/>
      <c r="J3" s="567"/>
    </row>
    <row r="4" spans="1:13">
      <c r="A4" s="145"/>
      <c r="B4" s="145"/>
      <c r="C4" s="145"/>
      <c r="D4" s="261"/>
      <c r="E4" s="301"/>
      <c r="F4" s="301"/>
      <c r="G4" s="145"/>
      <c r="H4" s="145"/>
      <c r="I4" s="145"/>
      <c r="J4" s="192"/>
    </row>
    <row r="5" spans="1:13" ht="15.75">
      <c r="A5" s="329" t="s">
        <v>3878</v>
      </c>
    </row>
    <row r="6" spans="1:13">
      <c r="A6" s="576" t="s">
        <v>571</v>
      </c>
      <c r="B6" s="576" t="s">
        <v>500</v>
      </c>
      <c r="C6" s="576" t="s">
        <v>4682</v>
      </c>
      <c r="D6" s="576" t="s">
        <v>4679</v>
      </c>
      <c r="E6" s="576" t="s">
        <v>4681</v>
      </c>
      <c r="F6" s="576" t="s">
        <v>4683</v>
      </c>
      <c r="G6" s="577" t="str">
        <f>IF($L$8=TRUE,"Realisasi vs Pagu+Blokir","Realisasi vs Pagu-Blokir")</f>
        <v>Realisasi vs Pagu-Blokir</v>
      </c>
      <c r="H6" s="577"/>
      <c r="I6" s="577" t="str">
        <f>IF($L$8=TRUE,"Sisa vs Pagu+Blokir","Sisa vs Pagu-Blokir")</f>
        <v>Sisa vs Pagu-Blokir</v>
      </c>
      <c r="J6" s="577"/>
    </row>
    <row r="7" spans="1:13">
      <c r="A7" s="576"/>
      <c r="B7" s="576"/>
      <c r="C7" s="576"/>
      <c r="D7" s="576"/>
      <c r="E7" s="576"/>
      <c r="F7" s="576"/>
      <c r="G7" s="313" t="s">
        <v>4691</v>
      </c>
      <c r="H7" s="313" t="s">
        <v>3729</v>
      </c>
      <c r="I7" s="313" t="s">
        <v>4691</v>
      </c>
      <c r="J7" s="313" t="s">
        <v>3729</v>
      </c>
    </row>
    <row r="8" spans="1:13">
      <c r="A8" s="570"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L8" s="312" t="b">
        <v>0</v>
      </c>
    </row>
    <row r="9" spans="1:13">
      <c r="A9" s="571"/>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9">
        <f t="shared" ref="H9:H24" si="1">IFERROR(IF($L$8=TRUE,G9/C9*100,G9/F9*100),0)</f>
        <v>45.222183867787585</v>
      </c>
      <c r="I9" s="115">
        <f t="shared" ref="I9:I24" si="2">IF($L$8=TRUE,C9-G9,F9-G9)</f>
        <v>1147955686</v>
      </c>
      <c r="J9" s="202">
        <f t="shared" ref="J9:J24" si="3">IFERROR(IF($L$8=TRUE,I9/C9*100,I9/F9*100),0)</f>
        <v>54.777816132212408</v>
      </c>
    </row>
    <row r="10" spans="1:13">
      <c r="A10" s="571"/>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row>
    <row r="11" spans="1:13">
      <c r="A11" s="571"/>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row>
    <row r="12" spans="1:13">
      <c r="A12" s="572"/>
      <c r="B12" s="223" t="s">
        <v>4687</v>
      </c>
      <c r="C12" s="138">
        <f>SUM(C8:C11)</f>
        <v>4328014000</v>
      </c>
      <c r="D12" s="138">
        <f>SUM(D8:D11)</f>
        <v>100000000</v>
      </c>
      <c r="E12" s="138">
        <f>SUM(E8:E11)</f>
        <v>609552000</v>
      </c>
      <c r="F12" s="138">
        <f>SUM(F8:F11)</f>
        <v>3618462000</v>
      </c>
      <c r="G12" s="138">
        <f>SUM(G8:G11)</f>
        <v>2275241963</v>
      </c>
      <c r="H12" s="320">
        <f t="shared" si="1"/>
        <v>62.878702691917177</v>
      </c>
      <c r="I12" s="138">
        <f t="shared" si="2"/>
        <v>1343220037</v>
      </c>
      <c r="J12" s="203">
        <f t="shared" si="3"/>
        <v>37.121297308082831</v>
      </c>
      <c r="K12" s="133"/>
    </row>
    <row r="13" spans="1:13" ht="15" customHeight="1">
      <c r="A13" s="570"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9">
        <f t="shared" si="1"/>
        <v>53.930390789267754</v>
      </c>
      <c r="I13" s="115">
        <f t="shared" si="2"/>
        <v>135406874</v>
      </c>
      <c r="J13" s="202">
        <f t="shared" si="3"/>
        <v>46.069609210732246</v>
      </c>
    </row>
    <row r="14" spans="1:13">
      <c r="A14" s="571"/>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9">
        <f t="shared" si="1"/>
        <v>57.554845301485578</v>
      </c>
      <c r="I14" s="115">
        <f t="shared" si="2"/>
        <v>3642855402</v>
      </c>
      <c r="J14" s="202">
        <f t="shared" si="3"/>
        <v>42.445154698514422</v>
      </c>
      <c r="M14" s="161"/>
    </row>
    <row r="15" spans="1:13">
      <c r="A15" s="571"/>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9">
        <f t="shared" si="1"/>
        <v>72.080328390204826</v>
      </c>
      <c r="I15" s="115">
        <f t="shared" si="2"/>
        <v>47407044</v>
      </c>
      <c r="J15" s="202">
        <f t="shared" si="3"/>
        <v>27.919671609795166</v>
      </c>
    </row>
    <row r="16" spans="1:13">
      <c r="A16" s="572"/>
      <c r="B16" s="223" t="s">
        <v>4688</v>
      </c>
      <c r="C16" s="138">
        <f>SUM(C13:C15)</f>
        <v>9985150000</v>
      </c>
      <c r="D16" s="138">
        <f t="shared" ref="D16:E16" si="5">SUM(D13:D15)</f>
        <v>0</v>
      </c>
      <c r="E16" s="138">
        <f t="shared" si="5"/>
        <v>938934000</v>
      </c>
      <c r="F16" s="138">
        <f>SUM(F13:F15)</f>
        <v>9046216000</v>
      </c>
      <c r="G16" s="138">
        <f>SUM(G13:G15)</f>
        <v>5220546680</v>
      </c>
      <c r="H16" s="320">
        <f t="shared" si="1"/>
        <v>57.709728354927627</v>
      </c>
      <c r="I16" s="138">
        <f t="shared" si="2"/>
        <v>3825669320</v>
      </c>
      <c r="J16" s="203">
        <f t="shared" si="3"/>
        <v>42.290271645072366</v>
      </c>
    </row>
    <row r="17" spans="1:13" ht="15" customHeight="1">
      <c r="A17" s="570"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9">
        <f t="shared" si="1"/>
        <v>75.5327832528925</v>
      </c>
      <c r="I17" s="115">
        <f t="shared" si="2"/>
        <v>50795410</v>
      </c>
      <c r="J17" s="202">
        <f t="shared" si="3"/>
        <v>24.4672167471075</v>
      </c>
    </row>
    <row r="18" spans="1:13">
      <c r="A18" s="571"/>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9">
        <f t="shared" si="1"/>
        <v>54.421553989670016</v>
      </c>
      <c r="I18" s="115">
        <f t="shared" si="2"/>
        <v>75096415</v>
      </c>
      <c r="J18" s="202">
        <f t="shared" si="3"/>
        <v>45.578446010329984</v>
      </c>
      <c r="M18" s="161"/>
    </row>
    <row r="19" spans="1:13">
      <c r="A19" s="572"/>
      <c r="B19" s="223" t="s">
        <v>4689</v>
      </c>
      <c r="C19" s="138">
        <f>SUM(C17:C18)</f>
        <v>1278600000</v>
      </c>
      <c r="D19" s="138">
        <f t="shared" ref="D19:E19" si="7">SUM(D17:D18)</f>
        <v>0</v>
      </c>
      <c r="E19" s="138">
        <f t="shared" si="7"/>
        <v>906231000</v>
      </c>
      <c r="F19" s="138">
        <f>SUM(F17:F18)</f>
        <v>372369000</v>
      </c>
      <c r="G19" s="138">
        <f>SUM(G17:G18)</f>
        <v>246477175</v>
      </c>
      <c r="H19" s="320">
        <f t="shared" si="1"/>
        <v>66.191647263869982</v>
      </c>
      <c r="I19" s="138">
        <f t="shared" si="2"/>
        <v>125891825</v>
      </c>
      <c r="J19" s="203">
        <f t="shared" si="3"/>
        <v>33.808352736130018</v>
      </c>
    </row>
    <row r="20" spans="1:13" ht="15" customHeight="1">
      <c r="A20" s="570"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9">
        <f t="shared" si="1"/>
        <v>53.324849191315749</v>
      </c>
      <c r="I20" s="115">
        <f t="shared" si="2"/>
        <v>320331560</v>
      </c>
      <c r="J20" s="202">
        <f t="shared" si="3"/>
        <v>46.675150808684251</v>
      </c>
    </row>
    <row r="21" spans="1:13">
      <c r="A21" s="571"/>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9">
        <f t="shared" si="1"/>
        <v>62.476119823950363</v>
      </c>
      <c r="I21" s="115">
        <f t="shared" si="2"/>
        <v>57207782</v>
      </c>
      <c r="J21" s="202">
        <f t="shared" si="3"/>
        <v>37.523880176049637</v>
      </c>
    </row>
    <row r="22" spans="1:13">
      <c r="A22" s="572"/>
      <c r="B22" s="223" t="s">
        <v>4690</v>
      </c>
      <c r="C22" s="138">
        <f>SUM(C20:C21)</f>
        <v>1271400000</v>
      </c>
      <c r="D22" s="138">
        <f t="shared" ref="D22:E22" si="9">SUM(D20:D21)</f>
        <v>0</v>
      </c>
      <c r="E22" s="138">
        <f t="shared" si="9"/>
        <v>432643000</v>
      </c>
      <c r="F22" s="138">
        <f>SUM(F20:F21)</f>
        <v>838757000</v>
      </c>
      <c r="G22" s="138">
        <f>SUM(G20:G21)</f>
        <v>461217658</v>
      </c>
      <c r="H22" s="320">
        <f t="shared" si="1"/>
        <v>54.988233540822904</v>
      </c>
      <c r="I22" s="138">
        <f t="shared" si="2"/>
        <v>377539342</v>
      </c>
      <c r="J22" s="203">
        <f t="shared" si="3"/>
        <v>45.011766459177096</v>
      </c>
    </row>
    <row r="23" spans="1:13">
      <c r="A23" s="574" t="s">
        <v>3735</v>
      </c>
      <c r="B23" s="574"/>
      <c r="C23" s="122">
        <f>C12++C16+C19+C22</f>
        <v>16863164000</v>
      </c>
      <c r="D23" s="122">
        <f t="shared" ref="D23:E23" si="10">D12++D16+D19+D22</f>
        <v>100000000</v>
      </c>
      <c r="E23" s="122">
        <f t="shared" si="10"/>
        <v>2887360000</v>
      </c>
      <c r="F23" s="122">
        <f>F12++F16+F19+F22</f>
        <v>13875804000</v>
      </c>
      <c r="G23" s="122">
        <f>G12++G16+G19+G22</f>
        <v>8203483476</v>
      </c>
      <c r="H23" s="321">
        <f t="shared" si="1"/>
        <v>59.120779422943706</v>
      </c>
      <c r="I23" s="122">
        <f t="shared" si="2"/>
        <v>5672320524</v>
      </c>
      <c r="J23" s="204">
        <f t="shared" si="3"/>
        <v>40.879220577056294</v>
      </c>
      <c r="M23" s="159"/>
    </row>
    <row r="24" spans="1:13">
      <c r="A24" s="582" t="s">
        <v>4685</v>
      </c>
      <c r="B24" s="583"/>
      <c r="C24" s="311">
        <f>C23</f>
        <v>16863164000</v>
      </c>
      <c r="D24" s="584">
        <f>SUM(D23,E23)</f>
        <v>2987360000</v>
      </c>
      <c r="E24" s="585"/>
      <c r="F24" s="311">
        <f>F23</f>
        <v>13875804000</v>
      </c>
      <c r="G24" s="122">
        <f>G23</f>
        <v>8203483476</v>
      </c>
      <c r="H24" s="321">
        <f t="shared" si="1"/>
        <v>59.120779422943706</v>
      </c>
      <c r="I24" s="122">
        <f t="shared" si="2"/>
        <v>5672320524</v>
      </c>
      <c r="J24" s="204">
        <f t="shared" si="3"/>
        <v>40.879220577056294</v>
      </c>
      <c r="M24" s="161"/>
    </row>
    <row r="26" spans="1:13">
      <c r="J26" s="208"/>
    </row>
    <row r="27" spans="1:13" ht="15.75">
      <c r="A27" s="329" t="s">
        <v>3885</v>
      </c>
    </row>
    <row r="28" spans="1:13" ht="14.45" customHeight="1">
      <c r="A28" s="580" t="s">
        <v>3871</v>
      </c>
      <c r="B28" s="580" t="s">
        <v>3872</v>
      </c>
      <c r="C28" s="580" t="s">
        <v>4682</v>
      </c>
      <c r="D28" s="586" t="s">
        <v>4679</v>
      </c>
      <c r="E28" s="586" t="s">
        <v>4681</v>
      </c>
      <c r="F28" s="580" t="s">
        <v>4683</v>
      </c>
      <c r="G28" s="577" t="str">
        <f>IF($L$8=TRUE,"Realisasi vs Pagu+Blokir","Realisasi vs Pagu-Blokir")</f>
        <v>Realisasi vs Pagu-Blokir</v>
      </c>
      <c r="H28" s="577"/>
      <c r="I28" s="577" t="str">
        <f>IF($L$8=TRUE,"Sisa vs Pagu+Blokir","Sisa vs Pagu-Blokir")</f>
        <v>Sisa vs Pagu-Blokir</v>
      </c>
      <c r="J28" s="577"/>
    </row>
    <row r="29" spans="1:13">
      <c r="A29" s="581"/>
      <c r="B29" s="581"/>
      <c r="C29" s="581"/>
      <c r="D29" s="587"/>
      <c r="E29" s="587"/>
      <c r="F29" s="581"/>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8" t="s">
        <v>590</v>
      </c>
      <c r="B35" s="579"/>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78" t="s">
        <v>3876</v>
      </c>
      <c r="B36" s="579"/>
      <c r="C36" s="157"/>
      <c r="D36" s="157"/>
      <c r="E36" s="157"/>
      <c r="F36" s="157"/>
      <c r="G36" s="157"/>
      <c r="H36" s="158"/>
      <c r="I36" s="157"/>
      <c r="J36" s="158"/>
    </row>
    <row r="37" spans="1:12">
      <c r="A37" s="578" t="s">
        <v>3877</v>
      </c>
      <c r="B37" s="579"/>
      <c r="C37" s="157">
        <f>C35</f>
        <v>16863164000</v>
      </c>
      <c r="D37" s="588">
        <f>SUM(D35:E35)</f>
        <v>2987360000</v>
      </c>
      <c r="E37" s="589"/>
      <c r="F37" s="157">
        <f>F35</f>
        <v>13875804000</v>
      </c>
      <c r="G37" s="157">
        <f>G35-G36</f>
        <v>8203483476</v>
      </c>
      <c r="H37" s="158">
        <f t="shared" si="12"/>
        <v>59.120779422943706</v>
      </c>
      <c r="I37" s="157">
        <f t="shared" si="13"/>
        <v>5672320524</v>
      </c>
      <c r="J37" s="158">
        <f t="shared" si="14"/>
        <v>40.879220577056294</v>
      </c>
    </row>
    <row r="38" spans="1:12" s="280" customFormat="1">
      <c r="A38" s="315"/>
      <c r="B38" s="315"/>
      <c r="C38" s="316"/>
      <c r="D38" s="317"/>
      <c r="E38" s="317"/>
      <c r="F38" s="316"/>
      <c r="G38" s="316"/>
      <c r="H38" s="318"/>
      <c r="I38" s="316"/>
      <c r="J38" s="318"/>
      <c r="L38" s="266"/>
    </row>
    <row r="40" spans="1:12" ht="15.75">
      <c r="A40" s="328" t="s">
        <v>3883</v>
      </c>
    </row>
    <row r="41" spans="1:12">
      <c r="A41" s="576" t="s">
        <v>571</v>
      </c>
      <c r="B41" s="576" t="s">
        <v>500</v>
      </c>
      <c r="C41" s="576" t="s">
        <v>4682</v>
      </c>
      <c r="D41" s="576" t="s">
        <v>4679</v>
      </c>
      <c r="E41" s="576" t="s">
        <v>4681</v>
      </c>
      <c r="F41" s="576" t="s">
        <v>4683</v>
      </c>
      <c r="G41" s="577" t="str">
        <f>IF($L$8=TRUE,"Realisasi vs Pagu+Blokir","Realisasi vs Pagu-Blokir")</f>
        <v>Realisasi vs Pagu-Blokir</v>
      </c>
      <c r="H41" s="577"/>
      <c r="I41" s="577" t="str">
        <f>IF($L$8=TRUE,"Sisa vs Pagu+Blokir","Sisa vs Pagu-Blokir")</f>
        <v>Sisa vs Pagu-Blokir</v>
      </c>
      <c r="J41" s="577"/>
    </row>
    <row r="42" spans="1:12">
      <c r="A42" s="576"/>
      <c r="B42" s="576"/>
      <c r="C42" s="576"/>
      <c r="D42" s="576"/>
      <c r="E42" s="576"/>
      <c r="F42" s="576"/>
      <c r="G42" s="313" t="s">
        <v>4691</v>
      </c>
      <c r="H42" s="313" t="s">
        <v>3729</v>
      </c>
      <c r="I42" s="313" t="s">
        <v>4691</v>
      </c>
      <c r="J42" s="313" t="s">
        <v>3729</v>
      </c>
    </row>
    <row r="43" spans="1:12">
      <c r="A43" s="556"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2">
        <f t="shared" ref="H43:H56" si="18">IFERROR(IF($L$8=TRUE,G43/C43*100,G43/F43*100),0)</f>
        <v>99.999189298743417</v>
      </c>
      <c r="I43" s="115">
        <f t="shared" ref="I43:I56" si="19">IF($L$8=TRUE,C43-G43,F43-G43)</f>
        <v>720</v>
      </c>
      <c r="J43" s="319">
        <f t="shared" ref="J43:J56" si="20">IFERROR(IF($L$8=TRUE,I43/C43*100,I43/F43*100),0)</f>
        <v>8.107012565869478E-4</v>
      </c>
    </row>
    <row r="44" spans="1:12">
      <c r="A44" s="556"/>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56"/>
      <c r="B45" s="223" t="s">
        <v>4687</v>
      </c>
      <c r="C45" s="138">
        <f>SUM(C43:C44)</f>
        <v>88812000</v>
      </c>
      <c r="D45" s="138">
        <f t="shared" ref="D45:E45" si="21">SUM(D43:D44)</f>
        <v>0</v>
      </c>
      <c r="E45" s="138">
        <f t="shared" si="21"/>
        <v>0</v>
      </c>
      <c r="F45" s="138">
        <f t="shared" ref="F45" si="22">SUM(F43:F44)</f>
        <v>88812000</v>
      </c>
      <c r="G45" s="138">
        <f t="shared" ref="G45" si="23">SUM(G43:G44)</f>
        <v>88811280</v>
      </c>
      <c r="H45" s="323">
        <f t="shared" si="18"/>
        <v>99.999189298743417</v>
      </c>
      <c r="I45" s="138">
        <f t="shared" si="19"/>
        <v>720</v>
      </c>
      <c r="J45" s="320">
        <f t="shared" si="20"/>
        <v>8.107012565869478E-4</v>
      </c>
    </row>
    <row r="46" spans="1:12">
      <c r="A46" s="556"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9">
        <f t="shared" si="20"/>
        <v>0</v>
      </c>
    </row>
    <row r="47" spans="1:12">
      <c r="A47" s="556"/>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56"/>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6">
        <f t="shared" si="20"/>
        <v>0</v>
      </c>
    </row>
    <row r="49" spans="1:10">
      <c r="A49" s="556"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56"/>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56"/>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56"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2">
        <f t="shared" si="18"/>
        <v>4.5625</v>
      </c>
      <c r="I52" s="115">
        <f t="shared" si="19"/>
        <v>7635000</v>
      </c>
      <c r="J52" s="319">
        <f t="shared" si="20"/>
        <v>95.4375</v>
      </c>
    </row>
    <row r="53" spans="1:10">
      <c r="A53" s="556"/>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9">
        <f t="shared" si="20"/>
        <v>0</v>
      </c>
    </row>
    <row r="54" spans="1:10">
      <c r="A54" s="556"/>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4">
        <f t="shared" si="18"/>
        <v>4.5625</v>
      </c>
      <c r="I54" s="138">
        <f t="shared" si="19"/>
        <v>7635000</v>
      </c>
      <c r="J54" s="320">
        <f t="shared" si="20"/>
        <v>95.4375</v>
      </c>
    </row>
    <row r="55" spans="1:10">
      <c r="A55" s="574" t="s">
        <v>3735</v>
      </c>
      <c r="B55" s="574"/>
      <c r="C55" s="122">
        <f>C45+C48+C51+C54</f>
        <v>96812000</v>
      </c>
      <c r="D55" s="122">
        <f t="shared" ref="D55:E55" si="38">D45+D48+D51+D54</f>
        <v>0</v>
      </c>
      <c r="E55" s="122">
        <f t="shared" si="38"/>
        <v>0</v>
      </c>
      <c r="F55" s="122">
        <f>F45+F48+F51+F54</f>
        <v>96812000</v>
      </c>
      <c r="G55" s="122">
        <f>G45+G48+G51+G54</f>
        <v>89176280</v>
      </c>
      <c r="H55" s="325">
        <f t="shared" si="18"/>
        <v>92.112837251580387</v>
      </c>
      <c r="I55" s="122">
        <f t="shared" si="19"/>
        <v>7635720</v>
      </c>
      <c r="J55" s="321">
        <f t="shared" si="20"/>
        <v>7.887162748419617</v>
      </c>
    </row>
    <row r="56" spans="1:10">
      <c r="A56" s="574" t="s">
        <v>4685</v>
      </c>
      <c r="B56" s="574"/>
      <c r="C56" s="311">
        <f>C55</f>
        <v>96812000</v>
      </c>
      <c r="D56" s="575">
        <f>SUM(D55:E55)</f>
        <v>0</v>
      </c>
      <c r="E56" s="575"/>
      <c r="F56" s="311">
        <f>F55</f>
        <v>96812000</v>
      </c>
      <c r="G56" s="122">
        <f>G55</f>
        <v>89176280</v>
      </c>
      <c r="H56" s="325">
        <f t="shared" si="18"/>
        <v>92.112837251580387</v>
      </c>
      <c r="I56" s="122">
        <f t="shared" si="19"/>
        <v>7635720</v>
      </c>
      <c r="J56" s="321">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7" t="s">
        <v>4686</v>
      </c>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8 AGUSTUS 2022</v>
      </c>
      <c r="B3" s="567"/>
      <c r="C3" s="567"/>
      <c r="D3" s="567"/>
      <c r="E3" s="567"/>
      <c r="F3" s="567"/>
      <c r="G3" s="567"/>
      <c r="H3" s="567"/>
      <c r="I3" s="567"/>
      <c r="J3" s="567"/>
    </row>
    <row r="4" spans="1:13">
      <c r="A4" s="332"/>
      <c r="B4" s="332"/>
      <c r="C4" s="332"/>
      <c r="D4" s="332"/>
      <c r="E4" s="332"/>
      <c r="F4" s="332"/>
      <c r="G4" s="332"/>
      <c r="H4" s="332"/>
      <c r="I4" s="332"/>
      <c r="J4" s="332"/>
    </row>
    <row r="5" spans="1:13" ht="15.75">
      <c r="A5" s="329" t="s">
        <v>3878</v>
      </c>
    </row>
    <row r="6" spans="1:13">
      <c r="A6" s="576" t="s">
        <v>571</v>
      </c>
      <c r="B6" s="576" t="s">
        <v>500</v>
      </c>
      <c r="C6" s="576" t="s">
        <v>4682</v>
      </c>
      <c r="D6" s="576" t="s">
        <v>4679</v>
      </c>
      <c r="E6" s="576" t="s">
        <v>4681</v>
      </c>
      <c r="F6" s="576" t="s">
        <v>3731</v>
      </c>
      <c r="G6" s="577" t="s">
        <v>3732</v>
      </c>
      <c r="H6" s="577"/>
      <c r="I6" s="577" t="s">
        <v>3733</v>
      </c>
      <c r="J6" s="577"/>
    </row>
    <row r="7" spans="1:13">
      <c r="A7" s="576"/>
      <c r="B7" s="576"/>
      <c r="C7" s="576"/>
      <c r="D7" s="576"/>
      <c r="E7" s="576"/>
      <c r="F7" s="576"/>
      <c r="G7" s="313" t="s">
        <v>4691</v>
      </c>
      <c r="H7" s="313" t="s">
        <v>3729</v>
      </c>
      <c r="I7" s="313" t="s">
        <v>4691</v>
      </c>
      <c r="J7" s="313" t="s">
        <v>3729</v>
      </c>
    </row>
    <row r="8" spans="1:13">
      <c r="A8" s="570"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L8" s="312" t="b">
        <v>0</v>
      </c>
    </row>
    <row r="9" spans="1:13">
      <c r="A9" s="571"/>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4" si="0">IFERROR(IF($L$8=TRUE,G9/C9*100,G9/F9*100),0)</f>
        <v>43.162565117153946</v>
      </c>
      <c r="I9" s="115">
        <f t="shared" ref="I9:I24" si="1">IF($L$8=TRUE,C9-G9,F9-G9)</f>
        <v>1247955686</v>
      </c>
      <c r="J9" s="202">
        <f t="shared" ref="J9:J24" si="2">IFERROR(IF($L$8=TRUE,I9/C9*100,I9/F9*100),0)</f>
        <v>56.837434882846047</v>
      </c>
    </row>
    <row r="10" spans="1:13">
      <c r="A10" s="571"/>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row>
    <row r="11" spans="1:13">
      <c r="A11" s="571"/>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row>
    <row r="12" spans="1:13">
      <c r="A12" s="572"/>
      <c r="B12" s="223" t="s">
        <v>4687</v>
      </c>
      <c r="C12" s="138">
        <f>SUM(C8:C11)</f>
        <v>4328014000</v>
      </c>
      <c r="D12" s="138">
        <f>SUM(D8:D11)</f>
        <v>100000000</v>
      </c>
      <c r="E12" s="138">
        <f>SUM(E8:E11)</f>
        <v>609552000</v>
      </c>
      <c r="F12" s="138">
        <f>SUM(F8:F11)</f>
        <v>4328014000</v>
      </c>
      <c r="G12" s="138">
        <f>SUM(G8:G11)</f>
        <v>2275241963</v>
      </c>
      <c r="H12" s="320">
        <f t="shared" si="0"/>
        <v>52.570115600365433</v>
      </c>
      <c r="I12" s="138">
        <f t="shared" si="1"/>
        <v>2052772037</v>
      </c>
      <c r="J12" s="203">
        <f t="shared" si="2"/>
        <v>47.429884399634567</v>
      </c>
      <c r="K12" s="133"/>
    </row>
    <row r="13" spans="1:13" ht="15" customHeight="1">
      <c r="A13" s="570"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9">
        <f t="shared" si="0"/>
        <v>20.614828369214923</v>
      </c>
      <c r="I13" s="115">
        <f t="shared" si="1"/>
        <v>610406874</v>
      </c>
      <c r="J13" s="202">
        <f t="shared" si="2"/>
        <v>79.385171630785081</v>
      </c>
    </row>
    <row r="14" spans="1:13">
      <c r="A14" s="571"/>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9">
        <f t="shared" si="0"/>
        <v>57.554845301485578</v>
      </c>
      <c r="I14" s="115">
        <f t="shared" si="1"/>
        <v>3642855402</v>
      </c>
      <c r="J14" s="202">
        <f t="shared" si="2"/>
        <v>42.445154698514422</v>
      </c>
      <c r="M14" s="161"/>
    </row>
    <row r="15" spans="1:13">
      <c r="A15" s="571"/>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9">
        <f t="shared" si="0"/>
        <v>19.312730933580756</v>
      </c>
      <c r="I15" s="115">
        <f t="shared" si="1"/>
        <v>511341044</v>
      </c>
      <c r="J15" s="202">
        <f t="shared" si="2"/>
        <v>80.687269066419248</v>
      </c>
    </row>
    <row r="16" spans="1:13">
      <c r="A16" s="572"/>
      <c r="B16" s="223" t="s">
        <v>4688</v>
      </c>
      <c r="C16" s="138">
        <f>SUM(C13:C15)</f>
        <v>9985150000</v>
      </c>
      <c r="D16" s="138">
        <f t="shared" ref="D16:E16" si="3">SUM(D13:D15)</f>
        <v>0</v>
      </c>
      <c r="E16" s="138">
        <f t="shared" si="3"/>
        <v>938934000</v>
      </c>
      <c r="F16" s="138">
        <f>SUM(F13:F15)</f>
        <v>9985150000</v>
      </c>
      <c r="G16" s="138">
        <f>SUM(G13:G15)</f>
        <v>5220546680</v>
      </c>
      <c r="H16" s="320">
        <f t="shared" si="0"/>
        <v>52.283107214213111</v>
      </c>
      <c r="I16" s="138">
        <f t="shared" si="1"/>
        <v>4764603320</v>
      </c>
      <c r="J16" s="203">
        <f t="shared" si="2"/>
        <v>47.716892785786897</v>
      </c>
    </row>
    <row r="17" spans="1:13" ht="15" customHeight="1">
      <c r="A17" s="570"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9">
        <f t="shared" si="0"/>
        <v>33.075425015819448</v>
      </c>
      <c r="I17" s="115">
        <f t="shared" si="1"/>
        <v>317289410</v>
      </c>
      <c r="J17" s="202">
        <f t="shared" si="2"/>
        <v>66.924574984180552</v>
      </c>
    </row>
    <row r="18" spans="1:13">
      <c r="A18" s="571"/>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9">
        <f t="shared" si="0"/>
        <v>11.145628962088255</v>
      </c>
      <c r="I18" s="115">
        <f t="shared" si="1"/>
        <v>714833415</v>
      </c>
      <c r="J18" s="202">
        <f t="shared" si="2"/>
        <v>88.854371037911747</v>
      </c>
      <c r="M18" s="161"/>
    </row>
    <row r="19" spans="1:13">
      <c r="A19" s="572"/>
      <c r="B19" s="223" t="s">
        <v>4689</v>
      </c>
      <c r="C19" s="138">
        <f>SUM(C17:C18)</f>
        <v>1278600000</v>
      </c>
      <c r="D19" s="138">
        <f t="shared" ref="D19:E19" si="4">SUM(D17:D18)</f>
        <v>0</v>
      </c>
      <c r="E19" s="138">
        <f t="shared" si="4"/>
        <v>906231000</v>
      </c>
      <c r="F19" s="138">
        <f>SUM(F17:F18)</f>
        <v>1278600000</v>
      </c>
      <c r="G19" s="138">
        <f>SUM(G17:G18)</f>
        <v>246477175</v>
      </c>
      <c r="H19" s="320">
        <f t="shared" si="0"/>
        <v>19.27711363991866</v>
      </c>
      <c r="I19" s="138">
        <f t="shared" si="1"/>
        <v>1032122825</v>
      </c>
      <c r="J19" s="203">
        <f t="shared" si="2"/>
        <v>80.722886360081333</v>
      </c>
    </row>
    <row r="20" spans="1:13" ht="15" customHeight="1">
      <c r="A20" s="570"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9">
        <f t="shared" si="0"/>
        <v>53.324849191315749</v>
      </c>
      <c r="I20" s="115">
        <f t="shared" si="1"/>
        <v>320331560</v>
      </c>
      <c r="J20" s="202">
        <f t="shared" si="2"/>
        <v>46.675150808684251</v>
      </c>
    </row>
    <row r="21" spans="1:13">
      <c r="A21" s="571"/>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9">
        <f t="shared" si="0"/>
        <v>16.279134848743805</v>
      </c>
      <c r="I21" s="115">
        <f t="shared" si="1"/>
        <v>489850782</v>
      </c>
      <c r="J21" s="202">
        <f t="shared" si="2"/>
        <v>83.720865151256191</v>
      </c>
    </row>
    <row r="22" spans="1:13">
      <c r="A22" s="572"/>
      <c r="B22" s="223" t="s">
        <v>4690</v>
      </c>
      <c r="C22" s="138">
        <f>SUM(C20:C21)</f>
        <v>1271400000</v>
      </c>
      <c r="D22" s="138">
        <f t="shared" ref="D22:E22" si="5">SUM(D20:D21)</f>
        <v>0</v>
      </c>
      <c r="E22" s="138">
        <f t="shared" si="5"/>
        <v>432643000</v>
      </c>
      <c r="F22" s="138">
        <f>SUM(F20:F21)</f>
        <v>1271400000</v>
      </c>
      <c r="G22" s="138">
        <f>SUM(G20:G21)</f>
        <v>461217658</v>
      </c>
      <c r="H22" s="320">
        <f t="shared" si="0"/>
        <v>36.276361333962562</v>
      </c>
      <c r="I22" s="138">
        <f t="shared" si="1"/>
        <v>810182342</v>
      </c>
      <c r="J22" s="203">
        <f t="shared" si="2"/>
        <v>63.723638666037438</v>
      </c>
    </row>
    <row r="23" spans="1:13">
      <c r="A23" s="574" t="s">
        <v>3735</v>
      </c>
      <c r="B23" s="574"/>
      <c r="C23" s="122">
        <f>C12++C16+C19+C22</f>
        <v>16863164000</v>
      </c>
      <c r="D23" s="122">
        <f t="shared" ref="D23:E23" si="6">D12++D16+D19+D22</f>
        <v>100000000</v>
      </c>
      <c r="E23" s="122">
        <f t="shared" si="6"/>
        <v>2887360000</v>
      </c>
      <c r="F23" s="122">
        <f>F12++F16+F19+F22</f>
        <v>16863164000</v>
      </c>
      <c r="G23" s="122">
        <f>G12++G16+G19+G22</f>
        <v>8203483476</v>
      </c>
      <c r="H23" s="321">
        <f t="shared" si="0"/>
        <v>48.647356308697468</v>
      </c>
      <c r="I23" s="122">
        <f t="shared" si="1"/>
        <v>8659680524</v>
      </c>
      <c r="J23" s="204">
        <f t="shared" si="2"/>
        <v>51.352643691302532</v>
      </c>
      <c r="M23" s="159"/>
    </row>
    <row r="24" spans="1:13">
      <c r="A24" s="582" t="s">
        <v>4685</v>
      </c>
      <c r="B24" s="583"/>
      <c r="C24" s="311">
        <f>C23</f>
        <v>16863164000</v>
      </c>
      <c r="D24" s="584">
        <f>SUM(D23,E23)</f>
        <v>2987360000</v>
      </c>
      <c r="E24" s="585"/>
      <c r="F24" s="311">
        <f>F23</f>
        <v>16863164000</v>
      </c>
      <c r="G24" s="122">
        <f>G23</f>
        <v>8203483476</v>
      </c>
      <c r="H24" s="321">
        <f t="shared" si="0"/>
        <v>48.647356308697468</v>
      </c>
      <c r="I24" s="122">
        <f t="shared" si="1"/>
        <v>8659680524</v>
      </c>
      <c r="J24" s="204">
        <f t="shared" si="2"/>
        <v>51.352643691302532</v>
      </c>
      <c r="M24" s="161"/>
    </row>
    <row r="25" spans="1:13">
      <c r="I25" s="159"/>
      <c r="J25" s="360"/>
    </row>
    <row r="26" spans="1:13">
      <c r="I26" s="159"/>
      <c r="J26" s="360"/>
    </row>
    <row r="27" spans="1:13" ht="15.75">
      <c r="A27" s="329" t="s">
        <v>3885</v>
      </c>
      <c r="I27" s="159"/>
      <c r="J27" s="360"/>
    </row>
    <row r="28" spans="1:13" ht="14.45" customHeight="1">
      <c r="A28" s="580" t="s">
        <v>3871</v>
      </c>
      <c r="B28" s="580" t="s">
        <v>3872</v>
      </c>
      <c r="C28" s="580" t="s">
        <v>4682</v>
      </c>
      <c r="D28" s="586" t="s">
        <v>4679</v>
      </c>
      <c r="E28" s="586" t="s">
        <v>4681</v>
      </c>
      <c r="F28" s="576" t="s">
        <v>3731</v>
      </c>
      <c r="G28" s="577" t="s">
        <v>3732</v>
      </c>
      <c r="H28" s="577"/>
      <c r="I28" s="577" t="s">
        <v>3733</v>
      </c>
      <c r="J28" s="577"/>
    </row>
    <row r="29" spans="1:13">
      <c r="A29" s="581"/>
      <c r="B29" s="581"/>
      <c r="C29" s="581"/>
      <c r="D29" s="587"/>
      <c r="E29" s="587"/>
      <c r="F29" s="576"/>
      <c r="G29" s="156" t="s">
        <v>4691</v>
      </c>
      <c r="H29" s="331"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8" t="s">
        <v>590</v>
      </c>
      <c r="B35" s="579"/>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78" t="s">
        <v>3876</v>
      </c>
      <c r="B36" s="579"/>
      <c r="C36" s="157"/>
      <c r="D36" s="157"/>
      <c r="E36" s="157"/>
      <c r="F36" s="157"/>
      <c r="G36" s="157"/>
      <c r="H36" s="158"/>
      <c r="I36" s="157"/>
      <c r="J36" s="158"/>
    </row>
    <row r="37" spans="1:12">
      <c r="A37" s="578" t="s">
        <v>3877</v>
      </c>
      <c r="B37" s="579"/>
      <c r="C37" s="157">
        <f>C35</f>
        <v>16863164000</v>
      </c>
      <c r="D37" s="588">
        <f>SUM(D35:E35)</f>
        <v>2987360000</v>
      </c>
      <c r="E37" s="589"/>
      <c r="F37" s="157">
        <f>F35</f>
        <v>16863164000</v>
      </c>
      <c r="G37" s="157">
        <f>G35-G36</f>
        <v>8203483476</v>
      </c>
      <c r="H37" s="158">
        <f t="shared" si="8"/>
        <v>48.647356308697468</v>
      </c>
      <c r="I37" s="157">
        <f t="shared" si="9"/>
        <v>8659680524</v>
      </c>
      <c r="J37" s="158">
        <f t="shared" si="10"/>
        <v>51.352643691302532</v>
      </c>
    </row>
    <row r="38" spans="1:12" s="280" customFormat="1">
      <c r="A38" s="315"/>
      <c r="B38" s="315"/>
      <c r="C38" s="316"/>
      <c r="D38" s="317"/>
      <c r="E38" s="317"/>
      <c r="F38" s="316"/>
      <c r="G38" s="316"/>
      <c r="H38" s="318"/>
      <c r="I38" s="316"/>
      <c r="J38" s="318"/>
      <c r="L38" s="266"/>
    </row>
    <row r="40" spans="1:12" ht="15.75">
      <c r="A40" s="328" t="s">
        <v>3883</v>
      </c>
    </row>
    <row r="41" spans="1:12">
      <c r="A41" s="576" t="s">
        <v>571</v>
      </c>
      <c r="B41" s="576" t="s">
        <v>500</v>
      </c>
      <c r="C41" s="576" t="s">
        <v>4682</v>
      </c>
      <c r="D41" s="576" t="s">
        <v>4679</v>
      </c>
      <c r="E41" s="576" t="s">
        <v>4681</v>
      </c>
      <c r="F41" s="576" t="s">
        <v>3731</v>
      </c>
      <c r="G41" s="577" t="s">
        <v>3732</v>
      </c>
      <c r="H41" s="577"/>
      <c r="I41" s="577" t="s">
        <v>3733</v>
      </c>
      <c r="J41" s="577"/>
    </row>
    <row r="42" spans="1:12">
      <c r="A42" s="576"/>
      <c r="B42" s="576"/>
      <c r="C42" s="576"/>
      <c r="D42" s="576"/>
      <c r="E42" s="576"/>
      <c r="F42" s="576"/>
      <c r="G42" s="313" t="s">
        <v>4691</v>
      </c>
      <c r="H42" s="313" t="s">
        <v>3729</v>
      </c>
      <c r="I42" s="313" t="s">
        <v>4691</v>
      </c>
      <c r="J42" s="313" t="s">
        <v>3729</v>
      </c>
    </row>
    <row r="43" spans="1:12">
      <c r="A43" s="556"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2">
        <f t="shared" ref="H43:H56" si="12">IFERROR(IF($L$8=TRUE,G43/C43*100,G43/F43*100),0)</f>
        <v>99.999189298743417</v>
      </c>
      <c r="I43" s="115">
        <f t="shared" ref="I43:I56" si="13">IF($L$8=TRUE,C43-G43,F43-G43)</f>
        <v>720</v>
      </c>
      <c r="J43" s="319">
        <f t="shared" ref="J43:J56" si="14">IFERROR(IF($L$8=TRUE,I43/C43*100,I43/F43*100),0)</f>
        <v>8.107012565869478E-4</v>
      </c>
    </row>
    <row r="44" spans="1:12">
      <c r="A44" s="556"/>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56"/>
      <c r="B45" s="223" t="s">
        <v>4687</v>
      </c>
      <c r="C45" s="138">
        <f>SUM(C43:C44)</f>
        <v>88811000</v>
      </c>
      <c r="D45" s="138">
        <f t="shared" ref="D45:G45" si="15">SUM(D43:D44)</f>
        <v>0</v>
      </c>
      <c r="E45" s="138">
        <f t="shared" si="15"/>
        <v>0</v>
      </c>
      <c r="F45" s="138">
        <f t="shared" si="15"/>
        <v>88812000</v>
      </c>
      <c r="G45" s="138">
        <f t="shared" si="15"/>
        <v>88811280</v>
      </c>
      <c r="H45" s="323">
        <f t="shared" si="12"/>
        <v>99.999189298743417</v>
      </c>
      <c r="I45" s="138">
        <f t="shared" si="13"/>
        <v>720</v>
      </c>
      <c r="J45" s="320">
        <f t="shared" si="14"/>
        <v>8.107012565869478E-4</v>
      </c>
    </row>
    <row r="46" spans="1:12">
      <c r="A46" s="556"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9">
        <f t="shared" si="14"/>
        <v>0</v>
      </c>
    </row>
    <row r="47" spans="1:12">
      <c r="A47" s="556"/>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56"/>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6">
        <f t="shared" si="14"/>
        <v>0</v>
      </c>
    </row>
    <row r="49" spans="1:10">
      <c r="A49" s="556"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56"/>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56"/>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56"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2">
        <f t="shared" si="12"/>
        <v>4.5625</v>
      </c>
      <c r="I52" s="115">
        <f t="shared" si="13"/>
        <v>7635000</v>
      </c>
      <c r="J52" s="319">
        <f t="shared" si="14"/>
        <v>95.4375</v>
      </c>
    </row>
    <row r="53" spans="1:10">
      <c r="A53" s="556"/>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9">
        <f t="shared" si="14"/>
        <v>0</v>
      </c>
    </row>
    <row r="54" spans="1:10">
      <c r="A54" s="556"/>
      <c r="B54" s="223" t="s">
        <v>4690</v>
      </c>
      <c r="C54" s="138">
        <f t="shared" ref="C54" si="19">SUM(C52:C53)</f>
        <v>13000000</v>
      </c>
      <c r="D54" s="138">
        <f t="shared" ref="D54:G54" si="20">SUM(D52:D53)</f>
        <v>0</v>
      </c>
      <c r="E54" s="138">
        <f t="shared" si="20"/>
        <v>0</v>
      </c>
      <c r="F54" s="138">
        <f t="shared" si="20"/>
        <v>8000000</v>
      </c>
      <c r="G54" s="138">
        <f t="shared" si="20"/>
        <v>365000</v>
      </c>
      <c r="H54" s="324">
        <f t="shared" si="12"/>
        <v>4.5625</v>
      </c>
      <c r="I54" s="138">
        <f t="shared" si="13"/>
        <v>7635000</v>
      </c>
      <c r="J54" s="320">
        <f t="shared" si="14"/>
        <v>95.4375</v>
      </c>
    </row>
    <row r="55" spans="1:10">
      <c r="A55" s="574" t="s">
        <v>3735</v>
      </c>
      <c r="B55" s="574"/>
      <c r="C55" s="122">
        <f>C45+C48+C51+C54</f>
        <v>101811000</v>
      </c>
      <c r="D55" s="122">
        <f t="shared" ref="D55:E55" si="21">D45+D48+D51+D54</f>
        <v>0</v>
      </c>
      <c r="E55" s="122">
        <f t="shared" si="21"/>
        <v>0</v>
      </c>
      <c r="F55" s="122">
        <f>F45+F48+F51+F54</f>
        <v>96812000</v>
      </c>
      <c r="G55" s="122">
        <f>G45+G48+G51+G54</f>
        <v>89176280</v>
      </c>
      <c r="H55" s="325">
        <f t="shared" si="12"/>
        <v>92.112837251580387</v>
      </c>
      <c r="I55" s="122">
        <f t="shared" si="13"/>
        <v>7635720</v>
      </c>
      <c r="J55" s="321">
        <f t="shared" si="14"/>
        <v>7.887162748419617</v>
      </c>
    </row>
    <row r="56" spans="1:10">
      <c r="A56" s="574" t="s">
        <v>4685</v>
      </c>
      <c r="B56" s="574"/>
      <c r="C56" s="311">
        <f>C55</f>
        <v>101811000</v>
      </c>
      <c r="D56" s="575">
        <f>SUM(D55:E55)</f>
        <v>0</v>
      </c>
      <c r="E56" s="575"/>
      <c r="F56" s="311">
        <f>F55</f>
        <v>96812000</v>
      </c>
      <c r="G56" s="122">
        <f>G55</f>
        <v>89176280</v>
      </c>
      <c r="H56" s="325">
        <f t="shared" si="12"/>
        <v>92.112837251580387</v>
      </c>
      <c r="I56" s="122">
        <f t="shared" si="13"/>
        <v>7635720</v>
      </c>
      <c r="J56" s="321">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67" t="str">
        <f>'PERSUBBID - Gaji'!A2</f>
        <v>Berdasarkan DIPA Revisi 3 TA. 2022 (Tanggal 13 Juli 2022)</v>
      </c>
      <c r="C2" s="567"/>
      <c r="D2" s="567"/>
      <c r="E2" s="567"/>
      <c r="F2" s="567"/>
      <c r="G2" s="567"/>
      <c r="H2" s="567"/>
      <c r="I2" s="567"/>
      <c r="J2" s="567"/>
      <c r="K2" s="567"/>
      <c r="L2" s="567"/>
      <c r="M2" s="567"/>
      <c r="N2" s="567"/>
      <c r="O2" s="567"/>
      <c r="P2" s="567"/>
    </row>
    <row r="3" spans="2:16" ht="15.75">
      <c r="B3" s="567" t="str">
        <f>'PERSUBBID - Gaji'!A3</f>
        <v>SAMPAI DENGAN 8 AGUSTUS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DENGAN GAJI (BERDASARKAN PAGU SEBELUM BLOKIR)","REALISASI DENGAN GAJI (BERDASARKAN PAGU SETELAH BLOKIR)")</f>
        <v>REALISASI DENGAN GAJI (BERDASARKAN PAGU SETELAH BLOKIR)</v>
      </c>
      <c r="B1" s="573"/>
      <c r="C1" s="573"/>
      <c r="D1" s="573"/>
      <c r="E1" s="573"/>
      <c r="F1" s="573"/>
      <c r="G1" s="573"/>
      <c r="H1" s="573"/>
      <c r="I1" s="573"/>
      <c r="J1" s="573"/>
      <c r="L1" s="327"/>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8 AGUSTUS 2022</v>
      </c>
      <c r="B3" s="567"/>
      <c r="C3" s="567"/>
      <c r="D3" s="567"/>
      <c r="E3" s="567"/>
      <c r="F3" s="567"/>
      <c r="G3" s="567"/>
      <c r="H3" s="567"/>
      <c r="I3" s="567"/>
      <c r="J3" s="567"/>
    </row>
    <row r="4" spans="1:13">
      <c r="A4" s="301"/>
      <c r="B4" s="301"/>
      <c r="C4" s="301"/>
      <c r="D4" s="301"/>
      <c r="E4" s="301"/>
      <c r="F4" s="301"/>
      <c r="G4" s="301"/>
      <c r="H4" s="301"/>
      <c r="I4" s="301"/>
      <c r="J4" s="301"/>
    </row>
    <row r="5" spans="1:13" ht="15.75">
      <c r="A5" s="329" t="s">
        <v>3878</v>
      </c>
    </row>
    <row r="6" spans="1:13">
      <c r="A6" s="576" t="s">
        <v>571</v>
      </c>
      <c r="B6" s="576" t="s">
        <v>500</v>
      </c>
      <c r="C6" s="576" t="s">
        <v>4682</v>
      </c>
      <c r="D6" s="576" t="s">
        <v>4679</v>
      </c>
      <c r="E6" s="576" t="s">
        <v>4681</v>
      </c>
      <c r="F6" s="576" t="s">
        <v>4683</v>
      </c>
      <c r="G6" s="577" t="str">
        <f>IF($L$8=TRUE,"Realisasi vs Pagu+Blokir","Realisasi vs Pagu-Blokir")</f>
        <v>Realisasi vs Pagu-Blokir</v>
      </c>
      <c r="H6" s="577"/>
      <c r="I6" s="577" t="str">
        <f>IF($L$8=TRUE,"Sisa vs Pagu+Blokir","Sisa vs Pagu-Blokir")</f>
        <v>Sisa vs Pagu-Blokir</v>
      </c>
      <c r="J6" s="577"/>
    </row>
    <row r="7" spans="1:13">
      <c r="A7" s="576"/>
      <c r="B7" s="576"/>
      <c r="C7" s="576"/>
      <c r="D7" s="576"/>
      <c r="E7" s="576"/>
      <c r="F7" s="576"/>
      <c r="G7" s="313" t="s">
        <v>4691</v>
      </c>
      <c r="H7" s="313" t="s">
        <v>3729</v>
      </c>
      <c r="I7" s="313" t="s">
        <v>4691</v>
      </c>
      <c r="J7" s="313" t="s">
        <v>3729</v>
      </c>
    </row>
    <row r="8" spans="1:13">
      <c r="A8" s="570"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K8" s="330"/>
      <c r="L8" s="312" t="b">
        <v>0</v>
      </c>
    </row>
    <row r="9" spans="1:13">
      <c r="A9" s="571"/>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9">
        <f t="shared" ref="H9:H25" si="1">IFERROR(IF($L$8=TRUE,G9/C9*100,G9/F9*100),0)</f>
        <v>45.222183867787585</v>
      </c>
      <c r="I9" s="115">
        <f t="shared" ref="I9:I25" si="2">IF($L$8=TRUE,C9-G9,F9-G9)</f>
        <v>1147955686</v>
      </c>
      <c r="J9" s="202">
        <f t="shared" ref="J9:J25" si="3">IFERROR(IF($L$8=TRUE,I9/C9*100,I9/F9*100),0)</f>
        <v>54.777816132212408</v>
      </c>
      <c r="K9" s="330"/>
    </row>
    <row r="10" spans="1:13">
      <c r="A10" s="571"/>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c r="K10" s="330"/>
    </row>
    <row r="11" spans="1:13">
      <c r="A11" s="571"/>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c r="K11" s="330"/>
    </row>
    <row r="12" spans="1:13">
      <c r="A12" s="571"/>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3978359587</v>
      </c>
      <c r="H12" s="319">
        <f t="shared" ref="H12" si="4">IFERROR(IF($L$8=TRUE,G12/C12*100,G12/F12*100),0)</f>
        <v>64.635730433902452</v>
      </c>
      <c r="I12" s="115">
        <f t="shared" ref="I12" si="5">IF($L$8=TRUE,C12-G12,F12-G12)</f>
        <v>2176687413</v>
      </c>
      <c r="J12" s="202">
        <f t="shared" ref="J12" si="6">IFERROR(IF($L$8=TRUE,I12/C12*100,I12/F12*100),0)</f>
        <v>35.364269566097548</v>
      </c>
      <c r="K12" s="330"/>
    </row>
    <row r="13" spans="1:13">
      <c r="A13" s="572"/>
      <c r="B13" s="223" t="s">
        <v>4687</v>
      </c>
      <c r="C13" s="138">
        <f>SUM(C8:C12)</f>
        <v>10807010000</v>
      </c>
      <c r="D13" s="138">
        <f t="shared" ref="D13:G13" si="7">SUM(D8:D12)</f>
        <v>423949000</v>
      </c>
      <c r="E13" s="138">
        <f t="shared" si="7"/>
        <v>609552000</v>
      </c>
      <c r="F13" s="138">
        <f t="shared" si="7"/>
        <v>9773509000</v>
      </c>
      <c r="G13" s="138">
        <f t="shared" si="7"/>
        <v>6253601550</v>
      </c>
      <c r="H13" s="320">
        <f t="shared" si="1"/>
        <v>63.985223219214305</v>
      </c>
      <c r="I13" s="138">
        <f t="shared" si="2"/>
        <v>3519907450</v>
      </c>
      <c r="J13" s="203">
        <f t="shared" si="3"/>
        <v>36.014776780785695</v>
      </c>
      <c r="K13" s="330"/>
    </row>
    <row r="14" spans="1:13" ht="15" customHeight="1">
      <c r="A14" s="570"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9">
        <f t="shared" si="1"/>
        <v>53.930390789267754</v>
      </c>
      <c r="I14" s="115">
        <f t="shared" si="2"/>
        <v>135406874</v>
      </c>
      <c r="J14" s="202">
        <f t="shared" si="3"/>
        <v>46.069609210732246</v>
      </c>
      <c r="K14" s="330"/>
    </row>
    <row r="15" spans="1:13">
      <c r="A15" s="571"/>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9">
        <f t="shared" si="1"/>
        <v>57.554845301485578</v>
      </c>
      <c r="I15" s="115">
        <f t="shared" si="2"/>
        <v>3642855402</v>
      </c>
      <c r="J15" s="202">
        <f t="shared" si="3"/>
        <v>42.445154698514422</v>
      </c>
      <c r="K15" s="330"/>
      <c r="M15" s="161"/>
    </row>
    <row r="16" spans="1:13">
      <c r="A16" s="571"/>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9">
        <f t="shared" si="1"/>
        <v>72.080328390204826</v>
      </c>
      <c r="I16" s="115">
        <f t="shared" si="2"/>
        <v>47407044</v>
      </c>
      <c r="J16" s="202">
        <f t="shared" si="3"/>
        <v>27.919671609795166</v>
      </c>
      <c r="K16" s="330"/>
    </row>
    <row r="17" spans="1:13">
      <c r="A17" s="572"/>
      <c r="B17" s="223" t="s">
        <v>4688</v>
      </c>
      <c r="C17" s="138">
        <f>SUM(C14:C16)</f>
        <v>9985150000</v>
      </c>
      <c r="D17" s="138">
        <f t="shared" ref="D17:E17" si="9">SUM(D14:D16)</f>
        <v>0</v>
      </c>
      <c r="E17" s="138">
        <f t="shared" si="9"/>
        <v>938934000</v>
      </c>
      <c r="F17" s="138">
        <f>SUM(F14:F16)</f>
        <v>9046216000</v>
      </c>
      <c r="G17" s="138">
        <f>SUM(G14:G16)</f>
        <v>5220546680</v>
      </c>
      <c r="H17" s="320">
        <f t="shared" si="1"/>
        <v>57.709728354927627</v>
      </c>
      <c r="I17" s="138">
        <f t="shared" si="2"/>
        <v>3825669320</v>
      </c>
      <c r="J17" s="203">
        <f t="shared" si="3"/>
        <v>42.290271645072366</v>
      </c>
      <c r="K17" s="330"/>
    </row>
    <row r="18" spans="1:13" ht="15" customHeight="1">
      <c r="A18" s="570"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9">
        <f t="shared" si="1"/>
        <v>75.5327832528925</v>
      </c>
      <c r="I18" s="115">
        <f t="shared" si="2"/>
        <v>50795410</v>
      </c>
      <c r="J18" s="202">
        <f t="shared" si="3"/>
        <v>24.4672167471075</v>
      </c>
      <c r="K18" s="330"/>
    </row>
    <row r="19" spans="1:13">
      <c r="A19" s="571"/>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9">
        <f t="shared" si="1"/>
        <v>54.421553989670016</v>
      </c>
      <c r="I19" s="115">
        <f t="shared" si="2"/>
        <v>75096415</v>
      </c>
      <c r="J19" s="202">
        <f t="shared" si="3"/>
        <v>45.578446010329984</v>
      </c>
      <c r="K19" s="330"/>
      <c r="M19" s="161"/>
    </row>
    <row r="20" spans="1:13">
      <c r="A20" s="572"/>
      <c r="B20" s="223" t="s">
        <v>4689</v>
      </c>
      <c r="C20" s="138">
        <f>SUM(C18:C19)</f>
        <v>1278600000</v>
      </c>
      <c r="D20" s="138">
        <f t="shared" ref="D20:E20" si="11">SUM(D18:D19)</f>
        <v>0</v>
      </c>
      <c r="E20" s="138">
        <f t="shared" si="11"/>
        <v>906231000</v>
      </c>
      <c r="F20" s="138">
        <f>SUM(F18:F19)</f>
        <v>372369000</v>
      </c>
      <c r="G20" s="138">
        <f>SUM(G18:G19)</f>
        <v>246477175</v>
      </c>
      <c r="H20" s="320">
        <f t="shared" si="1"/>
        <v>66.191647263869982</v>
      </c>
      <c r="I20" s="138">
        <f t="shared" si="2"/>
        <v>125891825</v>
      </c>
      <c r="J20" s="203">
        <f t="shared" si="3"/>
        <v>33.808352736130018</v>
      </c>
      <c r="K20" s="330"/>
    </row>
    <row r="21" spans="1:13" ht="15" customHeight="1">
      <c r="A21" s="570"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9">
        <f t="shared" si="1"/>
        <v>53.324849191315749</v>
      </c>
      <c r="I21" s="115">
        <f t="shared" si="2"/>
        <v>320331560</v>
      </c>
      <c r="J21" s="202">
        <f t="shared" si="3"/>
        <v>46.675150808684251</v>
      </c>
      <c r="K21" s="330"/>
    </row>
    <row r="22" spans="1:13">
      <c r="A22" s="571"/>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9">
        <f t="shared" si="1"/>
        <v>62.476119823950363</v>
      </c>
      <c r="I22" s="115">
        <f t="shared" si="2"/>
        <v>57207782</v>
      </c>
      <c r="J22" s="202">
        <f t="shared" si="3"/>
        <v>37.523880176049637</v>
      </c>
      <c r="K22" s="330"/>
    </row>
    <row r="23" spans="1:13">
      <c r="A23" s="572"/>
      <c r="B23" s="223" t="s">
        <v>4690</v>
      </c>
      <c r="C23" s="138">
        <f>SUM(C21:C22)</f>
        <v>1271400000</v>
      </c>
      <c r="D23" s="138">
        <f t="shared" ref="D23:E23" si="13">SUM(D21:D22)</f>
        <v>0</v>
      </c>
      <c r="E23" s="138">
        <f t="shared" si="13"/>
        <v>432643000</v>
      </c>
      <c r="F23" s="138">
        <f>SUM(F21:F22)</f>
        <v>838757000</v>
      </c>
      <c r="G23" s="138">
        <f>SUM(G21:G22)</f>
        <v>461217658</v>
      </c>
      <c r="H23" s="320">
        <f t="shared" si="1"/>
        <v>54.988233540822904</v>
      </c>
      <c r="I23" s="138">
        <f t="shared" si="2"/>
        <v>377539342</v>
      </c>
      <c r="J23" s="203">
        <f t="shared" si="3"/>
        <v>45.011766459177096</v>
      </c>
      <c r="K23" s="330"/>
    </row>
    <row r="24" spans="1:13">
      <c r="A24" s="574" t="s">
        <v>3735</v>
      </c>
      <c r="B24" s="574"/>
      <c r="C24" s="122">
        <f>C13++C17+C20+C23</f>
        <v>23342160000</v>
      </c>
      <c r="D24" s="122">
        <f t="shared" ref="D24:E24" si="14">D13++D17+D20+D23</f>
        <v>423949000</v>
      </c>
      <c r="E24" s="122">
        <f t="shared" si="14"/>
        <v>2887360000</v>
      </c>
      <c r="F24" s="122">
        <f>F13++F17+F20+F23</f>
        <v>20030851000</v>
      </c>
      <c r="G24" s="122">
        <f>G13++G17+G20+G23</f>
        <v>12181843063</v>
      </c>
      <c r="H24" s="321">
        <f t="shared" si="1"/>
        <v>60.815404512768836</v>
      </c>
      <c r="I24" s="122">
        <f t="shared" si="2"/>
        <v>7849007937</v>
      </c>
      <c r="J24" s="204">
        <f t="shared" si="3"/>
        <v>39.184595487231171</v>
      </c>
      <c r="K24" s="330"/>
      <c r="M24" s="159"/>
    </row>
    <row r="25" spans="1:13">
      <c r="A25" s="582" t="s">
        <v>4685</v>
      </c>
      <c r="B25" s="583"/>
      <c r="C25" s="311">
        <f>C24</f>
        <v>23342160000</v>
      </c>
      <c r="D25" s="584">
        <f>SUM(D24,E24)</f>
        <v>3311309000</v>
      </c>
      <c r="E25" s="585"/>
      <c r="F25" s="311">
        <f>F24</f>
        <v>20030851000</v>
      </c>
      <c r="G25" s="122">
        <f>G24</f>
        <v>12181843063</v>
      </c>
      <c r="H25" s="321">
        <f t="shared" si="1"/>
        <v>60.815404512768836</v>
      </c>
      <c r="I25" s="122">
        <f t="shared" si="2"/>
        <v>7849007937</v>
      </c>
      <c r="J25" s="204">
        <f t="shared" si="3"/>
        <v>39.184595487231171</v>
      </c>
      <c r="K25" s="330"/>
      <c r="M25" s="161"/>
    </row>
    <row r="29" spans="1:13" ht="15.75">
      <c r="A29" s="329" t="s">
        <v>3885</v>
      </c>
    </row>
    <row r="30" spans="1:13" ht="14.45" customHeight="1">
      <c r="A30" s="580" t="s">
        <v>3871</v>
      </c>
      <c r="B30" s="580" t="s">
        <v>3872</v>
      </c>
      <c r="C30" s="580" t="s">
        <v>4682</v>
      </c>
      <c r="D30" s="586" t="s">
        <v>4679</v>
      </c>
      <c r="E30" s="586" t="s">
        <v>4681</v>
      </c>
      <c r="F30" s="580" t="s">
        <v>4683</v>
      </c>
      <c r="G30" s="577" t="str">
        <f>IF($L$8=TRUE,"Realisasi vs Pagu+Blokir","Realisasi vs Pagu-Blokir")</f>
        <v>Realisasi vs Pagu-Blokir</v>
      </c>
      <c r="H30" s="577"/>
      <c r="I30" s="577" t="str">
        <f>IF($L$8=TRUE,"Sisa vs Pagu+Blokir","Sisa vs Pagu-Blokir")</f>
        <v>Sisa vs Pagu-Blokir</v>
      </c>
      <c r="J30" s="577"/>
    </row>
    <row r="31" spans="1:13">
      <c r="A31" s="581"/>
      <c r="B31" s="581"/>
      <c r="C31" s="581"/>
      <c r="D31" s="587"/>
      <c r="E31" s="587"/>
      <c r="F31" s="581"/>
      <c r="G31" s="156" t="s">
        <v>4691</v>
      </c>
      <c r="H31" s="300"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3978359587</v>
      </c>
      <c r="H32" s="149">
        <f t="shared" ref="H32" si="16">IFERROR(IF($L$8=TRUE,G32/C32*100,G32/F32*100),0)</f>
        <v>64.635730433902452</v>
      </c>
      <c r="I32" s="150">
        <f t="shared" ref="I32" si="17">IF($L$8=TRUE,C32-G32,F32-G32)</f>
        <v>2176687413</v>
      </c>
      <c r="J32" s="149">
        <f t="shared" ref="J32" si="18">IFERROR(IF($L$8=TRUE,I32/C32*100,I32/F32*100),0)</f>
        <v>35.364269566097548</v>
      </c>
      <c r="K32" s="330"/>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30"/>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30"/>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30"/>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30"/>
    </row>
    <row r="37" spans="1:12">
      <c r="A37" s="146"/>
      <c r="B37" s="147"/>
      <c r="C37" s="148"/>
      <c r="D37" s="148"/>
      <c r="E37" s="148"/>
      <c r="F37" s="148"/>
      <c r="G37" s="148"/>
      <c r="H37" s="149"/>
      <c r="I37" s="150"/>
      <c r="J37" s="149"/>
      <c r="K37" s="330"/>
    </row>
    <row r="38" spans="1:12">
      <c r="A38" s="578" t="s">
        <v>590</v>
      </c>
      <c r="B38" s="579"/>
      <c r="C38" s="157">
        <f>SUM(C32,C33,C36)</f>
        <v>23342160000</v>
      </c>
      <c r="D38" s="157">
        <f t="shared" ref="D38:G38" si="24">SUM(D32,D33,D36)</f>
        <v>423949000</v>
      </c>
      <c r="E38" s="157">
        <f t="shared" si="24"/>
        <v>2887360000</v>
      </c>
      <c r="F38" s="157">
        <f t="shared" si="24"/>
        <v>20030851000</v>
      </c>
      <c r="G38" s="157">
        <f t="shared" si="24"/>
        <v>12181843063</v>
      </c>
      <c r="H38" s="158">
        <f t="shared" si="20"/>
        <v>60.815404512768836</v>
      </c>
      <c r="I38" s="157">
        <f t="shared" si="21"/>
        <v>7849007937</v>
      </c>
      <c r="J38" s="158">
        <f t="shared" si="22"/>
        <v>39.184595487231171</v>
      </c>
      <c r="K38" s="330"/>
    </row>
    <row r="39" spans="1:12">
      <c r="A39" s="578" t="s">
        <v>3876</v>
      </c>
      <c r="B39" s="579"/>
      <c r="C39" s="157"/>
      <c r="D39" s="157"/>
      <c r="E39" s="157"/>
      <c r="F39" s="157"/>
      <c r="G39" s="157"/>
      <c r="H39" s="158"/>
      <c r="I39" s="157"/>
      <c r="J39" s="158"/>
      <c r="K39" s="330"/>
    </row>
    <row r="40" spans="1:12">
      <c r="A40" s="578" t="s">
        <v>3877</v>
      </c>
      <c r="B40" s="579"/>
      <c r="C40" s="157">
        <f>C38</f>
        <v>23342160000</v>
      </c>
      <c r="D40" s="588">
        <f>SUM(D38:E38)</f>
        <v>3311309000</v>
      </c>
      <c r="E40" s="589"/>
      <c r="F40" s="157">
        <f>F38</f>
        <v>20030851000</v>
      </c>
      <c r="G40" s="157">
        <f>G38-G39</f>
        <v>12181843063</v>
      </c>
      <c r="H40" s="158">
        <f t="shared" si="20"/>
        <v>60.815404512768836</v>
      </c>
      <c r="I40" s="157">
        <f t="shared" si="21"/>
        <v>7849007937</v>
      </c>
      <c r="J40" s="158">
        <f t="shared" si="22"/>
        <v>39.184595487231171</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76" t="s">
        <v>571</v>
      </c>
      <c r="B45" s="576" t="s">
        <v>500</v>
      </c>
      <c r="C45" s="576" t="s">
        <v>4682</v>
      </c>
      <c r="D45" s="576" t="s">
        <v>4679</v>
      </c>
      <c r="E45" s="576" t="s">
        <v>4681</v>
      </c>
      <c r="F45" s="576" t="s">
        <v>4683</v>
      </c>
      <c r="G45" s="577" t="str">
        <f>IF($L$8=TRUE,"Realisasi vs Pagu+Blokir","Realisasi vs Pagu-Blokir")</f>
        <v>Realisasi vs Pagu-Blokir</v>
      </c>
      <c r="H45" s="577"/>
      <c r="I45" s="577" t="str">
        <f>IF($L$8=TRUE,"Sisa vs Pagu+Blokir","Sisa vs Pagu-Blokir")</f>
        <v>Sisa vs Pagu-Blokir</v>
      </c>
      <c r="J45" s="577"/>
    </row>
    <row r="46" spans="1:12">
      <c r="A46" s="576"/>
      <c r="B46" s="576"/>
      <c r="C46" s="576"/>
      <c r="D46" s="576"/>
      <c r="E46" s="576"/>
      <c r="F46" s="576"/>
      <c r="G46" s="313" t="s">
        <v>4691</v>
      </c>
      <c r="H46" s="313" t="s">
        <v>3729</v>
      </c>
      <c r="I46" s="313" t="s">
        <v>4691</v>
      </c>
      <c r="J46" s="313" t="s">
        <v>3729</v>
      </c>
    </row>
    <row r="47" spans="1:12">
      <c r="A47" s="556"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2">
        <f t="shared" ref="H47:H60" si="26">IFERROR(IF($L$8=TRUE,G47/C47*100,G47/F47*100),0)</f>
        <v>99.999189298743417</v>
      </c>
      <c r="I47" s="115">
        <f t="shared" ref="I47:I60" si="27">IF($L$8=TRUE,C47-G47,F47-G47)</f>
        <v>720</v>
      </c>
      <c r="J47" s="319">
        <f t="shared" ref="J47:J60" si="28">IFERROR(IF($L$8=TRUE,I47/C47*100,I47/F47*100),0)</f>
        <v>8.107012565869478E-4</v>
      </c>
    </row>
    <row r="48" spans="1:12">
      <c r="A48" s="556"/>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56"/>
      <c r="B49" s="223" t="s">
        <v>4687</v>
      </c>
      <c r="C49" s="138">
        <f>SUM(C47:C48)</f>
        <v>88812000</v>
      </c>
      <c r="D49" s="138">
        <f t="shared" ref="D49:G49" si="29">SUM(D47:D48)</f>
        <v>0</v>
      </c>
      <c r="E49" s="138">
        <f t="shared" si="29"/>
        <v>0</v>
      </c>
      <c r="F49" s="138">
        <f t="shared" si="29"/>
        <v>88812000</v>
      </c>
      <c r="G49" s="138">
        <f t="shared" si="29"/>
        <v>88811280</v>
      </c>
      <c r="H49" s="323">
        <f t="shared" si="26"/>
        <v>99.999189298743417</v>
      </c>
      <c r="I49" s="138">
        <f t="shared" si="27"/>
        <v>720</v>
      </c>
      <c r="J49" s="320">
        <f t="shared" si="28"/>
        <v>8.107012565869478E-4</v>
      </c>
    </row>
    <row r="50" spans="1:10">
      <c r="A50" s="556"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9">
        <f t="shared" si="28"/>
        <v>0</v>
      </c>
    </row>
    <row r="51" spans="1:10">
      <c r="A51" s="556"/>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56"/>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6">
        <f t="shared" si="28"/>
        <v>0</v>
      </c>
    </row>
    <row r="53" spans="1:10">
      <c r="A53" s="556"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56"/>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56"/>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56"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2">
        <f t="shared" si="26"/>
        <v>4.5625</v>
      </c>
      <c r="I56" s="115">
        <f t="shared" si="27"/>
        <v>7635000</v>
      </c>
      <c r="J56" s="319">
        <f t="shared" si="28"/>
        <v>95.4375</v>
      </c>
    </row>
    <row r="57" spans="1:10">
      <c r="A57" s="556"/>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9">
        <f t="shared" si="28"/>
        <v>0</v>
      </c>
    </row>
    <row r="58" spans="1:10">
      <c r="A58" s="556"/>
      <c r="B58" s="223" t="s">
        <v>4690</v>
      </c>
      <c r="C58" s="138">
        <f t="shared" ref="C58:G58" si="35">SUM(C56:C57)</f>
        <v>8000000</v>
      </c>
      <c r="D58" s="138">
        <f t="shared" si="35"/>
        <v>0</v>
      </c>
      <c r="E58" s="138">
        <f t="shared" si="35"/>
        <v>0</v>
      </c>
      <c r="F58" s="138">
        <f t="shared" si="35"/>
        <v>8000000</v>
      </c>
      <c r="G58" s="138">
        <f t="shared" si="35"/>
        <v>365000</v>
      </c>
      <c r="H58" s="324">
        <f t="shared" si="26"/>
        <v>4.5625</v>
      </c>
      <c r="I58" s="138">
        <f t="shared" si="27"/>
        <v>7635000</v>
      </c>
      <c r="J58" s="320">
        <f t="shared" si="28"/>
        <v>95.4375</v>
      </c>
    </row>
    <row r="59" spans="1:10">
      <c r="A59" s="574" t="s">
        <v>3735</v>
      </c>
      <c r="B59" s="574"/>
      <c r="C59" s="122">
        <f>C49+C52+C55+C58</f>
        <v>96812000</v>
      </c>
      <c r="D59" s="122">
        <f t="shared" ref="D59:E59" si="36">D49+D52+D55+D58</f>
        <v>0</v>
      </c>
      <c r="E59" s="122">
        <f t="shared" si="36"/>
        <v>0</v>
      </c>
      <c r="F59" s="122">
        <f>F49+F52+F55+F58</f>
        <v>96812000</v>
      </c>
      <c r="G59" s="122">
        <f>G49+G52+G55+G58</f>
        <v>89176280</v>
      </c>
      <c r="H59" s="325">
        <f t="shared" si="26"/>
        <v>92.112837251580387</v>
      </c>
      <c r="I59" s="122">
        <f t="shared" si="27"/>
        <v>7635720</v>
      </c>
      <c r="J59" s="321">
        <f t="shared" si="28"/>
        <v>7.887162748419617</v>
      </c>
    </row>
    <row r="60" spans="1:10">
      <c r="A60" s="574" t="s">
        <v>4685</v>
      </c>
      <c r="B60" s="574"/>
      <c r="C60" s="311">
        <f>C59</f>
        <v>96812000</v>
      </c>
      <c r="D60" s="575">
        <f>SUM(D59:E59)</f>
        <v>0</v>
      </c>
      <c r="E60" s="575"/>
      <c r="F60" s="311">
        <f>F59</f>
        <v>96812000</v>
      </c>
      <c r="G60" s="122">
        <f>G59</f>
        <v>89176280</v>
      </c>
      <c r="H60" s="325">
        <f t="shared" si="26"/>
        <v>92.112837251580387</v>
      </c>
      <c r="I60" s="122">
        <f t="shared" si="27"/>
        <v>7635720</v>
      </c>
      <c r="J60" s="321">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66" t="str">
        <f>IF(L8=TRUE,"REALISASI DENGAN GAJI (BERDASARKAN PAGU SEBELUM BLOKIR)","REALISASI DENGAN GAJI (BERDASARKAN PAGU SETELAH BLOKIR)")</f>
        <v>REALISASI DENGAN GAJI (BERDASARKAN PAGU SETELAH BLOKIR)</v>
      </c>
      <c r="B1" s="566"/>
      <c r="C1" s="566"/>
      <c r="D1" s="566"/>
      <c r="E1" s="566"/>
      <c r="F1" s="566"/>
      <c r="G1" s="566"/>
      <c r="H1" s="566"/>
      <c r="I1" s="566"/>
      <c r="J1" s="566"/>
      <c r="L1" s="327"/>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8 AGUSTUS 2022</v>
      </c>
      <c r="B3" s="567"/>
      <c r="C3" s="567"/>
      <c r="D3" s="567"/>
      <c r="E3" s="567"/>
      <c r="F3" s="567"/>
      <c r="G3" s="567"/>
      <c r="H3" s="567"/>
      <c r="I3" s="567"/>
      <c r="J3" s="567"/>
    </row>
    <row r="4" spans="1:13">
      <c r="A4" s="332"/>
      <c r="B4" s="332"/>
      <c r="C4" s="332"/>
      <c r="D4" s="332"/>
      <c r="E4" s="332"/>
      <c r="F4" s="332"/>
      <c r="G4" s="332"/>
      <c r="H4" s="332"/>
      <c r="I4" s="332"/>
      <c r="J4" s="332"/>
    </row>
    <row r="5" spans="1:13" ht="15.75">
      <c r="A5" s="329" t="s">
        <v>3878</v>
      </c>
    </row>
    <row r="6" spans="1:13">
      <c r="A6" s="576" t="s">
        <v>571</v>
      </c>
      <c r="B6" s="576" t="s">
        <v>500</v>
      </c>
      <c r="C6" s="576" t="s">
        <v>4682</v>
      </c>
      <c r="D6" s="576" t="s">
        <v>4679</v>
      </c>
      <c r="E6" s="576" t="s">
        <v>4681</v>
      </c>
      <c r="F6" s="576" t="s">
        <v>3731</v>
      </c>
      <c r="G6" s="577" t="s">
        <v>3732</v>
      </c>
      <c r="H6" s="577"/>
      <c r="I6" s="577" t="s">
        <v>3733</v>
      </c>
      <c r="J6" s="577"/>
    </row>
    <row r="7" spans="1:13">
      <c r="A7" s="576"/>
      <c r="B7" s="576"/>
      <c r="C7" s="576"/>
      <c r="D7" s="576"/>
      <c r="E7" s="576"/>
      <c r="F7" s="576"/>
      <c r="G7" s="313" t="s">
        <v>4691</v>
      </c>
      <c r="H7" s="313" t="s">
        <v>3729</v>
      </c>
      <c r="I7" s="313" t="s">
        <v>4691</v>
      </c>
      <c r="J7" s="313" t="s">
        <v>3729</v>
      </c>
    </row>
    <row r="8" spans="1:13">
      <c r="A8" s="570"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K8" s="330"/>
      <c r="L8" s="312" t="b">
        <v>0</v>
      </c>
    </row>
    <row r="9" spans="1:13">
      <c r="A9" s="571"/>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3" si="0">IFERROR(IF($L$8=TRUE,G9/C9*100,G9/F9*100),0)</f>
        <v>43.162565117153946</v>
      </c>
      <c r="I9" s="115">
        <f t="shared" ref="I9:I25" si="1">IF($L$8=TRUE,C9-G9,F9-G9)</f>
        <v>1247955686</v>
      </c>
      <c r="J9" s="202">
        <f t="shared" ref="J9:J25" si="2">IFERROR(IF($L$8=TRUE,I9/C9*100,I9/F9*100),0)</f>
        <v>56.837434882846047</v>
      </c>
      <c r="K9" s="330"/>
    </row>
    <row r="10" spans="1:13">
      <c r="A10" s="571"/>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c r="K10" s="330"/>
    </row>
    <row r="11" spans="1:13">
      <c r="A11" s="571"/>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c r="K11" s="330"/>
    </row>
    <row r="12" spans="1:13">
      <c r="A12" s="571"/>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3978359587</v>
      </c>
      <c r="H12" s="319">
        <f t="shared" si="0"/>
        <v>64.635730433902452</v>
      </c>
      <c r="I12" s="115">
        <f t="shared" si="1"/>
        <v>2176687413</v>
      </c>
      <c r="J12" s="202">
        <f t="shared" si="2"/>
        <v>35.364269566097548</v>
      </c>
      <c r="K12" s="330"/>
    </row>
    <row r="13" spans="1:13">
      <c r="A13" s="572"/>
      <c r="B13" s="223" t="s">
        <v>4687</v>
      </c>
      <c r="C13" s="138">
        <f>SUM(C8:C12)</f>
        <v>10807010000</v>
      </c>
      <c r="D13" s="138">
        <f t="shared" ref="D13:G13" si="3">SUM(D8:D12)</f>
        <v>423949000</v>
      </c>
      <c r="E13" s="138">
        <f t="shared" si="3"/>
        <v>609552000</v>
      </c>
      <c r="F13" s="138">
        <f t="shared" si="3"/>
        <v>10483061000</v>
      </c>
      <c r="G13" s="138">
        <f t="shared" si="3"/>
        <v>6253601550</v>
      </c>
      <c r="H13" s="320">
        <f t="shared" si="0"/>
        <v>59.654346664585844</v>
      </c>
      <c r="I13" s="138">
        <f t="shared" si="1"/>
        <v>4229459450</v>
      </c>
      <c r="J13" s="203">
        <f t="shared" si="2"/>
        <v>40.345653335414148</v>
      </c>
      <c r="K13" s="330"/>
    </row>
    <row r="14" spans="1:13" ht="15" customHeight="1">
      <c r="A14" s="570"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9">
        <f t="shared" si="0"/>
        <v>20.614828369214923</v>
      </c>
      <c r="I14" s="115">
        <f t="shared" si="1"/>
        <v>610406874</v>
      </c>
      <c r="J14" s="202">
        <f t="shared" si="2"/>
        <v>79.385171630785081</v>
      </c>
      <c r="K14" s="330"/>
    </row>
    <row r="15" spans="1:13">
      <c r="A15" s="571"/>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9">
        <f t="shared" si="0"/>
        <v>57.554845301485578</v>
      </c>
      <c r="I15" s="115">
        <f t="shared" si="1"/>
        <v>3642855402</v>
      </c>
      <c r="J15" s="202">
        <f t="shared" si="2"/>
        <v>42.445154698514422</v>
      </c>
      <c r="K15" s="330"/>
      <c r="M15" s="161"/>
    </row>
    <row r="16" spans="1:13">
      <c r="A16" s="571"/>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9">
        <f t="shared" si="0"/>
        <v>19.312730933580756</v>
      </c>
      <c r="I16" s="115">
        <f t="shared" si="1"/>
        <v>511341044</v>
      </c>
      <c r="J16" s="202">
        <f t="shared" si="2"/>
        <v>80.687269066419248</v>
      </c>
      <c r="K16" s="330"/>
    </row>
    <row r="17" spans="1:13">
      <c r="A17" s="572"/>
      <c r="B17" s="223" t="s">
        <v>4688</v>
      </c>
      <c r="C17" s="138">
        <f>SUM(C14:C16)</f>
        <v>9985150000</v>
      </c>
      <c r="D17" s="138">
        <f t="shared" ref="D17:E17" si="4">SUM(D14:D16)</f>
        <v>0</v>
      </c>
      <c r="E17" s="138">
        <f t="shared" si="4"/>
        <v>938934000</v>
      </c>
      <c r="F17" s="138">
        <f>SUM(F14:F16)</f>
        <v>9985150000</v>
      </c>
      <c r="G17" s="138">
        <f>SUM(G14:G16)</f>
        <v>5220546680</v>
      </c>
      <c r="H17" s="320">
        <f t="shared" si="0"/>
        <v>52.283107214213111</v>
      </c>
      <c r="I17" s="138">
        <f t="shared" si="1"/>
        <v>4764603320</v>
      </c>
      <c r="J17" s="203">
        <f t="shared" si="2"/>
        <v>47.716892785786897</v>
      </c>
      <c r="K17" s="330"/>
    </row>
    <row r="18" spans="1:13" ht="15" customHeight="1">
      <c r="A18" s="570"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9">
        <f t="shared" si="0"/>
        <v>33.075425015819448</v>
      </c>
      <c r="I18" s="115">
        <f t="shared" si="1"/>
        <v>317289410</v>
      </c>
      <c r="J18" s="202">
        <f t="shared" si="2"/>
        <v>66.924574984180552</v>
      </c>
      <c r="K18" s="330"/>
    </row>
    <row r="19" spans="1:13">
      <c r="A19" s="571"/>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9">
        <f t="shared" si="0"/>
        <v>11.145628962088255</v>
      </c>
      <c r="I19" s="115">
        <f t="shared" si="1"/>
        <v>714833415</v>
      </c>
      <c r="J19" s="202">
        <f t="shared" si="2"/>
        <v>88.854371037911747</v>
      </c>
      <c r="K19" s="330"/>
      <c r="M19" s="161"/>
    </row>
    <row r="20" spans="1:13">
      <c r="A20" s="572"/>
      <c r="B20" s="223" t="s">
        <v>4689</v>
      </c>
      <c r="C20" s="138">
        <f>SUM(C18:C19)</f>
        <v>1278600000</v>
      </c>
      <c r="D20" s="138">
        <f t="shared" ref="D20:E20" si="5">SUM(D18:D19)</f>
        <v>0</v>
      </c>
      <c r="E20" s="138">
        <f t="shared" si="5"/>
        <v>906231000</v>
      </c>
      <c r="F20" s="138">
        <f>SUM(F18:F19)</f>
        <v>1278600000</v>
      </c>
      <c r="G20" s="138">
        <f>SUM(G18:G19)</f>
        <v>246477175</v>
      </c>
      <c r="H20" s="320">
        <f t="shared" si="0"/>
        <v>19.27711363991866</v>
      </c>
      <c r="I20" s="138">
        <f t="shared" si="1"/>
        <v>1032122825</v>
      </c>
      <c r="J20" s="203">
        <f t="shared" si="2"/>
        <v>80.722886360081333</v>
      </c>
      <c r="K20" s="330"/>
    </row>
    <row r="21" spans="1:13" ht="15" customHeight="1">
      <c r="A21" s="570"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9">
        <f t="shared" si="0"/>
        <v>53.324849191315749</v>
      </c>
      <c r="I21" s="115">
        <f t="shared" si="1"/>
        <v>320331560</v>
      </c>
      <c r="J21" s="202">
        <f t="shared" si="2"/>
        <v>46.675150808684251</v>
      </c>
      <c r="K21" s="330"/>
    </row>
    <row r="22" spans="1:13">
      <c r="A22" s="571"/>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9">
        <f t="shared" si="0"/>
        <v>16.279134848743805</v>
      </c>
      <c r="I22" s="115">
        <f t="shared" si="1"/>
        <v>489850782</v>
      </c>
      <c r="J22" s="202">
        <f t="shared" si="2"/>
        <v>83.720865151256191</v>
      </c>
      <c r="K22" s="330"/>
    </row>
    <row r="23" spans="1:13">
      <c r="A23" s="572"/>
      <c r="B23" s="223" t="s">
        <v>4690</v>
      </c>
      <c r="C23" s="138">
        <f>SUM(C21:C22)</f>
        <v>1271400000</v>
      </c>
      <c r="D23" s="138">
        <f t="shared" ref="D23:E23" si="6">SUM(D21:D22)</f>
        <v>0</v>
      </c>
      <c r="E23" s="138">
        <f t="shared" si="6"/>
        <v>432643000</v>
      </c>
      <c r="F23" s="138">
        <f>SUM(F21:F22)</f>
        <v>1271400000</v>
      </c>
      <c r="G23" s="138">
        <f>SUM(G21:G22)</f>
        <v>461217658</v>
      </c>
      <c r="H23" s="320">
        <f t="shared" si="0"/>
        <v>36.276361333962562</v>
      </c>
      <c r="I23" s="138">
        <f t="shared" si="1"/>
        <v>810182342</v>
      </c>
      <c r="J23" s="203">
        <f t="shared" si="2"/>
        <v>63.723638666037438</v>
      </c>
      <c r="K23" s="330"/>
    </row>
    <row r="24" spans="1:13">
      <c r="A24" s="574" t="s">
        <v>3735</v>
      </c>
      <c r="B24" s="574"/>
      <c r="C24" s="122">
        <f>C13++C17+C20+C23</f>
        <v>23342160000</v>
      </c>
      <c r="D24" s="122">
        <f t="shared" ref="D24:E24" si="7">D13++D17+D20+D23</f>
        <v>423949000</v>
      </c>
      <c r="E24" s="122">
        <f t="shared" si="7"/>
        <v>2887360000</v>
      </c>
      <c r="F24" s="122">
        <f>F13++F17+F20+F23</f>
        <v>23018211000</v>
      </c>
      <c r="G24" s="122">
        <f>G13++G17+G20+G23</f>
        <v>12181843063</v>
      </c>
      <c r="H24" s="321">
        <f>IFERROR(IF($L$8=TRUE,G24/C24*100,G24/F24*100),0)</f>
        <v>52.922631837026778</v>
      </c>
      <c r="I24" s="122">
        <f t="shared" si="1"/>
        <v>10836367937</v>
      </c>
      <c r="J24" s="204">
        <f t="shared" si="2"/>
        <v>47.077368162973222</v>
      </c>
      <c r="K24" s="330"/>
      <c r="M24" s="159"/>
    </row>
    <row r="25" spans="1:13">
      <c r="A25" s="582" t="s">
        <v>4685</v>
      </c>
      <c r="B25" s="583"/>
      <c r="C25" s="311">
        <f>C24</f>
        <v>23342160000</v>
      </c>
      <c r="D25" s="584">
        <f>SUM(D24,E24)</f>
        <v>3311309000</v>
      </c>
      <c r="E25" s="585"/>
      <c r="F25" s="311">
        <f>F24</f>
        <v>23018211000</v>
      </c>
      <c r="G25" s="122">
        <f>G24</f>
        <v>12181843063</v>
      </c>
      <c r="H25" s="321">
        <f>IFERROR(IF($L$8=TRUE,G25/C25*100,G25/F25*100),0)</f>
        <v>52.922631837026778</v>
      </c>
      <c r="I25" s="122">
        <f t="shared" si="1"/>
        <v>10836367937</v>
      </c>
      <c r="J25" s="204">
        <f t="shared" si="2"/>
        <v>47.077368162973222</v>
      </c>
      <c r="K25" s="330"/>
      <c r="M25" s="161"/>
    </row>
    <row r="28" spans="1:13">
      <c r="M28" s="350"/>
    </row>
    <row r="29" spans="1:13" ht="15.75">
      <c r="A29" s="329" t="s">
        <v>3885</v>
      </c>
    </row>
    <row r="30" spans="1:13" ht="14.45" customHeight="1">
      <c r="A30" s="580" t="s">
        <v>3871</v>
      </c>
      <c r="B30" s="580" t="s">
        <v>3872</v>
      </c>
      <c r="C30" s="580" t="s">
        <v>4682</v>
      </c>
      <c r="D30" s="586" t="s">
        <v>4679</v>
      </c>
      <c r="E30" s="586" t="s">
        <v>4681</v>
      </c>
      <c r="F30" s="576" t="s">
        <v>3731</v>
      </c>
      <c r="G30" s="577" t="s">
        <v>3732</v>
      </c>
      <c r="H30" s="577"/>
      <c r="I30" s="577" t="s">
        <v>3733</v>
      </c>
      <c r="J30" s="577"/>
    </row>
    <row r="31" spans="1:13">
      <c r="A31" s="581"/>
      <c r="B31" s="581"/>
      <c r="C31" s="581"/>
      <c r="D31" s="587"/>
      <c r="E31" s="587"/>
      <c r="F31" s="576"/>
      <c r="G31" s="313" t="s">
        <v>4691</v>
      </c>
      <c r="H31" s="313" t="s">
        <v>3729</v>
      </c>
      <c r="I31" s="313" t="s">
        <v>4691</v>
      </c>
      <c r="J31" s="313" t="s">
        <v>3729</v>
      </c>
    </row>
    <row r="32" spans="1:13">
      <c r="A32" s="146">
        <v>1</v>
      </c>
      <c r="B32" s="147" t="s">
        <v>4068</v>
      </c>
      <c r="C32" s="148">
        <f>C12</f>
        <v>6478996000</v>
      </c>
      <c r="D32" s="148">
        <f t="shared" ref="D32:G32" si="8">D12</f>
        <v>323949000</v>
      </c>
      <c r="E32" s="148">
        <f t="shared" si="8"/>
        <v>0</v>
      </c>
      <c r="F32" s="148">
        <f t="shared" si="8"/>
        <v>6155047000</v>
      </c>
      <c r="G32" s="148">
        <f t="shared" si="8"/>
        <v>3978359587</v>
      </c>
      <c r="H32" s="149">
        <f t="shared" ref="H32:H40" si="9">IFERROR(IF($L$8=TRUE,G32/C32*100,G32/F32*100),0)</f>
        <v>64.635730433902452</v>
      </c>
      <c r="I32" s="150">
        <f t="shared" ref="I32:I40" si="10">IF($L$8=TRUE,C32-G32,F32-G32)</f>
        <v>2176687413</v>
      </c>
      <c r="J32" s="149">
        <f t="shared" ref="J32:J40" si="11">IFERROR(IF($L$8=TRUE,I32/C32*100,I32/F32*100),0)</f>
        <v>35.364269566097548</v>
      </c>
      <c r="K32" s="330"/>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30"/>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30"/>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30"/>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30"/>
    </row>
    <row r="37" spans="1:12">
      <c r="A37" s="146"/>
      <c r="B37" s="147"/>
      <c r="C37" s="148"/>
      <c r="D37" s="148"/>
      <c r="E37" s="148"/>
      <c r="F37" s="148"/>
      <c r="G37" s="148"/>
      <c r="H37" s="149"/>
      <c r="I37" s="150"/>
      <c r="J37" s="149"/>
      <c r="K37" s="330"/>
    </row>
    <row r="38" spans="1:12">
      <c r="A38" s="578" t="s">
        <v>590</v>
      </c>
      <c r="B38" s="579"/>
      <c r="C38" s="157">
        <f>SUM(C32,C33,C36)</f>
        <v>23342160000</v>
      </c>
      <c r="D38" s="157">
        <f t="shared" ref="D38:G38" si="13">SUM(D32,D33,D36)</f>
        <v>423949000</v>
      </c>
      <c r="E38" s="157">
        <f t="shared" si="13"/>
        <v>2887360000</v>
      </c>
      <c r="F38" s="157">
        <f t="shared" si="13"/>
        <v>23018211000</v>
      </c>
      <c r="G38" s="157">
        <f t="shared" si="13"/>
        <v>12181843063</v>
      </c>
      <c r="H38" s="158">
        <f t="shared" si="9"/>
        <v>52.922631837026778</v>
      </c>
      <c r="I38" s="157">
        <f t="shared" si="10"/>
        <v>10836367937</v>
      </c>
      <c r="J38" s="158">
        <f t="shared" si="11"/>
        <v>47.077368162973222</v>
      </c>
      <c r="K38" s="330"/>
    </row>
    <row r="39" spans="1:12">
      <c r="A39" s="578" t="s">
        <v>3876</v>
      </c>
      <c r="B39" s="579"/>
      <c r="C39" s="157"/>
      <c r="D39" s="157"/>
      <c r="E39" s="157"/>
      <c r="F39" s="157"/>
      <c r="G39" s="157"/>
      <c r="H39" s="158"/>
      <c r="I39" s="157"/>
      <c r="J39" s="158"/>
      <c r="K39" s="330"/>
    </row>
    <row r="40" spans="1:12">
      <c r="A40" s="578" t="s">
        <v>3877</v>
      </c>
      <c r="B40" s="579"/>
      <c r="C40" s="157">
        <f>C38</f>
        <v>23342160000</v>
      </c>
      <c r="D40" s="588">
        <f>SUM(D38:E38)</f>
        <v>3311309000</v>
      </c>
      <c r="E40" s="589"/>
      <c r="F40" s="157">
        <f>F38</f>
        <v>23018211000</v>
      </c>
      <c r="G40" s="157">
        <f>G38-G39</f>
        <v>12181843063</v>
      </c>
      <c r="H40" s="158">
        <f t="shared" si="9"/>
        <v>52.922631837026778</v>
      </c>
      <c r="I40" s="157">
        <f t="shared" si="10"/>
        <v>10836367937</v>
      </c>
      <c r="J40" s="158">
        <f t="shared" si="11"/>
        <v>47.077368162973222</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76" t="s">
        <v>571</v>
      </c>
      <c r="B45" s="576" t="s">
        <v>500</v>
      </c>
      <c r="C45" s="576" t="s">
        <v>4682</v>
      </c>
      <c r="D45" s="576" t="s">
        <v>4679</v>
      </c>
      <c r="E45" s="576" t="s">
        <v>4681</v>
      </c>
      <c r="F45" s="576" t="s">
        <v>3731</v>
      </c>
      <c r="G45" s="577" t="s">
        <v>3732</v>
      </c>
      <c r="H45" s="577"/>
      <c r="I45" s="577" t="s">
        <v>3733</v>
      </c>
      <c r="J45" s="577"/>
    </row>
    <row r="46" spans="1:12">
      <c r="A46" s="576"/>
      <c r="B46" s="576"/>
      <c r="C46" s="576"/>
      <c r="D46" s="576"/>
      <c r="E46" s="576"/>
      <c r="F46" s="576"/>
      <c r="G46" s="313" t="s">
        <v>4691</v>
      </c>
      <c r="H46" s="313" t="s">
        <v>3729</v>
      </c>
      <c r="I46" s="313" t="s">
        <v>4691</v>
      </c>
      <c r="J46" s="313" t="s">
        <v>3729</v>
      </c>
    </row>
    <row r="47" spans="1:12">
      <c r="A47" s="556"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2">
        <f t="shared" ref="H47:H60" si="14">IFERROR(IF($L$8=TRUE,G47/C47*100,G47/F47*100),0)</f>
        <v>99.999189298743417</v>
      </c>
      <c r="I47" s="115">
        <f t="shared" ref="I47:I60" si="15">IF($L$8=TRUE,C47-G47,F47-G47)</f>
        <v>720</v>
      </c>
      <c r="J47" s="319">
        <f t="shared" ref="J47:J60" si="16">IFERROR(IF($L$8=TRUE,I47/C47*100,I47/F47*100),0)</f>
        <v>8.107012565869478E-4</v>
      </c>
    </row>
    <row r="48" spans="1:12">
      <c r="A48" s="556"/>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56"/>
      <c r="B49" s="223" t="s">
        <v>4687</v>
      </c>
      <c r="C49" s="138">
        <f>SUM(C47:C48)</f>
        <v>88811000</v>
      </c>
      <c r="D49" s="138">
        <f t="shared" ref="D49:G49" si="17">SUM(D47:D48)</f>
        <v>0</v>
      </c>
      <c r="E49" s="138">
        <f t="shared" si="17"/>
        <v>0</v>
      </c>
      <c r="F49" s="138">
        <f t="shared" si="17"/>
        <v>88812000</v>
      </c>
      <c r="G49" s="138">
        <f t="shared" si="17"/>
        <v>88811280</v>
      </c>
      <c r="H49" s="323">
        <f t="shared" si="14"/>
        <v>99.999189298743417</v>
      </c>
      <c r="I49" s="138">
        <f t="shared" si="15"/>
        <v>720</v>
      </c>
      <c r="J49" s="320">
        <f t="shared" si="16"/>
        <v>8.107012565869478E-4</v>
      </c>
    </row>
    <row r="50" spans="1:10">
      <c r="A50" s="556"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9">
        <f t="shared" si="16"/>
        <v>0</v>
      </c>
    </row>
    <row r="51" spans="1:10">
      <c r="A51" s="556"/>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56"/>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6">
        <f t="shared" si="16"/>
        <v>0</v>
      </c>
    </row>
    <row r="53" spans="1:10">
      <c r="A53" s="556"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56"/>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56"/>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56"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2">
        <f t="shared" si="14"/>
        <v>4.5625</v>
      </c>
      <c r="I56" s="115">
        <f t="shared" si="15"/>
        <v>7635000</v>
      </c>
      <c r="J56" s="319">
        <f t="shared" si="16"/>
        <v>95.4375</v>
      </c>
    </row>
    <row r="57" spans="1:10">
      <c r="A57" s="556"/>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9">
        <f t="shared" si="16"/>
        <v>0</v>
      </c>
    </row>
    <row r="58" spans="1:10">
      <c r="A58" s="556"/>
      <c r="B58" s="223" t="s">
        <v>4690</v>
      </c>
      <c r="C58" s="138">
        <f t="shared" ref="C58:G58" si="20">SUM(C56:C57)</f>
        <v>13000000</v>
      </c>
      <c r="D58" s="138">
        <f t="shared" si="20"/>
        <v>0</v>
      </c>
      <c r="E58" s="138">
        <f t="shared" si="20"/>
        <v>0</v>
      </c>
      <c r="F58" s="138">
        <f t="shared" si="20"/>
        <v>8000000</v>
      </c>
      <c r="G58" s="138">
        <f t="shared" si="20"/>
        <v>365000</v>
      </c>
      <c r="H58" s="324">
        <f t="shared" si="14"/>
        <v>4.5625</v>
      </c>
      <c r="I58" s="138">
        <f t="shared" si="15"/>
        <v>7635000</v>
      </c>
      <c r="J58" s="320">
        <f t="shared" si="16"/>
        <v>95.4375</v>
      </c>
    </row>
    <row r="59" spans="1:10">
      <c r="A59" s="574" t="s">
        <v>3735</v>
      </c>
      <c r="B59" s="574"/>
      <c r="C59" s="122">
        <f>C49+C52+C55+C58</f>
        <v>101811000</v>
      </c>
      <c r="D59" s="122">
        <f t="shared" ref="D59:E59" si="21">D49+D52+D55+D58</f>
        <v>0</v>
      </c>
      <c r="E59" s="122">
        <f t="shared" si="21"/>
        <v>0</v>
      </c>
      <c r="F59" s="122">
        <f>F49+F52+F55+F58</f>
        <v>96812000</v>
      </c>
      <c r="G59" s="122">
        <f>G49+G52+G55+G58</f>
        <v>89176280</v>
      </c>
      <c r="H59" s="325">
        <f t="shared" si="14"/>
        <v>92.112837251580387</v>
      </c>
      <c r="I59" s="122">
        <f t="shared" si="15"/>
        <v>7635720</v>
      </c>
      <c r="J59" s="321">
        <f t="shared" si="16"/>
        <v>7.887162748419617</v>
      </c>
    </row>
    <row r="60" spans="1:10">
      <c r="A60" s="574" t="s">
        <v>4685</v>
      </c>
      <c r="B60" s="574"/>
      <c r="C60" s="311">
        <f>C59</f>
        <v>101811000</v>
      </c>
      <c r="D60" s="575">
        <f>SUM(D59:E59)</f>
        <v>0</v>
      </c>
      <c r="E60" s="575"/>
      <c r="F60" s="311">
        <f>F59</f>
        <v>96812000</v>
      </c>
      <c r="G60" s="122">
        <f>G59</f>
        <v>89176280</v>
      </c>
      <c r="H60" s="325">
        <f t="shared" si="14"/>
        <v>92.112837251580387</v>
      </c>
      <c r="I60" s="122">
        <f t="shared" si="15"/>
        <v>7635720</v>
      </c>
      <c r="J60" s="321">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67" t="str">
        <f>'PERSUBBID - Gaji'!A2</f>
        <v>Berdasarkan DIPA Revisi 3 TA. 2022 (Tanggal 13 Juli 2022)</v>
      </c>
      <c r="C2" s="567"/>
      <c r="D2" s="567"/>
      <c r="E2" s="567"/>
      <c r="F2" s="567"/>
      <c r="G2" s="567"/>
      <c r="H2" s="567"/>
      <c r="I2" s="567"/>
      <c r="J2" s="567"/>
      <c r="K2" s="567"/>
      <c r="L2" s="567"/>
      <c r="M2" s="567"/>
      <c r="N2" s="567"/>
      <c r="O2" s="567"/>
      <c r="P2" s="567"/>
    </row>
    <row r="3" spans="2:16" ht="15.75">
      <c r="B3" s="567" t="str">
        <f>'PERSUBBID - Gaji'!A3</f>
        <v>SAMPAI DENGAN 8 AGUSTUS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1"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1"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1"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1"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1"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1"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1"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1"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1"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1"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1"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1"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1"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1"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1"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1"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1"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1"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1"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1"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1"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1"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1"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1"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1"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1"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1"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1"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1"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1"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1"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1"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1"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1"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1"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1"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1"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1"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1"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1"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1"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1"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1"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1"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1"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1"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1"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1"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1"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1"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1"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1"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1"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1"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1"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1"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1"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1"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1"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1"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1"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1"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1"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1"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1"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1"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1"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1"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1"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1"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1"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1"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1"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1"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1"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1"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1"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1"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1"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1"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1"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1"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1"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1"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1"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1"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1"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1"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1"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1"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1"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1"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1"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1"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1"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1"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1"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1"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1"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1"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1"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1"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1"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1"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1"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1"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1"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1"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1"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1"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1"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1"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1"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1"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1"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1"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1"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1"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1"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1"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1"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1"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1"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1"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1"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1"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1"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1"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1"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1"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1"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1"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1"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1"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1"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1"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1"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1"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1"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1"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1"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1"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1"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1"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1"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1"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1"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1"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1"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1"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1"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1"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1"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1"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1"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1"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1"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1"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1"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1"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1"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1"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1"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1"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1"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1"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1"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1"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1"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1"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1"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1"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1"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1"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1"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1"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1"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1"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1"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1"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1"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1"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1"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1"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1"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1"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1"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1"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1"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1"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1"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1"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1"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1"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1"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1"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1"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1"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1"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1"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1"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1"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1"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1"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1"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1"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1"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1"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1"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1"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1"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1"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1"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1"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1"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1"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1"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1"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1"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1"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1"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1"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1"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1"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1"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1"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1"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1"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1"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1"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1"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1"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1"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1"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1"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1"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1"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1"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1"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1"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1"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1"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1"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1"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1"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1"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1"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1"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1"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1"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1"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1"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1"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1"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1"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1"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1"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1"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1"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1"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1"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1"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1"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1"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1"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1"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1"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1"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1"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1"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1"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1"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1"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1"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1"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1"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1"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1"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1"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1"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1"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1"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1"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1"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1"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1"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1"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1"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1"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1"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1"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1"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1"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1"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1"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1"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1"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1"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1"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1"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1"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1"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1"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1"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1"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1"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1"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1"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1"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1"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1"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1"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1"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1"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1"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1"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1"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1"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1"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1"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1"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1"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1"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1"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1"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1"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1"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1"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1"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1"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1"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1"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1"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1"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1"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1"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1"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1"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1"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1"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1"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1"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1"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1"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1"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1"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1"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1"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1"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1"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1"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1"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1"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1"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1"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1"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1"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1"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1"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1"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1"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1"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1"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1"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1"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1"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1"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1"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1"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1"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1"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1"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1"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1"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1"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1"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1"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1"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1"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1"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1"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1"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1"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1"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1"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1"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1"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1"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1"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1"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1"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1"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1"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1"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1"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1"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1"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1"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1"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1"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1"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1"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1"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1"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1"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1"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1"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1"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1"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1"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1"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1"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1"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1"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1"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1"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1"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1"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1"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1"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1"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1"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1"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1"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1"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1"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1"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1"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1"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1"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1"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1"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1"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1"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1"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1"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1"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1"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1"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1"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1"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1"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1"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1"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1"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1"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1"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1"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1"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1"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1"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1"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1"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1"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1"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1"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1"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1"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1"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1"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1"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1"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1"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1"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1"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1"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1"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1"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1"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1"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1"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1"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1"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1"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1"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1"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1"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1"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1"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1"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1"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1"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1"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1"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1"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1"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1"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1"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1"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1"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1"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1"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1"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1"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1"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1"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1"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1"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1"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1"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1"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1"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1"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1"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1"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1"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1"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1"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1"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1"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1"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1"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1"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1"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1"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1"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1"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1"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1"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1"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1"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1"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1"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1"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1"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1"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1"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1"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1"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1"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1"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1"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1"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1"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1"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1"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1"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1"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1"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1"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1"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1"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1"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1"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1"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1"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1"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1"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1"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1"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1"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1"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1"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1"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1"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1"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1"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1"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1"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1"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1"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1"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1"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1"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1"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1"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1"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1"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1"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1"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1"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1"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1"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1"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1"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1"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1"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1"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1"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1"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1"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1"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1"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1"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1"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1"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1"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1"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1"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1"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1"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1"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1"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1"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1"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1"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1"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1"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1"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1"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1"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1"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1"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1"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1"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1"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1"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1"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1"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1"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1"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1"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1"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1"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1"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1"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1"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1"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1"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1"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1"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1"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1"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1"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1"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1"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1"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1"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1"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1"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1"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1"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1"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1"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1"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1"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1"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1"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1"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1"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1"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1"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1"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1"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1"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1"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1"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1"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1"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1"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1"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1"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1"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1"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1"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1"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1"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1"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1"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1"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1"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1"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1"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1"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1"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1"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1"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1"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1"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1"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1"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1"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1"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1"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1"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1"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1"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1"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1"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1"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1"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1"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1"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1"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1"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1"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1"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1"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1"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1"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1"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1"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1"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1"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1"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1"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1"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1"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1"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1"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1"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1"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1"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1"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1"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1"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1"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1"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1"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1"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1"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1"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1"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1"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1"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1"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1"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1"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1"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1"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1"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1"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1"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1"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1"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1"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1"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1"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1"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1"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1"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1"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1"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1"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1"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1"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1"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1"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1"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1"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1"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1"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1"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1"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1"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1"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1"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1"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1"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1"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1"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1"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1"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1"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1"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1"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1"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1"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1"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1"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1"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1"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1"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1"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1"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1"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1"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1"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1"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1"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1"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1"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1"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1"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1"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1"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1"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1"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1"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1"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1"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1"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1"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1"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1"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1"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1"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1"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1"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1"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1"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1"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1"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1"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1"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1"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1"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1"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1"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1"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1"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1"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1"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1"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1"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1"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1"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1"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1"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1"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1"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1"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1"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1"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1"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1"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1"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1"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1"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1"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1"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1"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1"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1"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1"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1"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1"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1"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1"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1"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1"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1"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1"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1"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1"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1"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1"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1"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1"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1"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1"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1"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1"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1"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1"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1"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1"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1"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1"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1"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1"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1"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1"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1"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1"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1"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1"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1"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1"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1"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1"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1"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1"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1"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1"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1"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1"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1"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1"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1"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1"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1"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1"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1"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1"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1"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1"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1"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1"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1"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1"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1"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1"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1"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1"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1"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1"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1"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1"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1"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1"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1"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1"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1"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1"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1"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1"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1"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1"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1"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1"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1"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1"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1"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1"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1"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1"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1"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1"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1"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1"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1"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1"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1"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1"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1"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1"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1"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1"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1"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1"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1"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1"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1"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1"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1"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1"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1"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1"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1"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1"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1"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1"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1"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1"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1"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1"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1"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1"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1"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1"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1"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1"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1"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1"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1"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1"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1"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1"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1"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1"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1"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1"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1"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1"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1"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1"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1"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1"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1"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1"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1"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1"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1"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1"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1"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1"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1"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1"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1"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1"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1"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1"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1"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1"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1"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1"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1"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1"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1"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1"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1"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1"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1"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1"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1"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1"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1"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1"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1"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1"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1"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1"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1"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1"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1"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1"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1"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1"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1"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1"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1"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1"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1"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1"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1"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1"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1"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1"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1"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1"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1"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1"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1"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1"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1"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1"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1"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1"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1"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1"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1"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1"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1"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1"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1"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1"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1"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1"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1"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1"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1"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1"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1"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1"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1"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1"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1"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1"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1"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1"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1"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1"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1"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1"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1"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1"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1"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1"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1"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1"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1"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1"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1"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1"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1"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1"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1"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1"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1"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1"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1"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1"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1"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1"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1"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1"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1"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1"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1"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1"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1"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1"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1"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1"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1"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1"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1"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1"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1"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1"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1"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1"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1"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1"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1"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1"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1"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1"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1"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1"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1"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1"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1"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1"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1"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1"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1"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1"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1"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1"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1"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1"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1"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1"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1"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1"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1"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1"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1"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1"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1"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1"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1"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1"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1"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1"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1"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1"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1"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1"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1"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1"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1"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1"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1"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1"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1"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1"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1"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1"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1"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1"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1"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1"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1"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1"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1"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1"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1"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1"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1"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1"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1"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1"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1"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1"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1"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1"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1"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1"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1"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1"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1"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1"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1"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1"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1"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1"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1"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1"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1"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1"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1"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1"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1"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1"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1"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1"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1"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1"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1"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1"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1"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1"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1"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1"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1"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1"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1"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1"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1"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1"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1"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1"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1"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1"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1"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1"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1"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1"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1"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1"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1"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1"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1"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1"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1"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1"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1"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1"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1"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1"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1"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1"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1"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1"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1"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1"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1"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1"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1"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1"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1"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1"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1"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1"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1"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1"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1"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1"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1"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1"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1"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1"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1"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1"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1"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1"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1"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1"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1"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1"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1"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1"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1"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1"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1"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1"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1"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1"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1"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1"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1"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1"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1"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1"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1"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1"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1"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1"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1"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1"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1"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1"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1"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1"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1"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1"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1"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1"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1"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1"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1"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1"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1"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1"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1"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1"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1"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1"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1"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1"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1"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1"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1"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1"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1"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1"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1"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1"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1"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1"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1"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1"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1"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1"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1"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1"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1"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1"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1"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1"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1"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1"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1"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1"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1"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1"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1"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1"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1"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1"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1"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1"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1"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1"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1"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1"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1"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1"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1"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1"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1"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1"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1"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1"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1"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1"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1"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1"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1"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1"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1"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1"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1"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1"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1"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1"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1"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1"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1"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1"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1"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1"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1"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1"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1"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1"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1"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1"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1"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1"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1"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1"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1"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1"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1"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1"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1"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1"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1"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1"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1"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1"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1"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1"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1"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1"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1"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1"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1"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1"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1"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1"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1"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1"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1"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1"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1"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1"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1"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1"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1"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1"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1"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1"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1"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1"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1"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1"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1"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1"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1"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1"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1"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1"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1"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1"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1"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1"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1"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1"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1"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1"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1"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1"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1"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1"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1"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1"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1"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1"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1"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1"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1"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1"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1"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1"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1"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1"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1"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1"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1"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1"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1"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1"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1"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1"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1"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1"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1"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1"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1"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1"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1"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1"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1"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1"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1"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1"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1"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1"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1"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1"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1"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1"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1"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1"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1"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1"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1"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1"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1"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1"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1"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1"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1"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1"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1"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1"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1"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1"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1"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1"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1"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1"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1"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1"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1"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1"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1"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1"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1"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1"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1"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1"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1"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1"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1"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1"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1"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1"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1"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1"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1"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1"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1"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1"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1"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1"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1"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1"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1"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1"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1"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1"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1"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1"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1"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1"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1"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1"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1"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1"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1"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1"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1"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1"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1"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1"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1"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1"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1"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1"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1"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1"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1"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1"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1"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1"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1"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1"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1"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1"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1"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1"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1"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1"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1"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1"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1"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1"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1"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1"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1"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1"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1"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1"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1"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1"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1"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1"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1"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1"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1"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1"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1"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1"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1"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1"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1"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1"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1"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1"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1"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1"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1"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1"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1"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1"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1"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1"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1"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1"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1"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1"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1"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1"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1"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1"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1"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1"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1"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1"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1"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1"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1"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1"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1"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1"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1"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1"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1"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1"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1"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1"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1"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1"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1"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1"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1"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1"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1"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1"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1"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1"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1"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1"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1"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1"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1"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1"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1"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1"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1"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1"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1"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1"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1"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1"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1"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1"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1"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1"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1"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1"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1"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1"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1"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1"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1"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1"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1"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1"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1"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1"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1"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1"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1"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1"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1"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1"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1"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1"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1"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1"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1"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1"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1"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1"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1"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1"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1"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1"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1"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1"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1"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1"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1"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1"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1"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1"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1"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1"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1"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1"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1"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1"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1"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1"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1"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1"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1"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1"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1"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1"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1"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1"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1"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1"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1"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1"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1"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1"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1"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1"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1"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1"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1"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1"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1"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1"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1"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1"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1"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1"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1"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1"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1"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1"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1"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1"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1"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1"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1"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1"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1"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1"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1"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1"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1"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1"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1"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1"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1"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1"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1"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1"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1"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1"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1"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1"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1"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1"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1"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1"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1"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1"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1"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1"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1"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1"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1"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1"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1"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1"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1"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1"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1"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1"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1"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1"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1"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1"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1"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1"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1"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1"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1"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1"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1"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1"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1"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1"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1"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1"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1"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1"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1"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1"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1"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1"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1"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1"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1"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1"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1"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1"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1"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1"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1"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1"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1"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1"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1"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1"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1"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1"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1"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1"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1"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1"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1"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1"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1"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1"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1"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1"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1"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1"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1"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1"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1"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1"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1"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1"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1"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1"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1"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1"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1"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1"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1"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1"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1"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1"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1"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1"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1"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1"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1"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1"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1"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1"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1"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1"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1"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1"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1"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1"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1"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1"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1"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1"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1"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1"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1"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1"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1"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1"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1"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1"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1"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1"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1"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1"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1"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1"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1"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1"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1"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1"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1"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1"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1"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1"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1"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1"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1"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1"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1"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1"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1"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1"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1"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1"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1"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1"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1"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1"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1"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1"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1"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1"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1"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1"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1"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1"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1"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1"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1"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1"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1"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1"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1"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1"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1"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1"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1"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1"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1"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1"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1"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1"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1"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1"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1"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1"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1"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1"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1"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1"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1"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1"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1"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1"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1"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1"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1"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1"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1"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1"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1"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1"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1"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1"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1"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1"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1"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1"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1"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1"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1"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1"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1"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1"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1"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1"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1"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1"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1"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1"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1"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1"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1"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1"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1"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1"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1"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1"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1"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1"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1"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1"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1"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1"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1"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1"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1"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1"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1"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1"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1"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1"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1"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1"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1"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1"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1"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1"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1"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1"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1"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1"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1"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1"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1"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1"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1"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1"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1"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1"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1"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1"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1"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1"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1"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1"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1"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1"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1"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1"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1"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1"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1"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1"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1"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1"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1"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1"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1"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1"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1"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1"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1"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1"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1"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1"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1"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1"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1"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1"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1"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1"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1"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1"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1"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1"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1"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1"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1"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1"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1"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1"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1"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1"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1"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1"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1"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1"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1"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1"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1"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1"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1"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1"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1"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1"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1"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1"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1"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1"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1"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1"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1"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1"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1"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1"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1"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1"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1"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1"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1"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1"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1"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1"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1"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1"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1"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1"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1"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1"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1"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1"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1"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1"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1"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1"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1"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1"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1"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1"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1"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1"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1"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1"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1"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1"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1"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1"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1"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1"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1"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1"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1"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1"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1"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1"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1"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1"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1"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1"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1"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1"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1"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1"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1"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1"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1"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1"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1"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1"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1"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1"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1"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1"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1"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1"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1"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1"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1"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1"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1"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1"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1"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1"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1"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1"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1"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1"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1"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1"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1"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1"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1"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1"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1"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1"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1"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1"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1"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1"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1"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1"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1"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1"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1"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1"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1"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1"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1"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1"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1"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1"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1"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1"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1"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1"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1"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1"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1"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1"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1"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1"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1"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1"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1"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1"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1"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1"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1"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1"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1"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1"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1"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1"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1"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1"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1"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1"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1"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1"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1"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1"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1"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1"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1"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1"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1"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1"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1"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1"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1"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1"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1"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1"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1"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1"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1"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1"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1"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1"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1"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1"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1"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1"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1"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1"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1"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1"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1"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1"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1"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1"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1"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1"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1"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1"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1"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1"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1"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1"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1"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1"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1"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1"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1"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1"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1"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1"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1"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1"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1"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1"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1"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1"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1"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1"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1"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1"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1"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1"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1"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1"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1"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1"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1"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1"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1"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1"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1"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1"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1"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1"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1"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1"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1"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1"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1"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1"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1"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1"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1"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1"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1"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1"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1"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1"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1"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1"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1"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1"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1"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1"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1"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1"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1"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1"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1"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1"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1"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1"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1"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1"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1"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1"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1"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1"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1"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1"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1"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1"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1"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1"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1"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1"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1"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1"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1"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1"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1"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1"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1"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1"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1"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1"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1"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1"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1"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1"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1"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1"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1"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1"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1"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1"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1"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1"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1"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1"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1"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1"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1"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1"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1"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1"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1"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1"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1"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1"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1"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1"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1"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1"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1"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1"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1"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1"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1"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1"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1"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1"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1"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1"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1"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1"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1"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1"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2022-08-05T10:08:46Z</cp:lastPrinted>
  <dcterms:created xsi:type="dcterms:W3CDTF">2021-07-27T04:05:22Z</dcterms:created>
  <dcterms:modified xsi:type="dcterms:W3CDTF">2022-08-05T10:09:16Z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