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" sheetId="1" r:id="rId4"/>
    <sheet state="visible" name="Configurations" sheetId="2" r:id="rId5"/>
    <sheet state="visible" name="Structures" sheetId="3" r:id="rId6"/>
    <sheet state="visible" name="Load Cases" sheetId="4" r:id="rId7"/>
    <sheet state="visible" name="Aerodynamics" sheetId="5" r:id="rId8"/>
    <sheet state="visible" name="Controls" sheetId="6" r:id="rId9"/>
    <sheet state="visible" name="Controls Script Values" sheetId="7" r:id="rId10"/>
    <sheet state="visible" name="Propulsion" sheetId="8" r:id="rId11"/>
    <sheet state="visible" name="Optimizer" sheetId="9" r:id="rId12"/>
    <sheet state="visible" name="Reference Aircraft" sheetId="10" r:id="rId13"/>
  </sheets>
  <definedNames/>
  <calcPr/>
</workbook>
</file>

<file path=xl/sharedStrings.xml><?xml version="1.0" encoding="utf-8"?>
<sst xmlns="http://schemas.openxmlformats.org/spreadsheetml/2006/main" count="809" uniqueCount="454">
  <si>
    <t>Aero performance reqmts</t>
  </si>
  <si>
    <t>Requirement</t>
  </si>
  <si>
    <t>Notes</t>
  </si>
  <si>
    <t>yaw authority</t>
  </si>
  <si>
    <t>yes</t>
  </si>
  <si>
    <t>roll-rate (aero)</t>
  </si>
  <si>
    <t>360 º/s</t>
  </si>
  <si>
    <t>28 m/revolution @ 55kts</t>
  </si>
  <si>
    <t>loop-radius (aero)</t>
  </si>
  <si>
    <t>10 m</t>
  </si>
  <si>
    <t>Post-stall maneuvering</t>
  </si>
  <si>
    <t>pitch rate/authority</t>
  </si>
  <si>
    <t>roll rate/authority</t>
  </si>
  <si>
    <t>yaw rate/authority</t>
  </si>
  <si>
    <t>Other Req.</t>
  </si>
  <si>
    <t>Takes off from runway</t>
  </si>
  <si>
    <t>Thrust to Weight</t>
  </si>
  <si>
    <t>1.1 at 0 kt. airspeed</t>
  </si>
  <si>
    <t>Airspeed min and max</t>
  </si>
  <si>
    <t>Endurance</t>
  </si>
  <si>
    <t>30 min @ 55 knot cruise + 5 min max power</t>
  </si>
  <si>
    <t>Wing</t>
  </si>
  <si>
    <t>value</t>
  </si>
  <si>
    <t>units</t>
  </si>
  <si>
    <t>Area</t>
  </si>
  <si>
    <t>m^2</t>
  </si>
  <si>
    <t>Aspect Ratio</t>
  </si>
  <si>
    <t>-</t>
  </si>
  <si>
    <t>Span</t>
  </si>
  <si>
    <t>m</t>
  </si>
  <si>
    <t>Taper Ratio</t>
  </si>
  <si>
    <t>Root Chord</t>
  </si>
  <si>
    <t>Tip Chord</t>
  </si>
  <si>
    <t>Airfoil</t>
  </si>
  <si>
    <t>NACA 0015</t>
  </si>
  <si>
    <t>Aileron Length</t>
  </si>
  <si>
    <t>Root thickness</t>
  </si>
  <si>
    <t>Tip thickness</t>
  </si>
  <si>
    <t>Horiz. Tail</t>
  </si>
  <si>
    <t>Average Chord</t>
  </si>
  <si>
    <t>NACA 0012</t>
  </si>
  <si>
    <t>Root Thickness</t>
  </si>
  <si>
    <t>Tip Thickness</t>
  </si>
  <si>
    <t>Vert Tail</t>
  </si>
  <si>
    <t>Fuselage</t>
  </si>
  <si>
    <t>Length origin to tail LE</t>
  </si>
  <si>
    <t>Cockpit Width</t>
  </si>
  <si>
    <t>Wing Motors</t>
  </si>
  <si>
    <t>Number on Wing</t>
  </si>
  <si>
    <t>Prop Radius</t>
  </si>
  <si>
    <t>Prop Diameter</t>
  </si>
  <si>
    <t>Tail Motors</t>
  </si>
  <si>
    <t>Number on Tail</t>
  </si>
  <si>
    <t>Masses</t>
  </si>
  <si>
    <t>Batteries</t>
  </si>
  <si>
    <t>kg</t>
  </si>
  <si>
    <t>Motors</t>
  </si>
  <si>
    <t>Bending Stress - Spar D tube</t>
  </si>
  <si>
    <t>allowable</t>
  </si>
  <si>
    <t>factor of safety</t>
  </si>
  <si>
    <t>Bending Stress Landing Gear- (all three wheels</t>
  </si>
  <si>
    <t>Get Applied Stress</t>
  </si>
  <si>
    <t>Speed</t>
  </si>
  <si>
    <t>m/s</t>
  </si>
  <si>
    <t># of g's</t>
  </si>
  <si>
    <t>Force Load</t>
  </si>
  <si>
    <t>N (assuming Cl of 1 for Lift of wing generated)</t>
  </si>
  <si>
    <t>Load</t>
  </si>
  <si>
    <t>Half Span "b/2"</t>
  </si>
  <si>
    <t xml:space="preserve">m </t>
  </si>
  <si>
    <t>half span</t>
  </si>
  <si>
    <t>Average chord length "c"</t>
  </si>
  <si>
    <t>m (from span/AR)</t>
  </si>
  <si>
    <t>dist to neutral axis "c"</t>
  </si>
  <si>
    <t>avg chord</t>
  </si>
  <si>
    <t>Height of wing "H"</t>
  </si>
  <si>
    <t>m ***</t>
  </si>
  <si>
    <t>Estimated spar thickness</t>
  </si>
  <si>
    <t>2 mm thick</t>
  </si>
  <si>
    <t>** unsure about chord scaling factor? answer is about 1/3 of total enclosed area</t>
  </si>
  <si>
    <t>Spar Cap width "h"</t>
  </si>
  <si>
    <t>m******</t>
  </si>
  <si>
    <t>moment of inertia for both /d</t>
  </si>
  <si>
    <t>spar thickness x c^2/d)*2</t>
  </si>
  <si>
    <t>Moment of Inertia of Beam</t>
  </si>
  <si>
    <t>m^4 (spar caps are not through the full chord)</t>
  </si>
  <si>
    <t xml:space="preserve">Moment </t>
  </si>
  <si>
    <t>divided by 2 distributed load</t>
  </si>
  <si>
    <t>Moment (distributed load)</t>
  </si>
  <si>
    <t>N*m  (https://mechanicalc.com/reference/beam-analysis)</t>
  </si>
  <si>
    <t>Get "d" len of spar caps</t>
  </si>
  <si>
    <t>Safety Factor</t>
  </si>
  <si>
    <t>in</t>
  </si>
  <si>
    <t xml:space="preserve">Bending Stress </t>
  </si>
  <si>
    <t>Pa</t>
  </si>
  <si>
    <t>Torsional Bending Stress - Spar D tube - 90 AoA</t>
  </si>
  <si>
    <t>Bending Stress of Carbon Fiber</t>
  </si>
  <si>
    <t>Pa 2 mm</t>
  </si>
  <si>
    <t>Air density</t>
  </si>
  <si>
    <t>SL density</t>
  </si>
  <si>
    <t>Velocity</t>
  </si>
  <si>
    <t>Wing Area</t>
  </si>
  <si>
    <t>CD of Flat plate</t>
  </si>
  <si>
    <t>Drag, assumign 90 AoA</t>
  </si>
  <si>
    <t>moment arm</t>
  </si>
  <si>
    <t>from 25% chord - COP (avg chord)</t>
  </si>
  <si>
    <t>Torque</t>
  </si>
  <si>
    <t>Nm</t>
  </si>
  <si>
    <t>Area Enclosed</t>
  </si>
  <si>
    <t>thickness</t>
  </si>
  <si>
    <t>m thickness</t>
  </si>
  <si>
    <t xml:space="preserve">Torsional Stress </t>
  </si>
  <si>
    <t>converts shear to axial</t>
  </si>
  <si>
    <t xml:space="preserve">Bending Stress HTail - Case 1 </t>
  </si>
  <si>
    <t xml:space="preserve">convert torsion to tensile load, </t>
  </si>
  <si>
    <t>Torsional Bending Stress - HTail on 90 degree AoA</t>
  </si>
  <si>
    <t>N (3000 comes from Pitch Reqs.)</t>
  </si>
  <si>
    <t>Drag</t>
  </si>
  <si>
    <t>Total Stress</t>
  </si>
  <si>
    <t>bending + torsion</t>
  </si>
  <si>
    <t>Safety Margin</t>
  </si>
  <si>
    <t>Safety Margin w/ 1.4 FS</t>
  </si>
  <si>
    <t>(Allowable/Applied*FS) - 1</t>
  </si>
  <si>
    <t>Bending Stress - Case 1</t>
  </si>
  <si>
    <t>Bending Stress HTail - Case 2 (90 AoA)</t>
  </si>
  <si>
    <t>Thrust Force "F"</t>
  </si>
  <si>
    <t>N (weight in kg*9.8) x 6g's /2</t>
  </si>
  <si>
    <t xml:space="preserve">N </t>
  </si>
  <si>
    <t>Total chord length "c"</t>
  </si>
  <si>
    <t>Height of wing "h"</t>
  </si>
  <si>
    <t>m (thickness to chord ratio used to find)</t>
  </si>
  <si>
    <t>Dist to neutral axis</t>
  </si>
  <si>
    <t>Moment "M"</t>
  </si>
  <si>
    <t>N*m (distributed load)</t>
  </si>
  <si>
    <t>Area Mom. Inertia "I" outer</t>
  </si>
  <si>
    <t>m^4</t>
  </si>
  <si>
    <t>Area Mom. Inertia "I" inner</t>
  </si>
  <si>
    <t>m^4 (thickness of 2mm)</t>
  </si>
  <si>
    <t>Total Area Mom Inertia</t>
  </si>
  <si>
    <t>Bending stress of Carbon Fiber</t>
  </si>
  <si>
    <t>Hello Professor Hall,</t>
  </si>
  <si>
    <t>assume TWR = 1</t>
  </si>
  <si>
    <t>2mm thick base</t>
  </si>
  <si>
    <t>2mm thick height</t>
  </si>
  <si>
    <t>Best,</t>
  </si>
  <si>
    <t>Bending Stress - Case 2</t>
  </si>
  <si>
    <t>m (smallest part)</t>
  </si>
  <si>
    <t>Pa 1 mm</t>
  </si>
  <si>
    <t>Bending Stress Vtail- Case 1 ( Yaw Roll)</t>
  </si>
  <si>
    <t>Weight of Main Wing</t>
  </si>
  <si>
    <t>Weight of Tail Wing</t>
  </si>
  <si>
    <t>Horiz. Area</t>
  </si>
  <si>
    <t>DBox Half-Circumference</t>
  </si>
  <si>
    <t>Horiz. Ave Chord</t>
  </si>
  <si>
    <t>Horiz. Volume</t>
  </si>
  <si>
    <t>m^3</t>
  </si>
  <si>
    <t>Tip Circumference</t>
  </si>
  <si>
    <t>Vert. Area</t>
  </si>
  <si>
    <t xml:space="preserve">Wing Skin Thickness </t>
  </si>
  <si>
    <t>Vert. Ave Chord</t>
  </si>
  <si>
    <t>Spar Cap Thickness</t>
  </si>
  <si>
    <t>Vert. Volume</t>
  </si>
  <si>
    <t>Spar Thickness</t>
  </si>
  <si>
    <t>CF Density</t>
  </si>
  <si>
    <t>kg/m^3</t>
  </si>
  <si>
    <t>Spar Length</t>
  </si>
  <si>
    <t>Total Weight</t>
  </si>
  <si>
    <t>Skin Volume</t>
  </si>
  <si>
    <t>Spar Volume</t>
  </si>
  <si>
    <t>Weight of Fuselage</t>
  </si>
  <si>
    <t>Passenger SA</t>
  </si>
  <si>
    <t xml:space="preserve">Safety Margin </t>
  </si>
  <si>
    <t>Passenger Vol</t>
  </si>
  <si>
    <t>Integrated I Beam</t>
  </si>
  <si>
    <t>CF Skin Thickness</t>
  </si>
  <si>
    <t>Torsional Stress Vtail- (Max Rudder Deflection)</t>
  </si>
  <si>
    <t>Center of Mass</t>
  </si>
  <si>
    <t>Mass (kg)</t>
  </si>
  <si>
    <t>x-position (m)</t>
  </si>
  <si>
    <t>Mass contribution (m*kg)</t>
  </si>
  <si>
    <t>Pilot</t>
  </si>
  <si>
    <t>Primary Motors</t>
  </si>
  <si>
    <t>Primary Wing</t>
  </si>
  <si>
    <t>Stablizer Motors</t>
  </si>
  <si>
    <t>Tail Wing</t>
  </si>
  <si>
    <t>Structures</t>
  </si>
  <si>
    <t>Total</t>
  </si>
  <si>
    <t>Item</t>
  </si>
  <si>
    <t>Main Wing</t>
  </si>
  <si>
    <t>z-position (m)</t>
  </si>
  <si>
    <t>Tail Surfaces</t>
  </si>
  <si>
    <t>Tail Motor</t>
  </si>
  <si>
    <t>Landing Gear</t>
  </si>
  <si>
    <t>Seat</t>
  </si>
  <si>
    <t>Avionics</t>
  </si>
  <si>
    <t>Misc. Structures</t>
  </si>
  <si>
    <t>Desired (CoT)</t>
  </si>
  <si>
    <t>Load Case</t>
  </si>
  <si>
    <t>Value</t>
  </si>
  <si>
    <t>Unit</t>
  </si>
  <si>
    <t>Drag at 90 AoA</t>
  </si>
  <si>
    <t>N</t>
  </si>
  <si>
    <t>WORKING CDR VALUES:</t>
  </si>
  <si>
    <t>UPDATED 11/01: 11pm</t>
  </si>
  <si>
    <t>Units</t>
  </si>
  <si>
    <t>DRAG BUILDUP:</t>
  </si>
  <si>
    <t>Airfoil Parameters</t>
  </si>
  <si>
    <t>CODR Value</t>
  </si>
  <si>
    <t>Explanation</t>
  </si>
  <si>
    <t>PDR Value</t>
  </si>
  <si>
    <t>Neutral Point Estimation: x_np</t>
  </si>
  <si>
    <t>Induced Drag Coefficient: CD_i</t>
  </si>
  <si>
    <t>&lt;- this is for cruise conditions from AVL. Induced drag changes a lot over aoa</t>
  </si>
  <si>
    <t>Shape</t>
  </si>
  <si>
    <t>Naca 0015</t>
  </si>
  <si>
    <t>Symmetric w/ good space for spar</t>
  </si>
  <si>
    <t>Symmetric w/ space for spar</t>
  </si>
  <si>
    <t>Center of Gravity Estimation: x_cg</t>
  </si>
  <si>
    <t>Parasite Drag Coefficient: CD_0</t>
  </si>
  <si>
    <t>for cruise in openVSP</t>
  </si>
  <si>
    <t>Flap Location</t>
  </si>
  <si>
    <t>(0.7 , 0)</t>
  </si>
  <si>
    <t>No Particular reason except to slow separation</t>
  </si>
  <si>
    <t>Avg Wing Chord: c</t>
  </si>
  <si>
    <t>Total Drag Coefficient: CD</t>
  </si>
  <si>
    <t>Flap Deflection</t>
  </si>
  <si>
    <t>Wing root chord: cr</t>
  </si>
  <si>
    <t>Total Drag</t>
  </si>
  <si>
    <t>C_L flaps (a = 0)</t>
  </si>
  <si>
    <t>Xfoil, Re = 1e7</t>
  </si>
  <si>
    <t>Wing tip chord: ct</t>
  </si>
  <si>
    <t>Total Drag + Margin</t>
  </si>
  <si>
    <t>L/D flaps (a = 0)</t>
  </si>
  <si>
    <t>Wing Aspect Ratio: AR</t>
  </si>
  <si>
    <t>C_L no flap (a = 5)</t>
  </si>
  <si>
    <t>Wing Area: S</t>
  </si>
  <si>
    <t>Power @ 28m/s = D * V_inf</t>
  </si>
  <si>
    <t>W</t>
  </si>
  <si>
    <t>L/D no flaps (a = 5)</t>
  </si>
  <si>
    <t>Wing Span: b</t>
  </si>
  <si>
    <t>Flaperons?</t>
  </si>
  <si>
    <t>Horizontal Tail Area: Sh</t>
  </si>
  <si>
    <t>L/D</t>
  </si>
  <si>
    <t>Vertical Tail Area: Sv</t>
  </si>
  <si>
    <t>Horizontal Tail Aspect Ratio: ARh</t>
  </si>
  <si>
    <t>Vertical Tail Aspect Ratio: ARv</t>
  </si>
  <si>
    <t>Horizontal Tail Volume Coeff: Vh</t>
  </si>
  <si>
    <t>Consider from 0.3-0.6</t>
  </si>
  <si>
    <t>Veritcal Tail Volume Coefficient: Vv</t>
  </si>
  <si>
    <t>Consider from 0.03-0.08</t>
  </si>
  <si>
    <t>HT/VT Moment arm Estimation: l</t>
  </si>
  <si>
    <t>Horizontal Tail Span</t>
  </si>
  <si>
    <t>Vertical Tail Span</t>
  </si>
  <si>
    <t>Stability Margin Caclulation</t>
  </si>
  <si>
    <t>SM Stability Margin</t>
  </si>
  <si>
    <t>Consider from +0.05 to 0.15</t>
  </si>
  <si>
    <t xml:space="preserve">AVL Neutral Point: x_np </t>
  </si>
  <si>
    <t>x_cgmax</t>
  </si>
  <si>
    <t>x_cgmin</t>
  </si>
  <si>
    <t>For other teams looking at this sheet: These are just values that the control team's analysis and optimization scripts use. Please do not edit anything here without letting us know</t>
  </si>
  <si>
    <t>Geometry/ Other Values needed for scripts</t>
  </si>
  <si>
    <t>Variable Name</t>
  </si>
  <si>
    <t>Source</t>
  </si>
  <si>
    <t>Main Wing S_ref</t>
  </si>
  <si>
    <t>S_ref</t>
  </si>
  <si>
    <t>Configurations sheet</t>
  </si>
  <si>
    <t>Main Wing Span</t>
  </si>
  <si>
    <t>b</t>
  </si>
  <si>
    <t>CL_max</t>
  </si>
  <si>
    <t>Cl_max</t>
  </si>
  <si>
    <t>Aerodynamics Sheet</t>
  </si>
  <si>
    <t>Total Mass</t>
  </si>
  <si>
    <t>plane_mass</t>
  </si>
  <si>
    <t>Wing Mass</t>
  </si>
  <si>
    <t>wing_mass</t>
  </si>
  <si>
    <t>Structures Sheet</t>
  </si>
  <si>
    <t>Fuselage Mass</t>
  </si>
  <si>
    <t>fuse_mass</t>
  </si>
  <si>
    <t>Fuselage Radius</t>
  </si>
  <si>
    <t>fuse_radius</t>
  </si>
  <si>
    <t>g</t>
  </si>
  <si>
    <t>Manual Entry</t>
  </si>
  <si>
    <t>Wing Moment of Inertia (Roll)</t>
  </si>
  <si>
    <t>I_wing</t>
  </si>
  <si>
    <t xml:space="preserve">Calculation </t>
  </si>
  <si>
    <t>Fuselage Moment of Inertia (Roll)</t>
  </si>
  <si>
    <t>I_fuse</t>
  </si>
  <si>
    <t>Plane Momment of Inertia (Roll)</t>
  </si>
  <si>
    <t>I_xx</t>
  </si>
  <si>
    <t>Flat Plate Cd (Tail)</t>
  </si>
  <si>
    <t>Cd_tail_roll</t>
  </si>
  <si>
    <t xml:space="preserve">Manual Entry </t>
  </si>
  <si>
    <t>Tail S_ref</t>
  </si>
  <si>
    <t>S_ref_tail</t>
  </si>
  <si>
    <t>Configurations Sheet</t>
  </si>
  <si>
    <t>rho</t>
  </si>
  <si>
    <t>Average Quarter Chord</t>
  </si>
  <si>
    <t>av_quarter_chord</t>
  </si>
  <si>
    <t xml:space="preserve">Root Chord </t>
  </si>
  <si>
    <t>c_r</t>
  </si>
  <si>
    <t>c_t</t>
  </si>
  <si>
    <t>b_htail</t>
  </si>
  <si>
    <t>Horizontal Tail Chord</t>
  </si>
  <si>
    <t>c_htail</t>
  </si>
  <si>
    <t>b_vtail</t>
  </si>
  <si>
    <t>Vertical Tail Chord</t>
  </si>
  <si>
    <t>c_vtail</t>
  </si>
  <si>
    <t>Horizontal and Vertical Tail Leading Edge Location</t>
  </si>
  <si>
    <t>le_tail</t>
  </si>
  <si>
    <t>Fuselage Tip to Leadin Edge</t>
  </si>
  <si>
    <t>tip_to_le</t>
  </si>
  <si>
    <t>Fuselage Width</t>
  </si>
  <si>
    <t>fuse_width</t>
  </si>
  <si>
    <t>Leading Edge to end of Tail Distance</t>
  </si>
  <si>
    <t>le_to_tail</t>
  </si>
  <si>
    <t>Total Fuselage Length</t>
  </si>
  <si>
    <t>fuse_length</t>
  </si>
  <si>
    <t>pilot_mass</t>
  </si>
  <si>
    <t>battery_mass</t>
  </si>
  <si>
    <t>tail_motor_mass</t>
  </si>
  <si>
    <t>structures_mass</t>
  </si>
  <si>
    <t>pilot_loc</t>
  </si>
  <si>
    <t>pilot_z_loc</t>
  </si>
  <si>
    <t>battery_loc</t>
  </si>
  <si>
    <t>primary_motor_loc</t>
  </si>
  <si>
    <t>primary_motor_z_loc</t>
  </si>
  <si>
    <t>wing_loc</t>
  </si>
  <si>
    <t>wing_z_loc</t>
  </si>
  <si>
    <t>tail_motor_loc</t>
  </si>
  <si>
    <t>tail_surfaces_loc</t>
  </si>
  <si>
    <t>fuse_loc</t>
  </si>
  <si>
    <t>fuse_z_loc</t>
  </si>
  <si>
    <t>horiz_tail_mass</t>
  </si>
  <si>
    <t>vert_tail_mass</t>
  </si>
  <si>
    <t>horiz_tail_avchord</t>
  </si>
  <si>
    <t>vert_tail_avchord</t>
  </si>
  <si>
    <t>motor_mass</t>
  </si>
  <si>
    <t>total_loc</t>
  </si>
  <si>
    <t>landing_gear_mass</t>
  </si>
  <si>
    <t>landing_gear_loc</t>
  </si>
  <si>
    <t>avionics_mass</t>
  </si>
  <si>
    <t>avionics_loc</t>
  </si>
  <si>
    <t>control_cable_mass</t>
  </si>
  <si>
    <t>landing_gear_z_loc</t>
  </si>
  <si>
    <t>avionics_z_loc</t>
  </si>
  <si>
    <t>battery_z_loc</t>
  </si>
  <si>
    <t>tail_motor_z_loc</t>
  </si>
  <si>
    <t>Center of Gravity (x)</t>
  </si>
  <si>
    <t>x_cg</t>
  </si>
  <si>
    <t>Center of Gravity (y)</t>
  </si>
  <si>
    <t>y_cg</t>
  </si>
  <si>
    <t>Center of Gravity (z)</t>
  </si>
  <si>
    <t>z_cg</t>
  </si>
  <si>
    <t>tail_surfaces_z_loc</t>
  </si>
  <si>
    <t>batteries_z_loc</t>
  </si>
  <si>
    <t>Inputs</t>
  </si>
  <si>
    <t>Ouputs</t>
  </si>
  <si>
    <t>Resources</t>
  </si>
  <si>
    <t># Wing Rotors</t>
  </si>
  <si>
    <t># Tail Rotors</t>
  </si>
  <si>
    <t>Pshaft wing at speed</t>
  </si>
  <si>
    <t>Pshaft Tail at Speed</t>
  </si>
  <si>
    <t>Actuator Theory and Propulsive Efficiency</t>
  </si>
  <si>
    <t>https://web.mit.edu/16.unified/www/FALL/thermodynamics/notes/node86.html#:~:text=In%20practice%2C%20the%20propulsive%20efficiency,shown%20in%20the%20following%20section.</t>
  </si>
  <si>
    <t>Wing Hover Thrust N</t>
  </si>
  <si>
    <t>Tail Rotor Thrust (N)</t>
  </si>
  <si>
    <t>Preq total at Speed</t>
  </si>
  <si>
    <t>Preq Tail</t>
  </si>
  <si>
    <t>Sizing</t>
  </si>
  <si>
    <t>https://arc.aiaa.org/doi/pdf/10.2514/1.C035581</t>
  </si>
  <si>
    <t>Wing at Speed Thrust (N)</t>
  </si>
  <si>
    <t>Tail Rotor Radius</t>
  </si>
  <si>
    <t>Pshaft total Stationary</t>
  </si>
  <si>
    <t>Pshaft Tail Stationary</t>
  </si>
  <si>
    <t>Momentum Theory (Low Speed)</t>
  </si>
  <si>
    <t>https://en.wikipedia.org/wiki/Momentum_theory</t>
  </si>
  <si>
    <t>Wing Rotor Radius</t>
  </si>
  <si>
    <t>Preq total Stationary</t>
  </si>
  <si>
    <t>eta_batt</t>
  </si>
  <si>
    <t>Energy Required Total</t>
  </si>
  <si>
    <t>Specif Requirments</t>
  </si>
  <si>
    <t>J</t>
  </si>
  <si>
    <t>T/W=1.1 at 0 speed this sets max power</t>
  </si>
  <si>
    <t>PDR dry run State</t>
  </si>
  <si>
    <t>eta_esc</t>
  </si>
  <si>
    <t>motorWeight total</t>
  </si>
  <si>
    <t>we need 30 mins at 55 kts and 5 mins at max power above</t>
  </si>
  <si>
    <t>eta_motor</t>
  </si>
  <si>
    <t>battWeight total</t>
  </si>
  <si>
    <t>eta_fan</t>
  </si>
  <si>
    <t>battVolume total</t>
  </si>
  <si>
    <t>L</t>
  </si>
  <si>
    <t>u0 max</t>
  </si>
  <si>
    <t>blownSpeed avg</t>
  </si>
  <si>
    <t>Delta</t>
  </si>
  <si>
    <t>P Density Motor</t>
  </si>
  <si>
    <t>at max power and speed</t>
  </si>
  <si>
    <t>W/kg</t>
  </si>
  <si>
    <t>P Density esc</t>
  </si>
  <si>
    <t>E Density</t>
  </si>
  <si>
    <t>J/kg</t>
  </si>
  <si>
    <t>E Volume Density</t>
  </si>
  <si>
    <t>J/L</t>
  </si>
  <si>
    <t>E Reserve</t>
  </si>
  <si>
    <t>Tip Angle</t>
  </si>
  <si>
    <t>deg</t>
  </si>
  <si>
    <t>Max Tip RPM</t>
  </si>
  <si>
    <t>Propeller radius</t>
  </si>
  <si>
    <t>meters</t>
  </si>
  <si>
    <t>circumfrance</t>
  </si>
  <si>
    <t>Max Tip (Mach 0.5)</t>
  </si>
  <si>
    <t>Max RPM</t>
  </si>
  <si>
    <t>RPM</t>
  </si>
  <si>
    <t>Set Values</t>
  </si>
  <si>
    <t>Environment</t>
  </si>
  <si>
    <t>Set Altitude</t>
  </si>
  <si>
    <t>Air density, mu</t>
  </si>
  <si>
    <t>Aircraft Config</t>
  </si>
  <si>
    <t>Num Motors</t>
  </si>
  <si>
    <t>Num Wheels</t>
  </si>
  <si>
    <t>Takeoff distance</t>
  </si>
  <si>
    <t>Chair</t>
  </si>
  <si>
    <t>Motor</t>
  </si>
  <si>
    <t>kg/motor</t>
  </si>
  <si>
    <t>etc.</t>
  </si>
  <si>
    <t>Propulsion</t>
  </si>
  <si>
    <t>Battery Wh/kg</t>
  </si>
  <si>
    <t>W*h/kg</t>
  </si>
  <si>
    <t>Battery Specific Energy</t>
  </si>
  <si>
    <t>Propeller Diameter</t>
  </si>
  <si>
    <t>Propulsive efficiency</t>
  </si>
  <si>
    <t>Thrust Margin</t>
  </si>
  <si>
    <r>
      <rPr/>
      <t xml:space="preserve">**see </t>
    </r>
    <r>
      <rPr>
        <color rgb="FF1155CC"/>
        <u/>
      </rPr>
      <t>https://github.com/peterdsharpe/AeroSandbox/blob/master/aerosandbox/library/propulsion_electric.py</t>
    </r>
  </si>
  <si>
    <t>Aero</t>
  </si>
  <si>
    <t>Wing Profile Drag Coeffs.</t>
  </si>
  <si>
    <t>Wing Lift Coeffs.</t>
  </si>
  <si>
    <t>CL max 2D</t>
  </si>
  <si>
    <r>
      <rPr/>
      <t xml:space="preserve">**look at </t>
    </r>
    <r>
      <rPr>
        <color rgb="FF1155CC"/>
        <u/>
      </rPr>
      <t>https://github.com/peterdsharpe/AeroSandbox/blob/master/aerosandbox/library/mass_structural.py</t>
    </r>
  </si>
  <si>
    <t>Choose models for fuse, wing, controls surfaces, etc.</t>
  </si>
  <si>
    <t>Free Variables w/ Initial Guesses</t>
  </si>
  <si>
    <t>Battery</t>
  </si>
  <si>
    <t>MTOW</t>
  </si>
  <si>
    <t>Wing Root Chord</t>
  </si>
  <si>
    <t>Wing Taper</t>
  </si>
  <si>
    <t>Wing Span</t>
  </si>
  <si>
    <t>Fuselage Length</t>
  </si>
  <si>
    <t>H Stabilizer Chord</t>
  </si>
  <si>
    <t>H Stabilizer Span</t>
  </si>
  <si>
    <t>V Stabilizer Chord</t>
  </si>
  <si>
    <t>V Stabilizer Span</t>
  </si>
  <si>
    <t>Aircraft:</t>
  </si>
  <si>
    <t>F3P</t>
  </si>
  <si>
    <t>Edge 540</t>
  </si>
  <si>
    <t>Extra 330C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</si>
</sst>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00"/>
    <numFmt numFmtId="165" formatCode="0.0000"/>
    <numFmt numFmtId="166" formatCode="0.00000000000"/>
    <numFmt numFmtId="167" formatCode="0.00000E+00"/>
    <numFmt numFmtId="168" formatCode="0.00000000"/>
    <numFmt numFmtId="169" formatCode="0.00000"/>
    <numFmt numFmtId="170" formatCode="0.0000000"/>
    <numFmt numFmtId="171" formatCode="#,##0.0000"/>
  </numFmts>
  <fonts count="18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11.0"/>
      <color rgb="FF000000"/>
      <name val="Inconsolata"/>
    </font>
    <font>
      <sz val="11.0"/>
      <color rgb="FF000000"/>
      <name val="Arial"/>
      <scheme val="minor"/>
    </font>
    <font>
      <sz val="9.0"/>
      <color rgb="FFFFFFFF"/>
      <name val="Helvetica"/>
    </font>
    <font>
      <sz val="11.0"/>
      <color theme="1"/>
      <name val="Arial"/>
      <scheme val="minor"/>
    </font>
    <font>
      <sz val="11.0"/>
      <color rgb="FF1155CC"/>
      <name val="Inconsolata"/>
    </font>
    <font>
      <b/>
      <color theme="1"/>
      <name val="Arial"/>
    </font>
    <font>
      <color rgb="FF000000"/>
      <name val="Arial"/>
    </font>
    <font>
      <sz val="13.0"/>
      <color rgb="FF000000"/>
      <name val="Arial"/>
    </font>
    <font>
      <b/>
      <color rgb="FF000000"/>
      <name val="Roboto"/>
    </font>
    <font>
      <color rgb="FF000000"/>
      <name val="Arial"/>
      <scheme val="minor"/>
    </font>
    <font>
      <color rgb="FFFF0000"/>
      <name val="Arial"/>
      <scheme val="minor"/>
    </font>
    <font>
      <b/>
      <sz val="11.0"/>
      <color theme="1"/>
      <name val="Arial"/>
      <scheme val="minor"/>
    </font>
    <font>
      <u/>
      <color rgb="FF0000FF"/>
    </font>
    <font>
      <u/>
      <color rgb="FF0000FF"/>
    </font>
  </fonts>
  <fills count="1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1FFEB"/>
        <bgColor rgb="FFF1FFEB"/>
      </patternFill>
    </fill>
    <fill>
      <patternFill patternType="solid">
        <fgColor rgb="FFD9EAD3"/>
        <bgColor rgb="FFD9EAD3"/>
      </patternFill>
    </fill>
    <fill>
      <patternFill patternType="solid">
        <fgColor rgb="FFFBF7FF"/>
        <bgColor rgb="FFFBF7FF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34A853"/>
        <bgColor rgb="FF34A853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Font="1"/>
    <xf borderId="0" fillId="4" fontId="1" numFmtId="0" xfId="0" applyAlignment="1" applyFill="1" applyFont="1">
      <alignment readingOrder="0"/>
    </xf>
    <xf borderId="0" fillId="4" fontId="1" numFmtId="2" xfId="0" applyAlignment="1" applyFont="1" applyNumberFormat="1">
      <alignment readingOrder="0"/>
    </xf>
    <xf borderId="0" fillId="4" fontId="1" numFmtId="2" xfId="0" applyFont="1" applyNumberFormat="1"/>
    <xf borderId="0" fillId="4" fontId="1" numFmtId="164" xfId="0" applyFont="1" applyNumberFormat="1"/>
    <xf borderId="0" fillId="0" fontId="1" numFmtId="49" xfId="0" applyAlignment="1" applyFont="1" applyNumberFormat="1">
      <alignment horizontal="right" readingOrder="0"/>
    </xf>
    <xf borderId="0" fillId="4" fontId="1" numFmtId="164" xfId="0" applyAlignment="1" applyFont="1" applyNumberFormat="1">
      <alignment horizontal="right" readingOrder="0"/>
    </xf>
    <xf borderId="0" fillId="4" fontId="3" numFmtId="164" xfId="0" applyAlignment="1" applyFont="1" applyNumberFormat="1">
      <alignment horizontal="right" readingOrder="0" vertical="bottom"/>
    </xf>
    <xf borderId="0" fillId="4" fontId="0" numFmtId="2" xfId="0" applyFont="1" applyNumberFormat="1"/>
    <xf borderId="0" fillId="4" fontId="1" numFmtId="165" xfId="0" applyAlignment="1" applyFont="1" applyNumberFormat="1">
      <alignment horizontal="right" readingOrder="0"/>
    </xf>
    <xf borderId="0" fillId="5" fontId="4" numFmtId="0" xfId="0" applyFill="1" applyFont="1"/>
    <xf borderId="0" fillId="6" fontId="3" numFmtId="0" xfId="0" applyAlignment="1" applyFill="1" applyFont="1">
      <alignment readingOrder="0" vertical="bottom"/>
    </xf>
    <xf borderId="0" fillId="6" fontId="3" numFmtId="2" xfId="0" applyAlignment="1" applyFont="1" applyNumberFormat="1">
      <alignment vertical="bottom"/>
    </xf>
    <xf borderId="0" fillId="6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2" xfId="0" applyAlignment="1" applyFont="1" applyNumberFormat="1">
      <alignment horizontal="center" readingOrder="0" vertical="bottom"/>
    </xf>
    <xf borderId="0" fillId="0" fontId="3" numFmtId="0" xfId="0" applyAlignment="1" applyFont="1">
      <alignment vertical="bottom"/>
    </xf>
    <xf borderId="0" fillId="6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readingOrder="0" vertical="bottom"/>
    </xf>
    <xf borderId="0" fillId="7" fontId="3" numFmtId="2" xfId="0" applyAlignment="1" applyFont="1" applyNumberFormat="1">
      <alignment horizontal="center" readingOrder="0" vertical="bottom"/>
    </xf>
    <xf borderId="0" fillId="7" fontId="3" numFmtId="0" xfId="0" applyAlignment="1" applyFont="1">
      <alignment vertical="bottom"/>
    </xf>
    <xf borderId="0" fillId="5" fontId="5" numFmtId="2" xfId="0" applyFont="1" applyNumberFormat="1"/>
    <xf borderId="0" fillId="0" fontId="3" numFmtId="164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3" numFmtId="166" xfId="0" applyAlignment="1" applyFont="1" applyNumberFormat="1">
      <alignment horizontal="center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readingOrder="0" vertical="bottom"/>
    </xf>
    <xf borderId="0" fillId="0" fontId="3" numFmtId="2" xfId="0" applyAlignment="1" applyFont="1" applyNumberFormat="1">
      <alignment horizontal="center" vertical="bottom"/>
    </xf>
    <xf borderId="0" fillId="8" fontId="3" numFmtId="0" xfId="0" applyAlignment="1" applyFill="1" applyFont="1">
      <alignment readingOrder="0" vertical="bottom"/>
    </xf>
    <xf borderId="0" fillId="8" fontId="3" numFmtId="167" xfId="0" applyAlignment="1" applyFont="1" applyNumberFormat="1">
      <alignment horizontal="center" vertical="bottom"/>
    </xf>
    <xf borderId="0" fillId="8" fontId="3" numFmtId="11" xfId="0" applyAlignment="1" applyFont="1" applyNumberFormat="1">
      <alignment horizontal="center" readingOrder="0" vertical="bottom"/>
    </xf>
    <xf borderId="0" fillId="0" fontId="1" numFmtId="166" xfId="0" applyAlignment="1" applyFont="1" applyNumberFormat="1">
      <alignment horizontal="center"/>
    </xf>
    <xf borderId="0" fillId="0" fontId="3" numFmtId="11" xfId="0" applyAlignment="1" applyFont="1" applyNumberFormat="1">
      <alignment horizontal="center" readingOrder="0" vertical="bottom"/>
    </xf>
    <xf borderId="0" fillId="9" fontId="3" numFmtId="11" xfId="0" applyAlignment="1" applyFill="1" applyFont="1" applyNumberFormat="1">
      <alignment horizontal="center" readingOrder="0" vertical="bottom"/>
    </xf>
    <xf borderId="0" fillId="9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168" xfId="0" applyAlignment="1" applyFont="1" applyNumberFormat="1">
      <alignment horizontal="center" readingOrder="0" vertical="bottom"/>
    </xf>
    <xf borderId="0" fillId="8" fontId="3" numFmtId="2" xfId="0" applyAlignment="1" applyFont="1" applyNumberFormat="1">
      <alignment horizontal="center" vertical="bottom"/>
    </xf>
    <xf borderId="0" fillId="6" fontId="1" numFmtId="0" xfId="0" applyFont="1"/>
    <xf borderId="0" fillId="5" fontId="5" numFmtId="2" xfId="0" applyAlignment="1" applyFont="1" applyNumberFormat="1">
      <alignment readingOrder="0"/>
    </xf>
    <xf borderId="0" fillId="6" fontId="3" numFmtId="2" xfId="0" applyAlignment="1" applyFont="1" applyNumberFormat="1">
      <alignment horizontal="center" vertical="bottom"/>
    </xf>
    <xf borderId="0" fillId="0" fontId="3" numFmtId="2" xfId="0" applyAlignment="1" applyFont="1" applyNumberFormat="1">
      <alignment vertical="bottom"/>
    </xf>
    <xf borderId="0" fillId="8" fontId="3" numFmtId="0" xfId="0" applyAlignment="1" applyFont="1">
      <alignment vertical="bottom"/>
    </xf>
    <xf borderId="0" fillId="0" fontId="3" numFmtId="167" xfId="0" applyAlignment="1" applyFont="1" applyNumberFormat="1">
      <alignment horizontal="center" vertical="bottom"/>
    </xf>
    <xf borderId="0" fillId="9" fontId="3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1" numFmtId="2" xfId="0" applyFont="1" applyNumberFormat="1"/>
    <xf borderId="0" fillId="0" fontId="5" numFmtId="2" xfId="0" applyAlignment="1" applyFont="1" applyNumberFormat="1">
      <alignment readingOrder="0"/>
    </xf>
    <xf borderId="0" fillId="0" fontId="7" numFmtId="2" xfId="0" applyFont="1" applyNumberFormat="1"/>
    <xf borderId="0" fillId="5" fontId="8" numFmtId="0" xfId="0" applyFont="1"/>
    <xf borderId="0" fillId="6" fontId="9" numFmtId="0" xfId="0" applyAlignment="1" applyFont="1">
      <alignment readingOrder="0" vertical="bottom"/>
    </xf>
    <xf borderId="0" fillId="6" fontId="3" numFmtId="2" xfId="0" applyAlignment="1" applyFont="1" applyNumberFormat="1">
      <alignment readingOrder="0" vertical="bottom"/>
    </xf>
    <xf borderId="0" fillId="0" fontId="1" numFmtId="169" xfId="0" applyFont="1" applyNumberFormat="1"/>
    <xf borderId="0" fillId="0" fontId="1" numFmtId="169" xfId="0" applyAlignment="1" applyFont="1" applyNumberFormat="1">
      <alignment readingOrder="0"/>
    </xf>
    <xf borderId="0" fillId="8" fontId="3" numFmtId="2" xfId="0" applyAlignment="1" applyFont="1" applyNumberFormat="1">
      <alignment vertical="bottom"/>
    </xf>
    <xf borderId="0" fillId="9" fontId="3" numFmtId="0" xfId="0" applyAlignment="1" applyFont="1">
      <alignment shrinkToFit="0" vertical="bottom" wrapText="0"/>
    </xf>
    <xf borderId="0" fillId="9" fontId="3" numFmtId="11" xfId="0" applyAlignment="1" applyFont="1" applyNumberFormat="1">
      <alignment vertical="bottom"/>
    </xf>
    <xf borderId="0" fillId="0" fontId="1" numFmtId="2" xfId="0" applyAlignment="1" applyFont="1" applyNumberFormat="1">
      <alignment readingOrder="0"/>
    </xf>
    <xf borderId="0" fillId="0" fontId="10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0" fillId="6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6" fontId="2" numFmtId="2" xfId="0" applyAlignment="1" applyFont="1" applyNumberFormat="1">
      <alignment readingOrder="0"/>
    </xf>
    <xf borderId="0" fillId="0" fontId="11" numFmtId="0" xfId="0" applyAlignment="1" applyFont="1">
      <alignment horizontal="center" readingOrder="0"/>
    </xf>
    <xf borderId="0" fillId="8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10" fontId="2" numFmtId="0" xfId="0" applyAlignment="1" applyFill="1" applyFont="1">
      <alignment readingOrder="0"/>
    </xf>
    <xf borderId="0" fillId="10" fontId="2" numFmtId="0" xfId="0" applyAlignment="1" applyFont="1">
      <alignment horizontal="left" readingOrder="0"/>
    </xf>
    <xf borderId="0" fillId="10" fontId="1" numFmtId="0" xfId="0" applyFont="1"/>
    <xf borderId="0" fillId="0" fontId="9" numFmtId="0" xfId="0" applyAlignment="1" applyFont="1">
      <alignment readingOrder="0" shrinkToFit="0" vertical="bottom" wrapText="1"/>
    </xf>
    <xf borderId="0" fillId="5" fontId="2" numFmtId="0" xfId="0" applyAlignment="1" applyFont="1">
      <alignment readingOrder="0"/>
    </xf>
    <xf borderId="0" fillId="5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11" fontId="3" numFmtId="0" xfId="0" applyAlignment="1" applyFill="1" applyFont="1">
      <alignment readingOrder="0" shrinkToFit="0" vertical="bottom" wrapText="1"/>
    </xf>
    <xf borderId="0" fillId="11" fontId="3" numFmtId="0" xfId="0" applyAlignment="1" applyFont="1">
      <alignment horizontal="right" vertical="bottom"/>
    </xf>
    <xf borderId="0" fillId="11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8" fontId="3" numFmtId="0" xfId="0" applyAlignment="1" applyFont="1">
      <alignment readingOrder="0" shrinkToFit="0" vertical="bottom" wrapText="1"/>
    </xf>
    <xf borderId="0" fillId="8" fontId="3" numFmtId="0" xfId="0" applyAlignment="1" applyFont="1">
      <alignment horizontal="right" readingOrder="0" vertical="bottom"/>
    </xf>
    <xf borderId="0" fillId="0" fontId="1" numFmtId="0" xfId="0" applyAlignment="1" applyFont="1">
      <alignment horizontal="left"/>
    </xf>
    <xf borderId="0" fillId="11" fontId="3" numFmtId="0" xfId="0" applyAlignment="1" applyFont="1">
      <alignment shrinkToFit="0" vertical="bottom" wrapText="1"/>
    </xf>
    <xf borderId="0" fillId="11" fontId="1" numFmtId="0" xfId="0" applyFont="1"/>
    <xf borderId="0" fillId="8" fontId="9" numFmtId="0" xfId="0" applyAlignment="1" applyFont="1">
      <alignment shrinkToFit="0" vertical="bottom" wrapText="1"/>
    </xf>
    <xf borderId="0" fillId="11" fontId="9" numFmtId="0" xfId="0" applyAlignment="1" applyFont="1">
      <alignment shrinkToFit="0" vertical="bottom" wrapText="1"/>
    </xf>
    <xf borderId="0" fillId="11" fontId="3" numFmtId="0" xfId="0" applyAlignment="1" applyFont="1">
      <alignment horizontal="right" readingOrder="0" vertical="bottom"/>
    </xf>
    <xf borderId="0" fillId="5" fontId="1" numFmtId="1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5" fontId="12" numFmtId="0" xfId="0" applyAlignment="1" applyFont="1">
      <alignment readingOrder="0"/>
    </xf>
    <xf borderId="0" fillId="5" fontId="1" numFmtId="0" xfId="0" applyAlignment="1" applyFont="1">
      <alignment horizontal="left"/>
    </xf>
    <xf borderId="0" fillId="5" fontId="1" numFmtId="0" xfId="0" applyFont="1"/>
    <xf borderId="0" fillId="5" fontId="1" numFmtId="0" xfId="0" applyAlignment="1" applyFont="1">
      <alignment horizontal="left" readingOrder="0"/>
    </xf>
    <xf borderId="0" fillId="5" fontId="1" numFmtId="0" xfId="0" applyAlignment="1" applyFont="1">
      <alignment readingOrder="0"/>
    </xf>
    <xf borderId="0" fillId="11" fontId="3" numFmtId="170" xfId="0" applyAlignment="1" applyFont="1" applyNumberFormat="1">
      <alignment horizontal="right" vertical="bottom"/>
    </xf>
    <xf borderId="0" fillId="8" fontId="3" numFmtId="0" xfId="0" applyAlignment="1" applyFont="1">
      <alignment shrinkToFit="0" vertical="bottom" wrapText="1"/>
    </xf>
    <xf borderId="0" fillId="8" fontId="3" numFmtId="0" xfId="0" applyAlignment="1" applyFont="1">
      <alignment horizontal="right" vertical="bottom"/>
    </xf>
    <xf borderId="0" fillId="8" fontId="3" numFmtId="171" xfId="0" applyAlignment="1" applyFont="1" applyNumberFormat="1">
      <alignment vertical="bottom"/>
    </xf>
    <xf borderId="0" fillId="0" fontId="9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  <xf borderId="0" fillId="5" fontId="1" numFmtId="0" xfId="0" applyAlignment="1" applyFont="1">
      <alignment horizontal="left"/>
    </xf>
    <xf borderId="0" fillId="8" fontId="13" numFmtId="0" xfId="0" applyAlignment="1" applyFont="1">
      <alignment readingOrder="0"/>
    </xf>
    <xf borderId="0" fillId="11" fontId="1" numFmtId="169" xfId="0" applyAlignment="1" applyFont="1" applyNumberFormat="1">
      <alignment horizontal="right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 readingOrder="0"/>
    </xf>
    <xf borderId="0" fillId="0" fontId="1" numFmtId="0" xfId="0" applyAlignment="1" applyFont="1">
      <alignment horizontal="left" readingOrder="0"/>
    </xf>
    <xf borderId="0" fillId="12" fontId="1" numFmtId="0" xfId="0" applyAlignment="1" applyFill="1" applyFont="1">
      <alignment horizontal="left" readingOrder="0"/>
    </xf>
    <xf borderId="0" fillId="0" fontId="1" numFmtId="2" xfId="0" applyAlignment="1" applyFont="1" applyNumberFormat="1">
      <alignment horizontal="center" readingOrder="0"/>
    </xf>
    <xf borderId="0" fillId="0" fontId="1" numFmtId="169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/>
    </xf>
    <xf borderId="0" fillId="13" fontId="1" numFmtId="0" xfId="0" applyAlignment="1" applyFill="1" applyFont="1">
      <alignment horizontal="left" readingOrder="0"/>
    </xf>
    <xf borderId="0" fillId="1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5" fontId="10" numFmtId="0" xfId="0" applyAlignment="1" applyFont="1">
      <alignment horizontal="center" readingOrder="0"/>
    </xf>
    <xf borderId="0" fillId="0" fontId="14" numFmtId="0" xfId="0" applyFont="1"/>
    <xf borderId="0" fillId="12" fontId="13" numFmtId="0" xfId="0" applyAlignment="1" applyFont="1">
      <alignment horizontal="left" readingOrder="0"/>
    </xf>
    <xf borderId="0" fillId="14" fontId="10" numFmtId="0" xfId="0" applyAlignment="1" applyFill="1" applyFont="1">
      <alignment horizontal="left" readingOrder="0"/>
    </xf>
    <xf borderId="0" fillId="0" fontId="1" numFmtId="169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1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6" numFmtId="0" xfId="0" applyAlignment="1" applyFont="1">
      <alignment readingOrder="0"/>
    </xf>
    <xf borderId="0" fillId="5" fontId="4" numFmtId="0" xfId="0" applyFont="1"/>
    <xf borderId="0" fillId="0" fontId="17" numFmtId="0" xfId="0" applyAlignment="1" applyFont="1">
      <alignment readingOrder="0"/>
    </xf>
    <xf borderId="0" fillId="15" fontId="7" numFmtId="0" xfId="0" applyAlignment="1" applyFill="1" applyFont="1">
      <alignment readingOrder="0"/>
    </xf>
    <xf borderId="0" fillId="15" fontId="7" numFmtId="4" xfId="0" applyAlignment="1" applyFont="1" applyNumberFormat="1">
      <alignment readingOrder="0"/>
    </xf>
    <xf borderId="0" fillId="5" fontId="5" numFmtId="0" xfId="0" applyFont="1"/>
    <xf borderId="0" fillId="5" fontId="8" numFmtId="0" xfId="0" applyFont="1"/>
    <xf borderId="0" fillId="15" fontId="1" numFmtId="0" xfId="0" applyAlignment="1" applyFont="1">
      <alignment readingOrder="0"/>
    </xf>
    <xf borderId="0" fillId="0" fontId="1" numFmtId="4" xfId="0" applyFont="1" applyNumberFormat="1"/>
    <xf borderId="0" fillId="2" fontId="2" numFmtId="0" xfId="0" applyAlignment="1" applyFont="1">
      <alignment readingOrder="0"/>
    </xf>
    <xf borderId="0" fillId="2" fontId="1" numFmtId="0" xfId="0" applyFont="1"/>
    <xf borderId="0" fillId="16" fontId="2" numFmtId="0" xfId="0" applyAlignment="1" applyFill="1" applyFont="1">
      <alignment readingOrder="0"/>
    </xf>
    <xf borderId="0" fillId="16" fontId="1" numFmtId="0" xfId="0" applyFont="1"/>
    <xf borderId="0" fillId="16" fontId="1" numFmtId="0" xfId="0" applyAlignment="1" applyFont="1">
      <alignment readingOrder="0"/>
    </xf>
    <xf borderId="0" fillId="16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Requirements-style">
      <tableStyleElement dxfId="1" type="headerRow"/>
      <tableStyleElement dxfId="2" type="firstRowStripe"/>
      <tableStyleElement dxfId="3" type="secondRowStripe"/>
    </tableStyle>
    <tableStyle count="3" pivot="0" name="Aerodynamic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Mass Percentage Breakdown</a:t>
            </a:r>
          </a:p>
        </c:rich>
      </c:tx>
      <c:layout>
        <c:manualLayout>
          <c:xMode val="edge"/>
          <c:yMode val="edge"/>
          <c:x val="0.2824498177052669"/>
          <c:y val="0.06424942981546755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2905027932960894"/>
          <c:y val="0.12179487179487176"/>
          <c:w val="0.9458100558659218"/>
          <c:h val="0.8282051282051281"/>
        </c:manualLayout>
      </c:layout>
      <c:pie3DChart>
        <c:varyColors val="1"/>
        <c:ser>
          <c:idx val="0"/>
          <c:order val="0"/>
          <c:tx>
            <c:strRef>
              <c:f>Structures!$B$131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F897F"/>
              </a:solidFill>
            </c:spPr>
          </c:dPt>
          <c:dPt>
            <c:idx val="3"/>
            <c:spPr>
              <a:solidFill>
                <a:schemeClr val="accent5"/>
              </a:solidFill>
            </c:spPr>
          </c:dPt>
          <c:dPt>
            <c:idx val="4"/>
            <c:spPr>
              <a:solidFill>
                <a:srgbClr val="FFA461"/>
              </a:solidFill>
            </c:spPr>
          </c:dPt>
          <c:dPt>
            <c:idx val="5"/>
            <c:spPr>
              <a:solidFill>
                <a:schemeClr val="accent4"/>
              </a:solidFill>
            </c:spPr>
          </c:dPt>
          <c:dPt>
            <c:idx val="6"/>
            <c:spPr>
              <a:solidFill>
                <a:srgbClr val="666666"/>
              </a:solidFill>
            </c:spPr>
          </c:dPt>
          <c:dPt>
            <c:idx val="7"/>
            <c:spPr>
              <a:solidFill>
                <a:srgbClr val="999999"/>
              </a:solidFill>
            </c:spPr>
          </c:dPt>
          <c:dPt>
            <c:idx val="8"/>
            <c:spPr>
              <a:solidFill>
                <a:srgbClr val="B7B7B7"/>
              </a:solidFill>
            </c:spPr>
          </c:dPt>
          <c:dPt>
            <c:idx val="9"/>
            <c:spPr>
              <a:solidFill>
                <a:srgbClr val="CCCCCC"/>
              </a:solidFill>
            </c:spPr>
          </c:dPt>
          <c:dPt>
            <c:idx val="10"/>
            <c:spPr>
              <a:solidFill>
                <a:srgbClr val="CCCC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Structures!$A$132:$A$142</c:f>
            </c:strRef>
          </c:cat>
          <c:val>
            <c:numRef>
              <c:f>Structures!$B$132:$B$142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>
        <c:manualLayout>
          <c:xMode val="edge"/>
          <c:yMode val="edge"/>
          <c:x val="0.0"/>
          <c:y val="0.0019230769230769232"/>
        </c:manualLayout>
      </c:layout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6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4.png"/><Relationship Id="rId3" Type="http://schemas.openxmlformats.org/officeDocument/2006/relationships/image" Target="../media/image3.jpg"/><Relationship Id="rId4" Type="http://schemas.openxmlformats.org/officeDocument/2006/relationships/image" Target="../media/image4.jpg"/><Relationship Id="rId5" Type="http://schemas.openxmlformats.org/officeDocument/2006/relationships/image" Target="../media/image7.png"/><Relationship Id="rId6" Type="http://schemas.openxmlformats.org/officeDocument/2006/relationships/image" Target="../media/image9.png"/><Relationship Id="rId7" Type="http://schemas.openxmlformats.org/officeDocument/2006/relationships/image" Target="../media/image1.jpg"/><Relationship Id="rId8" Type="http://schemas.openxmlformats.org/officeDocument/2006/relationships/image" Target="../media/image1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0.png"/><Relationship Id="rId3" Type="http://schemas.openxmlformats.org/officeDocument/2006/relationships/image" Target="../media/image12.png"/><Relationship Id="rId4" Type="http://schemas.openxmlformats.org/officeDocument/2006/relationships/image" Target="../media/image8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914400</xdr:colOff>
      <xdr:row>0</xdr:row>
      <xdr:rowOff>180975</xdr:rowOff>
    </xdr:from>
    <xdr:ext cx="3962400" cy="58007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971550</xdr:colOff>
      <xdr:row>35</xdr:row>
      <xdr:rowOff>19050</xdr:rowOff>
    </xdr:from>
    <xdr:ext cx="4591050" cy="310515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714375</xdr:colOff>
      <xdr:row>123</xdr:row>
      <xdr:rowOff>19050</xdr:rowOff>
    </xdr:from>
    <xdr:ext cx="8134350" cy="4953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276225</xdr:colOff>
      <xdr:row>46</xdr:row>
      <xdr:rowOff>180975</xdr:rowOff>
    </xdr:from>
    <xdr:ext cx="1504950" cy="1171575"/>
    <xdr:grpSp>
      <xdr:nvGrpSpPr>
        <xdr:cNvPr id="2" name="Shape 2" title="Drawing"/>
        <xdr:cNvGrpSpPr/>
      </xdr:nvGrpSpPr>
      <xdr:grpSpPr>
        <a:xfrm>
          <a:off x="3078025" y="1227400"/>
          <a:ext cx="1490325" cy="1149300"/>
          <a:chOff x="3078025" y="1227400"/>
          <a:chExt cx="1490325" cy="1149300"/>
        </a:xfrm>
      </xdr:grpSpPr>
      <xdr:sp>
        <xdr:nvSpPr>
          <xdr:cNvPr id="3" name="Shape 3"/>
          <xdr:cNvSpPr/>
        </xdr:nvSpPr>
        <xdr:spPr>
          <a:xfrm>
            <a:off x="3078025" y="2065000"/>
            <a:ext cx="730500" cy="3117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4" name="Shape 4"/>
          <xdr:cNvCxnSpPr/>
        </xdr:nvCxnSpPr>
        <xdr:spPr>
          <a:xfrm flipH="1" rot="10800000">
            <a:off x="3078025" y="1227400"/>
            <a:ext cx="915600" cy="837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/>
        </xdr:nvCxnSpPr>
        <xdr:spPr>
          <a:xfrm flipH="1">
            <a:off x="3808450" y="1383175"/>
            <a:ext cx="759900" cy="681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6" name="Shape 6"/>
          <xdr:cNvCxnSpPr/>
        </xdr:nvCxnSpPr>
        <xdr:spPr>
          <a:xfrm flipH="1">
            <a:off x="3808450" y="1694800"/>
            <a:ext cx="759900" cy="681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4</xdr:col>
      <xdr:colOff>400050</xdr:colOff>
      <xdr:row>47</xdr:row>
      <xdr:rowOff>123825</xdr:rowOff>
    </xdr:from>
    <xdr:ext cx="1743075" cy="228600"/>
    <xdr:grpSp>
      <xdr:nvGrpSpPr>
        <xdr:cNvPr id="2" name="Shape 2" title="Drawing"/>
        <xdr:cNvGrpSpPr/>
      </xdr:nvGrpSpPr>
      <xdr:grpSpPr>
        <a:xfrm>
          <a:off x="2240350" y="1441600"/>
          <a:ext cx="1982875" cy="321600"/>
          <a:chOff x="2240350" y="1441600"/>
          <a:chExt cx="1982875" cy="321600"/>
        </a:xfrm>
      </xdr:grpSpPr>
      <xdr:sp>
        <xdr:nvSpPr>
          <xdr:cNvPr id="7" name="Shape 7"/>
          <xdr:cNvSpPr/>
        </xdr:nvSpPr>
        <xdr:spPr>
          <a:xfrm>
            <a:off x="2240350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/>
        </xdr:nvSpPr>
        <xdr:spPr>
          <a:xfrm>
            <a:off x="26947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/>
        </xdr:nvSpPr>
        <xdr:spPr>
          <a:xfrm>
            <a:off x="30906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/>
        </xdr:nvSpPr>
        <xdr:spPr>
          <a:xfrm>
            <a:off x="34865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1" name="Shape 11"/>
          <xdr:cNvSpPr/>
        </xdr:nvSpPr>
        <xdr:spPr>
          <a:xfrm>
            <a:off x="3882425" y="1441600"/>
            <a:ext cx="340800" cy="321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7</xdr:col>
      <xdr:colOff>561975</xdr:colOff>
      <xdr:row>46</xdr:row>
      <xdr:rowOff>57150</xdr:rowOff>
    </xdr:from>
    <xdr:ext cx="1133475" cy="771525"/>
    <xdr:grpSp>
      <xdr:nvGrpSpPr>
        <xdr:cNvPr id="2" name="Shape 2" title="Drawing"/>
        <xdr:cNvGrpSpPr/>
      </xdr:nvGrpSpPr>
      <xdr:grpSpPr>
        <a:xfrm>
          <a:off x="2552050" y="1687975"/>
          <a:ext cx="1113400" cy="756950"/>
          <a:chOff x="2552050" y="1687975"/>
          <a:chExt cx="1113400" cy="756950"/>
        </a:xfrm>
      </xdr:grpSpPr>
      <xdr:sp>
        <xdr:nvSpPr>
          <xdr:cNvPr id="12" name="Shape 12"/>
          <xdr:cNvSpPr/>
        </xdr:nvSpPr>
        <xdr:spPr>
          <a:xfrm>
            <a:off x="2552050" y="2113725"/>
            <a:ext cx="282600" cy="331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/>
        </xdr:nvSpPr>
        <xdr:spPr>
          <a:xfrm>
            <a:off x="2967450" y="1896000"/>
            <a:ext cx="282600" cy="331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4" name="Shape 14"/>
          <xdr:cNvSpPr/>
        </xdr:nvSpPr>
        <xdr:spPr>
          <a:xfrm>
            <a:off x="3382850" y="1687975"/>
            <a:ext cx="282600" cy="331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4</xdr:col>
      <xdr:colOff>361950</xdr:colOff>
      <xdr:row>66</xdr:row>
      <xdr:rowOff>76200</xdr:rowOff>
    </xdr:from>
    <xdr:ext cx="1790700" cy="228600"/>
    <xdr:grpSp>
      <xdr:nvGrpSpPr>
        <xdr:cNvPr id="2" name="Shape 2" title="Drawing"/>
        <xdr:cNvGrpSpPr/>
      </xdr:nvGrpSpPr>
      <xdr:grpSpPr>
        <a:xfrm>
          <a:off x="954575" y="1860450"/>
          <a:ext cx="2596700" cy="409200"/>
          <a:chOff x="954575" y="1860450"/>
          <a:chExt cx="2596700" cy="409200"/>
        </a:xfrm>
      </xdr:grpSpPr>
      <xdr:sp>
        <xdr:nvSpPr>
          <xdr:cNvPr id="15" name="Shape 15"/>
          <xdr:cNvSpPr/>
        </xdr:nvSpPr>
        <xdr:spPr>
          <a:xfrm>
            <a:off x="9545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15160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/>
        </xdr:nvSpPr>
        <xdr:spPr>
          <a:xfrm>
            <a:off x="20775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8" name="Shape 18"/>
          <xdr:cNvSpPr/>
        </xdr:nvSpPr>
        <xdr:spPr>
          <a:xfrm>
            <a:off x="26390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9" name="Shape 19"/>
          <xdr:cNvSpPr/>
        </xdr:nvSpPr>
        <xdr:spPr>
          <a:xfrm>
            <a:off x="3200575" y="1860450"/>
            <a:ext cx="350700" cy="4092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7</xdr:col>
      <xdr:colOff>276225</xdr:colOff>
      <xdr:row>63</xdr:row>
      <xdr:rowOff>104775</xdr:rowOff>
    </xdr:from>
    <xdr:ext cx="1924050" cy="1200150"/>
    <xdr:grpSp>
      <xdr:nvGrpSpPr>
        <xdr:cNvPr id="2" name="Shape 2" title="Drawing"/>
        <xdr:cNvGrpSpPr/>
      </xdr:nvGrpSpPr>
      <xdr:grpSpPr>
        <a:xfrm>
          <a:off x="2941675" y="2113825"/>
          <a:ext cx="1900877" cy="1178400"/>
          <a:chOff x="2941675" y="2113825"/>
          <a:chExt cx="1900877" cy="1178400"/>
        </a:xfrm>
      </xdr:grpSpPr>
      <xdr:sp>
        <xdr:nvSpPr>
          <xdr:cNvPr id="20" name="Shape 20"/>
          <xdr:cNvSpPr/>
        </xdr:nvSpPr>
        <xdr:spPr>
          <a:xfrm>
            <a:off x="2941675" y="2931925"/>
            <a:ext cx="750000" cy="3603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21" name="Shape 21"/>
          <xdr:cNvCxnSpPr/>
        </xdr:nvCxnSpPr>
        <xdr:spPr>
          <a:xfrm flipH="1" rot="10800000">
            <a:off x="2941675" y="2113825"/>
            <a:ext cx="1198200" cy="818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2" name="Shape 22"/>
          <xdr:cNvCxnSpPr/>
        </xdr:nvCxnSpPr>
        <xdr:spPr>
          <a:xfrm flipH="1" rot="10800000">
            <a:off x="3691675" y="2250025"/>
            <a:ext cx="1022700" cy="681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3" name="Shape 23"/>
          <xdr:cNvCxnSpPr/>
        </xdr:nvCxnSpPr>
        <xdr:spPr>
          <a:xfrm flipH="1" rot="10800000">
            <a:off x="3691675" y="2542225"/>
            <a:ext cx="1139700" cy="740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4" name="Shape 24"/>
          <xdr:cNvSpPr/>
        </xdr:nvSpPr>
        <xdr:spPr>
          <a:xfrm rot="10800000">
            <a:off x="3866952" y="2883252"/>
            <a:ext cx="325200" cy="2727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5" name="Shape 25"/>
          <xdr:cNvSpPr/>
        </xdr:nvSpPr>
        <xdr:spPr>
          <a:xfrm rot="10800000">
            <a:off x="4192152" y="2659227"/>
            <a:ext cx="325200" cy="2727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6" name="Shape 26"/>
          <xdr:cNvSpPr/>
        </xdr:nvSpPr>
        <xdr:spPr>
          <a:xfrm rot="10800000">
            <a:off x="4517352" y="2454627"/>
            <a:ext cx="325200" cy="2727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4</xdr:col>
      <xdr:colOff>219075</xdr:colOff>
      <xdr:row>7</xdr:row>
      <xdr:rowOff>190500</xdr:rowOff>
    </xdr:from>
    <xdr:ext cx="2486025" cy="1990725"/>
    <xdr:grpSp>
      <xdr:nvGrpSpPr>
        <xdr:cNvPr id="2" name="Shape 2" title="Drawing"/>
        <xdr:cNvGrpSpPr/>
      </xdr:nvGrpSpPr>
      <xdr:grpSpPr>
        <a:xfrm>
          <a:off x="1918825" y="292225"/>
          <a:ext cx="2470850" cy="1968950"/>
          <a:chOff x="1918825" y="292225"/>
          <a:chExt cx="2470850" cy="1968950"/>
        </a:xfrm>
      </xdr:grpSpPr>
      <xdr:sp>
        <xdr:nvSpPr>
          <xdr:cNvPr id="27" name="Shape 27"/>
          <xdr:cNvSpPr/>
        </xdr:nvSpPr>
        <xdr:spPr>
          <a:xfrm>
            <a:off x="2449725" y="292225"/>
            <a:ext cx="185100" cy="5454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8" name="Shape 28"/>
          <xdr:cNvSpPr/>
        </xdr:nvSpPr>
        <xdr:spPr>
          <a:xfrm>
            <a:off x="1918825" y="1821925"/>
            <a:ext cx="779400" cy="1560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9" name="Shape 29"/>
          <xdr:cNvSpPr/>
        </xdr:nvSpPr>
        <xdr:spPr>
          <a:xfrm rot="6921029">
            <a:off x="3100747" y="1314861"/>
            <a:ext cx="379770" cy="613933"/>
          </a:xfrm>
          <a:prstGeom prst="curvedRight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FF99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30" name="Shape 30"/>
          <xdr:cNvSpPr txBox="1"/>
        </xdr:nvSpPr>
        <xdr:spPr>
          <a:xfrm>
            <a:off x="3610275" y="1504475"/>
            <a:ext cx="779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E69138"/>
                </a:solidFill>
              </a:rPr>
              <a:t>Torque</a:t>
            </a:r>
            <a:endParaRPr sz="1400">
              <a:solidFill>
                <a:srgbClr val="E69138"/>
              </a:solidFill>
            </a:endParaRPr>
          </a:p>
        </xdr:txBody>
      </xdr:sp>
      <xdr:sp>
        <xdr:nvSpPr>
          <xdr:cNvPr id="31" name="Shape 31"/>
          <xdr:cNvSpPr txBox="1"/>
        </xdr:nvSpPr>
        <xdr:spPr>
          <a:xfrm>
            <a:off x="2025975" y="1860975"/>
            <a:ext cx="10326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3D85C6"/>
                </a:solidFill>
              </a:rPr>
              <a:t>radius</a:t>
            </a:r>
            <a:endParaRPr sz="1400">
              <a:solidFill>
                <a:srgbClr val="3D85C6"/>
              </a:solidFill>
            </a:endParaRPr>
          </a:p>
        </xdr:txBody>
      </xdr:sp>
      <xdr:sp>
        <xdr:nvSpPr>
          <xdr:cNvPr id="32" name="Shape 32"/>
          <xdr:cNvSpPr txBox="1"/>
        </xdr:nvSpPr>
        <xdr:spPr>
          <a:xfrm>
            <a:off x="2123425" y="1504475"/>
            <a:ext cx="574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F0000"/>
                </a:solidFill>
              </a:rPr>
              <a:t>load</a:t>
            </a:r>
            <a:endParaRPr sz="1400">
              <a:solidFill>
                <a:srgbClr val="FF0000"/>
              </a:solidFill>
            </a:endParaRPr>
          </a:p>
        </xdr:txBody>
      </xdr:sp>
    </xdr:grpSp>
    <xdr:clientData fLocksWithSheet="0"/>
  </xdr:oneCellAnchor>
  <xdr:oneCellAnchor>
    <xdr:from>
      <xdr:col>17</xdr:col>
      <xdr:colOff>895350</xdr:colOff>
      <xdr:row>44</xdr:row>
      <xdr:rowOff>190500</xdr:rowOff>
    </xdr:from>
    <xdr:ext cx="1876425" cy="3086100"/>
    <xdr:grpSp>
      <xdr:nvGrpSpPr>
        <xdr:cNvPr id="2" name="Shape 2" title="Drawing"/>
        <xdr:cNvGrpSpPr/>
      </xdr:nvGrpSpPr>
      <xdr:grpSpPr>
        <a:xfrm>
          <a:off x="2163575" y="402325"/>
          <a:ext cx="1857175" cy="3063325"/>
          <a:chOff x="2163575" y="402325"/>
          <a:chExt cx="1857175" cy="3063325"/>
        </a:xfrm>
      </xdr:grpSpPr>
      <xdr:cxnSp>
        <xdr:nvCxnSpPr>
          <xdr:cNvPr id="33" name="Shape 33"/>
          <xdr:cNvCxnSpPr/>
        </xdr:nvCxnSpPr>
        <xdr:spPr>
          <a:xfrm>
            <a:off x="2163575" y="3369925"/>
            <a:ext cx="1627500" cy="9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4" name="Shape 34"/>
          <xdr:cNvCxnSpPr/>
        </xdr:nvCxnSpPr>
        <xdr:spPr>
          <a:xfrm rot="10800000">
            <a:off x="3800525" y="3054050"/>
            <a:ext cx="0" cy="411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5" name="Shape 35"/>
          <xdr:cNvCxnSpPr/>
        </xdr:nvCxnSpPr>
        <xdr:spPr>
          <a:xfrm rot="10800000">
            <a:off x="2163575" y="2958350"/>
            <a:ext cx="0" cy="411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6" name="Shape 36"/>
          <xdr:cNvCxnSpPr/>
        </xdr:nvCxnSpPr>
        <xdr:spPr>
          <a:xfrm>
            <a:off x="2163575" y="948125"/>
            <a:ext cx="1627500" cy="95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7" name="Shape 37"/>
          <xdr:cNvCxnSpPr/>
        </xdr:nvCxnSpPr>
        <xdr:spPr>
          <a:xfrm>
            <a:off x="2173150" y="2967850"/>
            <a:ext cx="507300" cy="19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8" name="Shape 38"/>
          <xdr:cNvCxnSpPr/>
        </xdr:nvCxnSpPr>
        <xdr:spPr>
          <a:xfrm>
            <a:off x="3254875" y="3044450"/>
            <a:ext cx="555000" cy="28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9" name="Shape 39"/>
          <xdr:cNvCxnSpPr/>
        </xdr:nvCxnSpPr>
        <xdr:spPr>
          <a:xfrm flipH="1" rot="10800000">
            <a:off x="2690050" y="1436325"/>
            <a:ext cx="19200" cy="15411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cxnSp>
        <xdr:nvCxnSpPr>
          <xdr:cNvPr id="40" name="Shape 40"/>
          <xdr:cNvCxnSpPr/>
        </xdr:nvCxnSpPr>
        <xdr:spPr>
          <a:xfrm flipH="1" rot="10800000">
            <a:off x="3245300" y="1412400"/>
            <a:ext cx="9600" cy="1651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cxnSp>
        <xdr:nvCxnSpPr>
          <xdr:cNvPr id="41" name="Shape 41"/>
          <xdr:cNvCxnSpPr/>
        </xdr:nvCxnSpPr>
        <xdr:spPr>
          <a:xfrm>
            <a:off x="2163575" y="1407475"/>
            <a:ext cx="545700" cy="240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2" name="Shape 42"/>
          <xdr:cNvCxnSpPr/>
        </xdr:nvCxnSpPr>
        <xdr:spPr>
          <a:xfrm>
            <a:off x="3245300" y="1436325"/>
            <a:ext cx="555000" cy="28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3" name="Shape 43"/>
          <xdr:cNvCxnSpPr/>
        </xdr:nvCxnSpPr>
        <xdr:spPr>
          <a:xfrm rot="10800000">
            <a:off x="3810000" y="1053525"/>
            <a:ext cx="0" cy="411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4" name="Shape 44"/>
          <xdr:cNvCxnSpPr/>
        </xdr:nvCxnSpPr>
        <xdr:spPr>
          <a:xfrm rot="10800000">
            <a:off x="2163575" y="948275"/>
            <a:ext cx="0" cy="535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5" name="Shape 45"/>
          <xdr:cNvCxnSpPr/>
        </xdr:nvCxnSpPr>
        <xdr:spPr>
          <a:xfrm flipH="1" rot="10800000">
            <a:off x="2163575" y="2728550"/>
            <a:ext cx="277500" cy="210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6" name="Shape 46"/>
          <xdr:cNvCxnSpPr/>
        </xdr:nvCxnSpPr>
        <xdr:spPr>
          <a:xfrm>
            <a:off x="2431625" y="2757250"/>
            <a:ext cx="239400" cy="192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7" name="Shape 47"/>
          <xdr:cNvCxnSpPr/>
        </xdr:nvCxnSpPr>
        <xdr:spPr>
          <a:xfrm flipH="1" rot="10800000">
            <a:off x="3274025" y="2824275"/>
            <a:ext cx="220200" cy="210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48" name="Shape 48"/>
          <xdr:cNvCxnSpPr/>
        </xdr:nvCxnSpPr>
        <xdr:spPr>
          <a:xfrm flipH="1" rot="10800000">
            <a:off x="3494200" y="1455275"/>
            <a:ext cx="19200" cy="13977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dot"/>
            <a:round/>
            <a:headEnd len="med" w="med" type="none"/>
            <a:tailEnd len="med" w="med" type="none"/>
          </a:ln>
        </xdr:spPr>
      </xdr:cxnSp>
      <xdr:cxnSp>
        <xdr:nvCxnSpPr>
          <xdr:cNvPr id="49" name="Shape 49"/>
          <xdr:cNvCxnSpPr/>
        </xdr:nvCxnSpPr>
        <xdr:spPr>
          <a:xfrm flipH="1" rot="10800000">
            <a:off x="3819675" y="1311900"/>
            <a:ext cx="201000" cy="16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0" name="Shape 50"/>
          <xdr:cNvCxnSpPr/>
        </xdr:nvCxnSpPr>
        <xdr:spPr>
          <a:xfrm flipH="1" rot="10800000">
            <a:off x="3810000" y="914675"/>
            <a:ext cx="201000" cy="16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1" name="Shape 51"/>
          <xdr:cNvCxnSpPr/>
        </xdr:nvCxnSpPr>
        <xdr:spPr>
          <a:xfrm flipH="1" rot="10800000">
            <a:off x="3790950" y="2896150"/>
            <a:ext cx="201000" cy="16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2" name="Shape 52"/>
          <xdr:cNvCxnSpPr/>
        </xdr:nvCxnSpPr>
        <xdr:spPr>
          <a:xfrm flipH="1" rot="10800000">
            <a:off x="3809975" y="3303025"/>
            <a:ext cx="201000" cy="16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3" name="Shape 53"/>
          <xdr:cNvCxnSpPr/>
        </xdr:nvCxnSpPr>
        <xdr:spPr>
          <a:xfrm rot="10800000">
            <a:off x="4011150" y="2900825"/>
            <a:ext cx="0" cy="430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4" name="Shape 54"/>
          <xdr:cNvCxnSpPr/>
        </xdr:nvCxnSpPr>
        <xdr:spPr>
          <a:xfrm>
            <a:off x="3484625" y="2852975"/>
            <a:ext cx="516900" cy="288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5" name="Shape 55"/>
          <xdr:cNvCxnSpPr/>
        </xdr:nvCxnSpPr>
        <xdr:spPr>
          <a:xfrm>
            <a:off x="4020700" y="919275"/>
            <a:ext cx="0" cy="411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6" name="Shape 56"/>
          <xdr:cNvCxnSpPr/>
        </xdr:nvCxnSpPr>
        <xdr:spPr>
          <a:xfrm flipH="1" rot="10800000">
            <a:off x="2192300" y="794950"/>
            <a:ext cx="229800" cy="1626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7" name="Shape 57"/>
          <xdr:cNvCxnSpPr/>
        </xdr:nvCxnSpPr>
        <xdr:spPr>
          <a:xfrm>
            <a:off x="2422050" y="804400"/>
            <a:ext cx="1598700" cy="1053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58" name="Shape 58"/>
          <xdr:cNvSpPr/>
        </xdr:nvSpPr>
        <xdr:spPr>
          <a:xfrm>
            <a:off x="2355025" y="402325"/>
            <a:ext cx="277500" cy="5073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9" name="Shape 59"/>
          <xdr:cNvSpPr/>
        </xdr:nvSpPr>
        <xdr:spPr>
          <a:xfrm>
            <a:off x="2843388" y="402325"/>
            <a:ext cx="277500" cy="5073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0" name="Shape 60"/>
          <xdr:cNvSpPr/>
        </xdr:nvSpPr>
        <xdr:spPr>
          <a:xfrm>
            <a:off x="3245375" y="431025"/>
            <a:ext cx="277500" cy="5073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1" name="Shape 61"/>
          <xdr:cNvSpPr/>
        </xdr:nvSpPr>
        <xdr:spPr>
          <a:xfrm>
            <a:off x="3633038" y="431025"/>
            <a:ext cx="277500" cy="5073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3</xdr:col>
      <xdr:colOff>342900</xdr:colOff>
      <xdr:row>26</xdr:row>
      <xdr:rowOff>180975</xdr:rowOff>
    </xdr:from>
    <xdr:ext cx="2695575" cy="1914525"/>
    <xdr:grpSp>
      <xdr:nvGrpSpPr>
        <xdr:cNvPr id="2" name="Shape 2" title="Drawing"/>
        <xdr:cNvGrpSpPr/>
      </xdr:nvGrpSpPr>
      <xdr:grpSpPr>
        <a:xfrm>
          <a:off x="2789525" y="1388177"/>
          <a:ext cx="2675875" cy="1228898"/>
          <a:chOff x="2789525" y="1388177"/>
          <a:chExt cx="2675875" cy="1228898"/>
        </a:xfrm>
      </xdr:grpSpPr>
      <xdr:sp>
        <xdr:nvSpPr>
          <xdr:cNvPr id="62" name="Shape 62"/>
          <xdr:cNvSpPr/>
        </xdr:nvSpPr>
        <xdr:spPr>
          <a:xfrm rot="5400000">
            <a:off x="3136475" y="1996825"/>
            <a:ext cx="1899300" cy="331200"/>
          </a:xfrm>
          <a:prstGeom prst="teardrop">
            <a:avLst>
              <a:gd fmla="val 91808" name="adj"/>
            </a:avLst>
          </a:prstGeom>
          <a:solidFill>
            <a:srgbClr val="EFEFE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3" name="Shape 63"/>
          <xdr:cNvSpPr/>
        </xdr:nvSpPr>
        <xdr:spPr>
          <a:xfrm>
            <a:off x="4017875" y="1587725"/>
            <a:ext cx="136500" cy="165600"/>
          </a:xfrm>
          <a:prstGeom prst="mathMultiply">
            <a:avLst>
              <a:gd fmla="val 23520" name="adj1"/>
            </a:avLst>
          </a:prstGeom>
          <a:solidFill>
            <a:srgbClr val="FF00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4" name="Shape 64"/>
          <xdr:cNvSpPr/>
        </xdr:nvSpPr>
        <xdr:spPr>
          <a:xfrm>
            <a:off x="4039775" y="1753325"/>
            <a:ext cx="92700" cy="326400"/>
          </a:xfrm>
          <a:prstGeom prst="downArrow">
            <a:avLst>
              <a:gd fmla="val 50000" name="adj1"/>
              <a:gd fmla="val 50000" name="adj2"/>
            </a:avLst>
          </a:prstGeom>
          <a:solidFill>
            <a:srgbClr val="0000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5" name="Shape 65"/>
          <xdr:cNvSpPr/>
        </xdr:nvSpPr>
        <xdr:spPr>
          <a:xfrm>
            <a:off x="4017875" y="2079625"/>
            <a:ext cx="136500" cy="165600"/>
          </a:xfrm>
          <a:prstGeom prst="mathMultiply">
            <a:avLst>
              <a:gd fmla="val 23520" name="adj1"/>
            </a:avLst>
          </a:prstGeom>
          <a:solidFill>
            <a:srgbClr val="FF99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6" name="Shape 66"/>
          <xdr:cNvSpPr txBox="1"/>
        </xdr:nvSpPr>
        <xdr:spPr>
          <a:xfrm>
            <a:off x="4251725" y="1508975"/>
            <a:ext cx="944700" cy="323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0000"/>
                </a:solidFill>
              </a:rPr>
              <a:t>Quarter chord</a:t>
            </a:r>
            <a:endParaRPr sz="900">
              <a:solidFill>
                <a:srgbClr val="FF0000"/>
              </a:solidFill>
            </a:endParaRPr>
          </a:p>
        </xdr:txBody>
      </xdr:sp>
      <xdr:sp>
        <xdr:nvSpPr>
          <xdr:cNvPr id="67" name="Shape 67"/>
          <xdr:cNvSpPr txBox="1"/>
        </xdr:nvSpPr>
        <xdr:spPr>
          <a:xfrm>
            <a:off x="4288200" y="1931575"/>
            <a:ext cx="1177200" cy="4617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9900"/>
                </a:solidFill>
              </a:rPr>
              <a:t>Center of Pressure at 0 lift</a:t>
            </a:r>
            <a:endParaRPr sz="900">
              <a:solidFill>
                <a:srgbClr val="FF9900"/>
              </a:solidFill>
            </a:endParaRPr>
          </a:p>
        </xdr:txBody>
      </xdr:sp>
      <xdr:sp>
        <xdr:nvSpPr>
          <xdr:cNvPr id="68" name="Shape 68"/>
          <xdr:cNvSpPr txBox="1"/>
        </xdr:nvSpPr>
        <xdr:spPr>
          <a:xfrm>
            <a:off x="4300325" y="1754975"/>
            <a:ext cx="847500" cy="323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0000FF"/>
                </a:solidFill>
              </a:rPr>
              <a:t>Moment Arm</a:t>
            </a:r>
            <a:endParaRPr sz="900">
              <a:solidFill>
                <a:srgbClr val="0000FF"/>
              </a:solidFill>
            </a:endParaRPr>
          </a:p>
        </xdr:txBody>
      </xdr:sp>
      <xdr:sp>
        <xdr:nvSpPr>
          <xdr:cNvPr id="69" name="Shape 69"/>
          <xdr:cNvSpPr/>
        </xdr:nvSpPr>
        <xdr:spPr>
          <a:xfrm>
            <a:off x="3194925" y="2030875"/>
            <a:ext cx="574800" cy="263100"/>
          </a:xfrm>
          <a:prstGeom prst="rightArrow">
            <a:avLst>
              <a:gd fmla="val 50000" name="adj1"/>
              <a:gd fmla="val 50000" name="adj2"/>
            </a:avLst>
          </a:prstGeom>
          <a:solidFill>
            <a:srgbClr val="FF00FF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0" name="Shape 70"/>
          <xdr:cNvSpPr txBox="1"/>
        </xdr:nvSpPr>
        <xdr:spPr>
          <a:xfrm>
            <a:off x="3257175" y="2293975"/>
            <a:ext cx="450300" cy="323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FF00FF"/>
                </a:solidFill>
              </a:rPr>
              <a:t>Load</a:t>
            </a:r>
            <a:endParaRPr sz="900">
              <a:solidFill>
                <a:srgbClr val="FF00FF"/>
              </a:solidFill>
            </a:endParaRPr>
          </a:p>
        </xdr:txBody>
      </xdr:sp>
      <xdr:sp>
        <xdr:nvSpPr>
          <xdr:cNvPr id="71" name="Shape 71"/>
          <xdr:cNvSpPr/>
        </xdr:nvSpPr>
        <xdr:spPr>
          <a:xfrm rot="2700000">
            <a:off x="3316866" y="1388177"/>
            <a:ext cx="330926" cy="564695"/>
          </a:xfrm>
          <a:prstGeom prst="curvedRightArrow">
            <a:avLst>
              <a:gd fmla="val 25000" name="adj1"/>
              <a:gd fmla="val 50000" name="adj2"/>
              <a:gd fmla="val 25000" name="adj3"/>
            </a:avLst>
          </a:prstGeom>
          <a:solidFill>
            <a:srgbClr val="00FF00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2" name="Shape 72"/>
          <xdr:cNvSpPr txBox="1"/>
        </xdr:nvSpPr>
        <xdr:spPr>
          <a:xfrm>
            <a:off x="2789525" y="1430225"/>
            <a:ext cx="574800" cy="3231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>
                <a:solidFill>
                  <a:srgbClr val="00FF00"/>
                </a:solidFill>
              </a:rPr>
              <a:t>Torque</a:t>
            </a:r>
            <a:endParaRPr sz="900">
              <a:solidFill>
                <a:srgbClr val="00FF00"/>
              </a:solidFill>
            </a:endParaRPr>
          </a:p>
        </xdr:txBody>
      </xdr:sp>
    </xdr:grpSp>
    <xdr:clientData fLocksWithSheet="0"/>
  </xdr:oneCellAnchor>
  <xdr:oneCellAnchor>
    <xdr:from>
      <xdr:col>3</xdr:col>
      <xdr:colOff>904875</xdr:colOff>
      <xdr:row>43</xdr:row>
      <xdr:rowOff>0</xdr:rowOff>
    </xdr:from>
    <xdr:ext cx="2924175" cy="301942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904875</xdr:colOff>
      <xdr:row>63</xdr:row>
      <xdr:rowOff>104775</xdr:rowOff>
    </xdr:from>
    <xdr:ext cx="2924175" cy="3019425"/>
    <xdr:pic>
      <xdr:nvPicPr>
        <xdr:cNvPr id="0" name="image1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438150</xdr:colOff>
      <xdr:row>85</xdr:row>
      <xdr:rowOff>152400</xdr:rowOff>
    </xdr:from>
    <xdr:ext cx="3886200" cy="15621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304800</xdr:colOff>
      <xdr:row>43</xdr:row>
      <xdr:rowOff>161925</xdr:rowOff>
    </xdr:from>
    <xdr:ext cx="2867025" cy="2705100"/>
    <xdr:pic>
      <xdr:nvPicPr>
        <xdr:cNvPr id="0" name="image4.jp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0</xdr:row>
      <xdr:rowOff>0</xdr:rowOff>
    </xdr:from>
    <xdr:ext cx="10039350" cy="1628775"/>
    <xdr:pic>
      <xdr:nvPicPr>
        <xdr:cNvPr id="0" name="image7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7</xdr:row>
      <xdr:rowOff>28575</xdr:rowOff>
    </xdr:from>
    <xdr:ext cx="4200525" cy="3019425"/>
    <xdr:pic>
      <xdr:nvPicPr>
        <xdr:cNvPr id="0" name="image9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914400</xdr:colOff>
      <xdr:row>39</xdr:row>
      <xdr:rowOff>57150</xdr:rowOff>
    </xdr:from>
    <xdr:ext cx="3505200" cy="666750"/>
    <xdr:pic>
      <xdr:nvPicPr>
        <xdr:cNvPr id="0" name="image1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781050</xdr:colOff>
      <xdr:row>8</xdr:row>
      <xdr:rowOff>152400</xdr:rowOff>
    </xdr:from>
    <xdr:ext cx="4010025" cy="5648325"/>
    <xdr:pic>
      <xdr:nvPicPr>
        <xdr:cNvPr id="0" name="image1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523875</xdr:colOff>
      <xdr:row>4</xdr:row>
      <xdr:rowOff>190500</xdr:rowOff>
    </xdr:from>
    <xdr:ext cx="5191125" cy="866775"/>
    <xdr:pic>
      <xdr:nvPicPr>
        <xdr:cNvPr id="0" name="image1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</xdr:colOff>
      <xdr:row>0</xdr:row>
      <xdr:rowOff>19050</xdr:rowOff>
    </xdr:from>
    <xdr:ext cx="2619375" cy="866775"/>
    <xdr:pic>
      <xdr:nvPicPr>
        <xdr:cNvPr id="0" name="image10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</xdr:colOff>
      <xdr:row>7</xdr:row>
      <xdr:rowOff>142875</xdr:rowOff>
    </xdr:from>
    <xdr:ext cx="857250" cy="428625"/>
    <xdr:pic>
      <xdr:nvPicPr>
        <xdr:cNvPr id="0" name="image1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10</xdr:row>
      <xdr:rowOff>190500</xdr:rowOff>
    </xdr:from>
    <xdr:ext cx="2990850" cy="4162425"/>
    <xdr:pic>
      <xdr:nvPicPr>
        <xdr:cNvPr id="0" name="image8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914400</xdr:colOff>
      <xdr:row>15</xdr:row>
      <xdr:rowOff>219075</xdr:rowOff>
    </xdr:from>
    <xdr:ext cx="4629150" cy="2028825"/>
    <xdr:pic>
      <xdr:nvPicPr>
        <xdr:cNvPr id="0" name="image5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000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Requirement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K2:P10" display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Aerodynamic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eb.mit.edu/16.unified/www/FALL/thermodynamics/notes/node86.html" TargetMode="External"/><Relationship Id="rId2" Type="http://schemas.openxmlformats.org/officeDocument/2006/relationships/hyperlink" Target="https://arc.aiaa.org/doi/pdf/10.2514/1.C035581" TargetMode="External"/><Relationship Id="rId3" Type="http://schemas.openxmlformats.org/officeDocument/2006/relationships/hyperlink" Target="https://en.wikipedia.org/wiki/Momentum_theory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peterdsharpe/AeroSandbox/blob/master/aerosandbox/library/propulsion_electric.py" TargetMode="External"/><Relationship Id="rId2" Type="http://schemas.openxmlformats.org/officeDocument/2006/relationships/hyperlink" Target="https://github.com/peterdsharpe/AeroSandbox/blob/master/aerosandbox/library/mass_structural.py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34.5"/>
    <col customWidth="1" min="3" max="3" width="19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3</v>
      </c>
      <c r="B2" s="3" t="s">
        <v>4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" t="s">
        <v>5</v>
      </c>
      <c r="B3" s="3" t="s">
        <v>6</v>
      </c>
      <c r="C3" s="3" t="s">
        <v>7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3" t="s">
        <v>8</v>
      </c>
      <c r="B4" s="3" t="s">
        <v>9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10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3" t="s">
        <v>11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3" t="s">
        <v>12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3" t="s">
        <v>13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14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3" t="s">
        <v>15</v>
      </c>
      <c r="B12" s="3" t="s">
        <v>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3" t="s">
        <v>16</v>
      </c>
      <c r="B13" s="3" t="s">
        <v>17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3" t="s">
        <v>18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3" t="s">
        <v>19</v>
      </c>
      <c r="B15" s="3" t="s">
        <v>20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450</v>
      </c>
    </row>
    <row r="2">
      <c r="A2" s="8" t="s">
        <v>451</v>
      </c>
    </row>
    <row r="3">
      <c r="A3" s="8" t="s">
        <v>452</v>
      </c>
    </row>
    <row r="4">
      <c r="A4" s="8" t="s">
        <v>453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88"/>
  </cols>
  <sheetData>
    <row r="1">
      <c r="A1" s="7" t="s">
        <v>21</v>
      </c>
      <c r="B1" s="8" t="s">
        <v>22</v>
      </c>
      <c r="C1" s="8" t="s">
        <v>23</v>
      </c>
      <c r="D1" s="8"/>
    </row>
    <row r="2">
      <c r="A2" s="8" t="s">
        <v>24</v>
      </c>
      <c r="B2" s="8">
        <v>18.82</v>
      </c>
      <c r="C2" s="8" t="s">
        <v>25</v>
      </c>
    </row>
    <row r="3">
      <c r="A3" s="8" t="s">
        <v>26</v>
      </c>
      <c r="B3" s="8">
        <v>6.0</v>
      </c>
      <c r="C3" s="8" t="s">
        <v>27</v>
      </c>
    </row>
    <row r="4">
      <c r="A4" s="8" t="s">
        <v>28</v>
      </c>
      <c r="B4" s="8">
        <v>10.63</v>
      </c>
      <c r="C4" s="8" t="s">
        <v>29</v>
      </c>
    </row>
    <row r="5">
      <c r="A5" s="8" t="s">
        <v>30</v>
      </c>
      <c r="B5" s="8">
        <v>0.5</v>
      </c>
      <c r="C5" s="8" t="s">
        <v>27</v>
      </c>
    </row>
    <row r="6">
      <c r="A6" s="8" t="s">
        <v>31</v>
      </c>
      <c r="B6" s="8">
        <v>2.36</v>
      </c>
      <c r="C6" s="8" t="s">
        <v>29</v>
      </c>
    </row>
    <row r="7">
      <c r="A7" s="8" t="s">
        <v>32</v>
      </c>
      <c r="B7" s="8">
        <v>1.18</v>
      </c>
      <c r="C7" s="8" t="s">
        <v>29</v>
      </c>
    </row>
    <row r="8">
      <c r="A8" s="8" t="s">
        <v>33</v>
      </c>
      <c r="B8" s="9" t="s">
        <v>34</v>
      </c>
      <c r="C8" s="8" t="s">
        <v>27</v>
      </c>
    </row>
    <row r="9">
      <c r="A9" s="8" t="s">
        <v>35</v>
      </c>
      <c r="B9" s="8">
        <f>(B4-B39)/2</f>
        <v>4.9595</v>
      </c>
      <c r="C9" s="8" t="s">
        <v>29</v>
      </c>
    </row>
    <row r="10">
      <c r="A10" s="8" t="s">
        <v>36</v>
      </c>
      <c r="B10" s="10">
        <f t="shared" ref="B10:B11" si="1">0.15*B6</f>
        <v>0.354</v>
      </c>
      <c r="C10" s="8" t="s">
        <v>29</v>
      </c>
    </row>
    <row r="11">
      <c r="A11" s="8" t="s">
        <v>37</v>
      </c>
      <c r="B11" s="10">
        <f t="shared" si="1"/>
        <v>0.177</v>
      </c>
      <c r="C11" s="8" t="s">
        <v>29</v>
      </c>
    </row>
    <row r="13">
      <c r="A13" s="7" t="s">
        <v>38</v>
      </c>
    </row>
    <row r="14">
      <c r="A14" s="11" t="s">
        <v>24</v>
      </c>
      <c r="B14" s="12">
        <f>Aerodynamics!B11</f>
        <v>2.222094602</v>
      </c>
      <c r="C14" s="11" t="s">
        <v>25</v>
      </c>
    </row>
    <row r="15">
      <c r="A15" s="11" t="s">
        <v>26</v>
      </c>
      <c r="B15" s="11">
        <v>4.0</v>
      </c>
      <c r="C15" s="11" t="s">
        <v>27</v>
      </c>
    </row>
    <row r="16">
      <c r="A16" s="11" t="s">
        <v>28</v>
      </c>
      <c r="B16" s="13">
        <f>SQRT(B14/B15)*B15</f>
        <v>2.981338359</v>
      </c>
      <c r="C16" s="11" t="s">
        <v>29</v>
      </c>
    </row>
    <row r="17">
      <c r="A17" s="11" t="s">
        <v>39</v>
      </c>
      <c r="B17" s="14">
        <f>SQRT(B14/B15)</f>
        <v>0.7453345896</v>
      </c>
      <c r="C17" s="11" t="s">
        <v>29</v>
      </c>
    </row>
    <row r="18">
      <c r="A18" s="11" t="s">
        <v>30</v>
      </c>
      <c r="B18" s="12">
        <v>0.75</v>
      </c>
      <c r="C18" s="11" t="s">
        <v>27</v>
      </c>
    </row>
    <row r="19">
      <c r="A19" s="11" t="s">
        <v>31</v>
      </c>
      <c r="B19" s="12">
        <f>2*B17 / (1 + B18)</f>
        <v>0.8518109596</v>
      </c>
      <c r="C19" s="11" t="s">
        <v>29</v>
      </c>
    </row>
    <row r="20">
      <c r="A20" s="11" t="s">
        <v>32</v>
      </c>
      <c r="B20" s="12">
        <f>B18*B19</f>
        <v>0.6388582197</v>
      </c>
      <c r="C20" s="11" t="s">
        <v>29</v>
      </c>
    </row>
    <row r="21">
      <c r="A21" s="8" t="s">
        <v>33</v>
      </c>
      <c r="B21" s="15" t="s">
        <v>40</v>
      </c>
      <c r="C21" s="8" t="s">
        <v>27</v>
      </c>
    </row>
    <row r="22">
      <c r="A22" s="11" t="s">
        <v>41</v>
      </c>
      <c r="B22" s="16">
        <f t="shared" ref="B22:B23" si="2">0.12*B19</f>
        <v>0.1022173152</v>
      </c>
      <c r="C22" s="11" t="s">
        <v>29</v>
      </c>
    </row>
    <row r="23">
      <c r="A23" s="11" t="s">
        <v>42</v>
      </c>
      <c r="B23" s="16">
        <f t="shared" si="2"/>
        <v>0.07666298636</v>
      </c>
      <c r="C23" s="11" t="s">
        <v>29</v>
      </c>
    </row>
    <row r="25">
      <c r="A25" s="7" t="s">
        <v>43</v>
      </c>
    </row>
    <row r="26">
      <c r="A26" s="11" t="s">
        <v>24</v>
      </c>
      <c r="B26" s="17">
        <f>Aerodynamics!B12</f>
        <v>0.999942571</v>
      </c>
      <c r="C26" s="11" t="s">
        <v>25</v>
      </c>
    </row>
    <row r="27">
      <c r="A27" s="11" t="s">
        <v>26</v>
      </c>
      <c r="B27" s="11">
        <v>1.5</v>
      </c>
      <c r="C27" s="11" t="s">
        <v>27</v>
      </c>
    </row>
    <row r="28">
      <c r="A28" s="11" t="s">
        <v>28</v>
      </c>
      <c r="B28" s="18">
        <f>SQRT(B26/B27)*B27</f>
        <v>1.224709703</v>
      </c>
      <c r="C28" s="11" t="s">
        <v>29</v>
      </c>
    </row>
    <row r="29">
      <c r="A29" s="11" t="s">
        <v>39</v>
      </c>
      <c r="B29" s="14">
        <f>SQRT(B26/B27)</f>
        <v>0.8164731353</v>
      </c>
      <c r="C29" s="11" t="s">
        <v>29</v>
      </c>
    </row>
    <row r="30">
      <c r="A30" s="11" t="s">
        <v>30</v>
      </c>
      <c r="B30" s="12">
        <v>0.75</v>
      </c>
      <c r="C30" s="11" t="s">
        <v>27</v>
      </c>
    </row>
    <row r="31">
      <c r="A31" s="11" t="s">
        <v>31</v>
      </c>
      <c r="B31" s="12">
        <f>2*B29 / (1 + B30)</f>
        <v>0.9331121546</v>
      </c>
      <c r="C31" s="11" t="s">
        <v>29</v>
      </c>
    </row>
    <row r="32">
      <c r="A32" s="11" t="s">
        <v>32</v>
      </c>
      <c r="B32" s="12">
        <f>B30*B31</f>
        <v>0.699834116</v>
      </c>
      <c r="C32" s="11" t="s">
        <v>29</v>
      </c>
    </row>
    <row r="33">
      <c r="A33" s="8" t="s">
        <v>33</v>
      </c>
      <c r="B33" s="9" t="s">
        <v>40</v>
      </c>
      <c r="C33" s="8" t="s">
        <v>27</v>
      </c>
    </row>
    <row r="34">
      <c r="A34" s="11" t="s">
        <v>41</v>
      </c>
      <c r="B34" s="19">
        <f t="shared" ref="B34:B35" si="3">0.12*B31</f>
        <v>0.1119734586</v>
      </c>
      <c r="C34" s="11" t="s">
        <v>29</v>
      </c>
    </row>
    <row r="35">
      <c r="A35" s="11" t="s">
        <v>42</v>
      </c>
      <c r="B35" s="19">
        <f t="shared" si="3"/>
        <v>0.08398009391</v>
      </c>
      <c r="C35" s="11" t="s">
        <v>29</v>
      </c>
    </row>
    <row r="37">
      <c r="A37" s="7" t="s">
        <v>44</v>
      </c>
    </row>
    <row r="38">
      <c r="A38" s="11" t="s">
        <v>45</v>
      </c>
      <c r="B38" s="11">
        <v>5.5</v>
      </c>
      <c r="C38" s="11" t="s">
        <v>29</v>
      </c>
    </row>
    <row r="39">
      <c r="A39" s="8" t="s">
        <v>46</v>
      </c>
      <c r="B39" s="8">
        <v>0.711</v>
      </c>
      <c r="C39" s="8" t="s">
        <v>29</v>
      </c>
    </row>
    <row r="43">
      <c r="A43" s="7" t="s">
        <v>47</v>
      </c>
    </row>
    <row r="44">
      <c r="A44" s="8" t="s">
        <v>48</v>
      </c>
      <c r="B44" s="8">
        <v>2.0</v>
      </c>
      <c r="C44" s="8" t="s">
        <v>27</v>
      </c>
    </row>
    <row r="45">
      <c r="A45" s="8" t="s">
        <v>49</v>
      </c>
      <c r="B45" s="8">
        <v>1.3</v>
      </c>
      <c r="C45" s="8" t="s">
        <v>29</v>
      </c>
    </row>
    <row r="46">
      <c r="A46" s="8" t="s">
        <v>50</v>
      </c>
      <c r="B46" s="8">
        <f>2*B45</f>
        <v>2.6</v>
      </c>
      <c r="C46" s="8" t="s">
        <v>29</v>
      </c>
    </row>
    <row r="48">
      <c r="A48" s="7" t="s">
        <v>51</v>
      </c>
    </row>
    <row r="49">
      <c r="A49" s="8" t="s">
        <v>52</v>
      </c>
      <c r="B49" s="8">
        <v>1.0</v>
      </c>
      <c r="C49" s="8" t="s">
        <v>27</v>
      </c>
    </row>
    <row r="50">
      <c r="A50" s="8" t="s">
        <v>49</v>
      </c>
      <c r="B50" s="8">
        <v>0.75</v>
      </c>
      <c r="C50" s="8" t="s">
        <v>29</v>
      </c>
    </row>
    <row r="51">
      <c r="A51" s="8" t="s">
        <v>50</v>
      </c>
      <c r="B51" s="8">
        <f>B50*2</f>
        <v>1.5</v>
      </c>
      <c r="C51" s="8" t="s">
        <v>29</v>
      </c>
    </row>
    <row r="53">
      <c r="A53" s="7" t="s">
        <v>53</v>
      </c>
    </row>
    <row r="54">
      <c r="A54" s="8" t="s">
        <v>54</v>
      </c>
      <c r="B54" s="10">
        <f>Propulsion!C15</f>
        <v>38.23764784</v>
      </c>
      <c r="C54" s="8" t="s">
        <v>55</v>
      </c>
    </row>
    <row r="55">
      <c r="A55" s="8" t="s">
        <v>56</v>
      </c>
      <c r="B55" s="20">
        <f>Propulsion!C13</f>
        <v>20.04237671</v>
      </c>
      <c r="C55" s="8" t="s">
        <v>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17.75"/>
    <col customWidth="1" min="3" max="3" width="20.0"/>
    <col customWidth="1" min="4" max="4" width="20.13"/>
    <col customWidth="1" min="12" max="12" width="21.13"/>
    <col customWidth="1" min="13" max="13" width="16.88"/>
    <col customWidth="1" min="14" max="14" width="30.88"/>
  </cols>
  <sheetData>
    <row r="1">
      <c r="A1" s="21" t="s">
        <v>57</v>
      </c>
      <c r="B1" s="22"/>
      <c r="C1" s="23"/>
    </row>
    <row r="2">
      <c r="A2" s="24" t="s">
        <v>58</v>
      </c>
      <c r="B2" s="25">
        <f>600000000</f>
        <v>600000000</v>
      </c>
      <c r="C2" s="24"/>
    </row>
    <row r="3">
      <c r="A3" s="24" t="s">
        <v>59</v>
      </c>
      <c r="B3" s="25">
        <v>1.5</v>
      </c>
      <c r="C3" s="26"/>
      <c r="V3" s="27" t="s">
        <v>60</v>
      </c>
      <c r="W3" s="22"/>
      <c r="X3" s="23"/>
    </row>
    <row r="4">
      <c r="A4" s="28" t="s">
        <v>61</v>
      </c>
      <c r="B4" s="29">
        <f>B2/B3</f>
        <v>400000000</v>
      </c>
      <c r="C4" s="30"/>
      <c r="V4" s="24" t="s">
        <v>62</v>
      </c>
      <c r="W4" s="25"/>
      <c r="X4" s="24" t="s">
        <v>63</v>
      </c>
    </row>
    <row r="5">
      <c r="A5" s="24" t="s">
        <v>64</v>
      </c>
      <c r="B5" s="25">
        <v>6.0</v>
      </c>
      <c r="C5" s="24"/>
      <c r="V5" s="24" t="s">
        <v>65</v>
      </c>
      <c r="W5" s="31"/>
      <c r="X5" s="24" t="s">
        <v>66</v>
      </c>
    </row>
    <row r="6">
      <c r="A6" s="24" t="s">
        <v>67</v>
      </c>
      <c r="B6" s="25">
        <f>233.146*9.8*B5/2</f>
        <v>6854.4924</v>
      </c>
      <c r="C6" s="24"/>
      <c r="V6" s="24" t="s">
        <v>68</v>
      </c>
      <c r="W6" s="25" t="str">
        <f>#REF!/2</f>
        <v>#REF!</v>
      </c>
      <c r="X6" s="24" t="s">
        <v>69</v>
      </c>
    </row>
    <row r="7">
      <c r="A7" s="24" t="s">
        <v>70</v>
      </c>
      <c r="B7" s="32">
        <f>Aerodynamics!B10/2</f>
        <v>5.313191132</v>
      </c>
      <c r="C7" s="26"/>
      <c r="V7" s="24" t="s">
        <v>71</v>
      </c>
      <c r="W7" s="25" t="str">
        <f>#REF!/#REF!</f>
        <v>#REF!</v>
      </c>
      <c r="X7" s="24" t="s">
        <v>72</v>
      </c>
    </row>
    <row r="8">
      <c r="A8" s="24" t="s">
        <v>73</v>
      </c>
      <c r="B8" s="33">
        <f>0.15*Aerodynamics!B5/2</f>
        <v>0.1328297783</v>
      </c>
      <c r="C8" s="24" t="s">
        <v>74</v>
      </c>
      <c r="V8" s="24" t="s">
        <v>75</v>
      </c>
      <c r="W8" s="25">
        <v>0.8</v>
      </c>
      <c r="X8" s="24" t="s">
        <v>76</v>
      </c>
    </row>
    <row r="9">
      <c r="A9" s="24" t="s">
        <v>77</v>
      </c>
      <c r="B9" s="34">
        <v>0.002</v>
      </c>
      <c r="C9" s="24" t="s">
        <v>78</v>
      </c>
      <c r="H9" s="8" t="s">
        <v>79</v>
      </c>
      <c r="V9" s="8" t="s">
        <v>80</v>
      </c>
      <c r="W9" s="8">
        <v>0.005</v>
      </c>
      <c r="X9" s="8" t="s">
        <v>81</v>
      </c>
    </row>
    <row r="10">
      <c r="A10" s="24" t="s">
        <v>82</v>
      </c>
      <c r="B10" s="35">
        <f>(B9*B8^2)*2</f>
        <v>0.000070575</v>
      </c>
      <c r="C10" s="24" t="s">
        <v>83</v>
      </c>
      <c r="V10" s="8" t="s">
        <v>84</v>
      </c>
      <c r="W10" s="10" t="str">
        <f>(W8/2 -W9)^2 *W7/4*W9</f>
        <v>#REF!</v>
      </c>
      <c r="X10" s="36" t="s">
        <v>85</v>
      </c>
    </row>
    <row r="11">
      <c r="A11" s="24" t="s">
        <v>86</v>
      </c>
      <c r="B11" s="37">
        <f>B6*B7/2</f>
        <v>18209.61412</v>
      </c>
      <c r="C11" s="24" t="s">
        <v>87</v>
      </c>
      <c r="V11" s="24" t="s">
        <v>88</v>
      </c>
      <c r="W11" s="38" t="str">
        <f>W6*W5/2</f>
        <v>#REF!</v>
      </c>
      <c r="X11" s="24" t="s">
        <v>89</v>
      </c>
    </row>
    <row r="12">
      <c r="A12" s="39" t="s">
        <v>90</v>
      </c>
      <c r="B12" s="40">
        <f>B11*B8/(B10*B4)</f>
        <v>0.085681155</v>
      </c>
      <c r="C12" s="39" t="s">
        <v>69</v>
      </c>
      <c r="V12" s="24" t="s">
        <v>91</v>
      </c>
      <c r="W12" s="25">
        <v>1.5</v>
      </c>
      <c r="X12" s="24"/>
    </row>
    <row r="13">
      <c r="A13" s="39" t="s">
        <v>90</v>
      </c>
      <c r="B13" s="41">
        <f>39.37*B12</f>
        <v>3.373267072</v>
      </c>
      <c r="C13" s="39" t="s">
        <v>92</v>
      </c>
      <c r="V13" s="24" t="s">
        <v>93</v>
      </c>
      <c r="W13" s="42" t="str">
        <f>W11*(W8/2)/W10</f>
        <v>#REF!</v>
      </c>
      <c r="X13" s="24" t="s">
        <v>94</v>
      </c>
    </row>
    <row r="14">
      <c r="A14" s="24"/>
      <c r="B14" s="43"/>
      <c r="C14" s="24"/>
      <c r="V14" s="24"/>
      <c r="W14" s="42"/>
      <c r="X14" s="24"/>
    </row>
    <row r="15">
      <c r="A15" s="21" t="s">
        <v>95</v>
      </c>
      <c r="B15" s="22"/>
      <c r="C15" s="23"/>
      <c r="V15" s="24" t="s">
        <v>96</v>
      </c>
      <c r="W15" s="44">
        <v>6.22E8</v>
      </c>
      <c r="X15" s="45" t="s">
        <v>97</v>
      </c>
    </row>
    <row r="16">
      <c r="A16" s="24" t="s">
        <v>98</v>
      </c>
      <c r="B16" s="46">
        <v>1.225</v>
      </c>
      <c r="C16" s="24" t="s">
        <v>99</v>
      </c>
    </row>
    <row r="17">
      <c r="A17" s="24" t="s">
        <v>100</v>
      </c>
      <c r="B17" s="25">
        <v>28.2944</v>
      </c>
      <c r="C17" s="24" t="s">
        <v>63</v>
      </c>
    </row>
    <row r="18">
      <c r="A18" s="24" t="s">
        <v>101</v>
      </c>
      <c r="B18" s="25">
        <f>Aerodynamics!B9</f>
        <v>18.82</v>
      </c>
      <c r="C18" s="24"/>
    </row>
    <row r="19">
      <c r="A19" s="24" t="s">
        <v>102</v>
      </c>
      <c r="B19" s="25">
        <v>1.28</v>
      </c>
      <c r="C19" s="24"/>
    </row>
    <row r="20">
      <c r="A20" s="24" t="s">
        <v>67</v>
      </c>
      <c r="B20" s="25">
        <f>0.5*B19*B18*B16*B17^2</f>
        <v>11812.3596</v>
      </c>
      <c r="C20" s="24" t="s">
        <v>103</v>
      </c>
    </row>
    <row r="21">
      <c r="A21" s="24" t="s">
        <v>104</v>
      </c>
      <c r="B21" s="47">
        <f>0.25*Aerodynamics!B5</f>
        <v>0.4427659276</v>
      </c>
      <c r="C21" s="24" t="s">
        <v>105</v>
      </c>
    </row>
    <row r="22">
      <c r="A22" s="24" t="s">
        <v>106</v>
      </c>
      <c r="B22" s="38">
        <f>B20*B21</f>
        <v>5230.110355</v>
      </c>
      <c r="C22" s="24" t="s">
        <v>107</v>
      </c>
    </row>
    <row r="23">
      <c r="A23" s="24" t="s">
        <v>108</v>
      </c>
      <c r="B23" s="25">
        <f>2*0.014423*Aerodynamics!B5^2</f>
        <v>0.09048028667</v>
      </c>
      <c r="C23" s="24" t="s">
        <v>25</v>
      </c>
    </row>
    <row r="24">
      <c r="A24" s="24" t="s">
        <v>109</v>
      </c>
      <c r="B24" s="46">
        <v>0.001</v>
      </c>
      <c r="C24" s="24" t="s">
        <v>110</v>
      </c>
    </row>
    <row r="25">
      <c r="A25" s="39" t="s">
        <v>111</v>
      </c>
      <c r="B25" s="48">
        <f>B22/(2*B23*B24)</f>
        <v>28901932.94</v>
      </c>
      <c r="C25" s="39" t="s">
        <v>94</v>
      </c>
    </row>
    <row r="26">
      <c r="A26" s="24" t="s">
        <v>58</v>
      </c>
      <c r="B26" s="25">
        <f>600000000</f>
        <v>600000000</v>
      </c>
      <c r="C26" s="24" t="s">
        <v>112</v>
      </c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>
      <c r="A27" s="24" t="s">
        <v>59</v>
      </c>
      <c r="B27" s="25">
        <v>1.5</v>
      </c>
      <c r="C27" s="26"/>
      <c r="L27" s="21" t="s">
        <v>113</v>
      </c>
      <c r="M27" s="22"/>
      <c r="N27" s="23"/>
    </row>
    <row r="28">
      <c r="A28" s="24" t="s">
        <v>114</v>
      </c>
      <c r="B28" s="38"/>
      <c r="C28" s="26"/>
      <c r="L28" s="24" t="s">
        <v>62</v>
      </c>
      <c r="M28" s="25">
        <f>55*0.514444</f>
        <v>28.29442</v>
      </c>
      <c r="N28" s="24" t="s">
        <v>63</v>
      </c>
    </row>
    <row r="29">
      <c r="A29" s="24"/>
      <c r="B29" s="38"/>
      <c r="C29" s="26"/>
      <c r="L29" s="24"/>
      <c r="M29" s="25"/>
      <c r="N29" s="24"/>
    </row>
    <row r="30">
      <c r="A30" s="21" t="s">
        <v>115</v>
      </c>
      <c r="B30" s="22"/>
      <c r="C30" s="23"/>
      <c r="L30" s="24" t="s">
        <v>65</v>
      </c>
      <c r="M30" s="50" t="str">
        <f>0.5*1.225*M28^2 *1*#REF!</f>
        <v>#REF!</v>
      </c>
      <c r="N30" s="24" t="s">
        <v>116</v>
      </c>
    </row>
    <row r="31">
      <c r="A31" s="24" t="s">
        <v>67</v>
      </c>
      <c r="B31" s="25" t="str">
        <f>'Load Cases'!B12</f>
        <v/>
      </c>
      <c r="C31" s="24" t="s">
        <v>117</v>
      </c>
      <c r="L31" s="24" t="s">
        <v>68</v>
      </c>
      <c r="M31" s="25" t="str">
        <f>#REF!/2</f>
        <v>#REF!</v>
      </c>
      <c r="N31" s="24" t="s">
        <v>69</v>
      </c>
    </row>
    <row r="32">
      <c r="A32" s="24" t="s">
        <v>104</v>
      </c>
      <c r="B32" s="47">
        <f>0.25*Configurations!B17</f>
        <v>0.1863336474</v>
      </c>
      <c r="C32" s="24" t="s">
        <v>105</v>
      </c>
      <c r="L32" s="24" t="s">
        <v>71</v>
      </c>
      <c r="M32" s="25" t="str">
        <f>#REF!/#REF!</f>
        <v>#REF!</v>
      </c>
      <c r="N32" s="24" t="s">
        <v>72</v>
      </c>
    </row>
    <row r="33">
      <c r="A33" s="24" t="s">
        <v>106</v>
      </c>
      <c r="B33" s="38">
        <f>B31*B32</f>
        <v>0</v>
      </c>
      <c r="C33" s="24" t="s">
        <v>107</v>
      </c>
      <c r="L33" s="24" t="s">
        <v>75</v>
      </c>
      <c r="M33" s="25">
        <v>0.6</v>
      </c>
      <c r="N33" s="24" t="s">
        <v>76</v>
      </c>
    </row>
    <row r="34">
      <c r="A34" s="24" t="s">
        <v>108</v>
      </c>
      <c r="B34" s="25">
        <f>2*0.014423*(12/15)*Configurations!B17^2</f>
        <v>0.01281970818</v>
      </c>
      <c r="C34" s="24" t="s">
        <v>25</v>
      </c>
      <c r="L34" s="8" t="s">
        <v>80</v>
      </c>
      <c r="M34" s="8">
        <v>0.005</v>
      </c>
      <c r="N34" s="8" t="s">
        <v>81</v>
      </c>
    </row>
    <row r="35">
      <c r="A35" s="24" t="s">
        <v>109</v>
      </c>
      <c r="B35" s="46">
        <v>0.001</v>
      </c>
      <c r="C35" s="24" t="s">
        <v>110</v>
      </c>
      <c r="L35" s="8" t="s">
        <v>84</v>
      </c>
      <c r="M35" s="10" t="str">
        <f>(M33/2 -M34)^2 *M32/4*M34</f>
        <v>#REF!</v>
      </c>
      <c r="N35" s="36" t="s">
        <v>85</v>
      </c>
    </row>
    <row r="36">
      <c r="A36" s="39" t="s">
        <v>111</v>
      </c>
      <c r="B36" s="48">
        <f>B33/(2*B34*B35)</f>
        <v>0</v>
      </c>
      <c r="C36" s="39" t="s">
        <v>94</v>
      </c>
      <c r="L36" s="24" t="s">
        <v>88</v>
      </c>
      <c r="M36" s="38" t="str">
        <f>M31*M30/2</f>
        <v>#REF!</v>
      </c>
      <c r="N36" s="24" t="s">
        <v>89</v>
      </c>
    </row>
    <row r="37">
      <c r="A37" s="21" t="s">
        <v>118</v>
      </c>
      <c r="B37" s="51"/>
      <c r="C37" s="21" t="s">
        <v>119</v>
      </c>
      <c r="L37" s="24" t="s">
        <v>91</v>
      </c>
      <c r="M37" s="25">
        <v>1.5</v>
      </c>
      <c r="N37" s="24"/>
    </row>
    <row r="38">
      <c r="A38" s="21" t="s">
        <v>120</v>
      </c>
      <c r="B38" s="51"/>
      <c r="C38" s="23"/>
      <c r="L38" s="24" t="s">
        <v>93</v>
      </c>
      <c r="M38" s="42" t="str">
        <f>M36*(M33/2)/M35</f>
        <v>#REF!</v>
      </c>
      <c r="N38" s="24" t="s">
        <v>94</v>
      </c>
    </row>
    <row r="39">
      <c r="L39" s="24" t="s">
        <v>96</v>
      </c>
      <c r="M39" s="44">
        <v>6.22E8</v>
      </c>
      <c r="N39" s="45" t="s">
        <v>97</v>
      </c>
    </row>
    <row r="40">
      <c r="A40" s="24"/>
      <c r="B40" s="52"/>
      <c r="C40" s="26"/>
      <c r="L40" s="53" t="s">
        <v>121</v>
      </c>
      <c r="M40" s="48" t="str">
        <f>(M39/(M38*M37))-1</f>
        <v>#REF!</v>
      </c>
      <c r="N40" s="53" t="s">
        <v>122</v>
      </c>
    </row>
    <row r="41">
      <c r="A41" s="24"/>
      <c r="B41" s="52"/>
      <c r="C41" s="26"/>
    </row>
    <row r="42">
      <c r="A42" s="24"/>
      <c r="B42" s="52"/>
      <c r="C42" s="26"/>
    </row>
    <row r="43">
      <c r="A43" s="24"/>
      <c r="B43" s="52"/>
      <c r="C43" s="26"/>
    </row>
    <row r="44">
      <c r="A44" s="21" t="s">
        <v>123</v>
      </c>
      <c r="B44" s="22"/>
      <c r="C44" s="23"/>
      <c r="L44" s="21" t="s">
        <v>124</v>
      </c>
      <c r="M44" s="22"/>
      <c r="N44" s="23"/>
    </row>
    <row r="45">
      <c r="A45" s="24" t="s">
        <v>64</v>
      </c>
      <c r="B45" s="25">
        <v>6.0</v>
      </c>
      <c r="C45" s="24"/>
      <c r="L45" s="24" t="s">
        <v>62</v>
      </c>
      <c r="M45" s="25">
        <f>55*0.514444</f>
        <v>28.29442</v>
      </c>
      <c r="N45" s="24" t="s">
        <v>63</v>
      </c>
    </row>
    <row r="46">
      <c r="A46" s="26" t="s">
        <v>125</v>
      </c>
      <c r="B46" s="25">
        <f>233.146*9.8*B45/2</f>
        <v>6854.4924</v>
      </c>
      <c r="C46" s="24" t="s">
        <v>126</v>
      </c>
      <c r="L46" s="24" t="s">
        <v>65</v>
      </c>
      <c r="M46" s="50">
        <f>0.5*1.225*M45^2 *1.8*Configurations!B14</f>
        <v>1961.294156</v>
      </c>
      <c r="N46" s="24" t="s">
        <v>127</v>
      </c>
    </row>
    <row r="47">
      <c r="A47" s="24" t="s">
        <v>68</v>
      </c>
      <c r="B47" s="25">
        <f>10.626/2</f>
        <v>5.313</v>
      </c>
      <c r="C47" s="26" t="s">
        <v>29</v>
      </c>
      <c r="L47" s="24" t="s">
        <v>68</v>
      </c>
      <c r="M47" s="25">
        <f>Configurations!B16/2</f>
        <v>1.490669179</v>
      </c>
      <c r="N47" s="24" t="s">
        <v>69</v>
      </c>
    </row>
    <row r="48">
      <c r="A48" s="26" t="s">
        <v>128</v>
      </c>
      <c r="B48" s="25">
        <v>0.5</v>
      </c>
      <c r="C48" s="26" t="s">
        <v>29</v>
      </c>
      <c r="L48" s="24" t="s">
        <v>71</v>
      </c>
      <c r="M48" s="25">
        <f>Configurations!B17</f>
        <v>0.7453345896</v>
      </c>
      <c r="N48" s="24" t="s">
        <v>72</v>
      </c>
    </row>
    <row r="49">
      <c r="A49" s="26" t="s">
        <v>129</v>
      </c>
      <c r="B49" s="38">
        <f>0.15*0.5</f>
        <v>0.075</v>
      </c>
      <c r="C49" s="24" t="s">
        <v>130</v>
      </c>
      <c r="L49" s="24" t="s">
        <v>75</v>
      </c>
      <c r="M49" s="25">
        <v>0.6</v>
      </c>
      <c r="N49" s="24" t="s">
        <v>76</v>
      </c>
    </row>
    <row r="50">
      <c r="A50" s="24" t="s">
        <v>131</v>
      </c>
      <c r="B50" s="38">
        <f>B49/2</f>
        <v>0.0375</v>
      </c>
      <c r="C50" s="24"/>
      <c r="L50" s="8" t="s">
        <v>80</v>
      </c>
      <c r="M50" s="8">
        <v>0.005</v>
      </c>
      <c r="N50" s="8" t="s">
        <v>81</v>
      </c>
    </row>
    <row r="51">
      <c r="A51" s="26" t="s">
        <v>132</v>
      </c>
      <c r="B51" s="38">
        <f>B46*B47/2</f>
        <v>18208.95906</v>
      </c>
      <c r="C51" s="24" t="s">
        <v>133</v>
      </c>
      <c r="L51" s="8" t="s">
        <v>84</v>
      </c>
      <c r="M51" s="10">
        <f>(M49/2 -M50)^2 *M48/4*M50</f>
        <v>0.00008107842833</v>
      </c>
      <c r="N51" s="36" t="s">
        <v>85</v>
      </c>
    </row>
    <row r="52">
      <c r="A52" s="26" t="s">
        <v>134</v>
      </c>
      <c r="B52" s="42">
        <f>(B48*B49^3)/12</f>
        <v>0.000017578125</v>
      </c>
      <c r="C52" s="26" t="s">
        <v>135</v>
      </c>
      <c r="L52" s="24" t="s">
        <v>88</v>
      </c>
      <c r="M52" s="38">
        <f>M47*M46/2</f>
        <v>1461.820375</v>
      </c>
      <c r="N52" s="24" t="s">
        <v>89</v>
      </c>
    </row>
    <row r="53">
      <c r="A53" s="26" t="s">
        <v>136</v>
      </c>
      <c r="B53" s="35">
        <f>(B61*B62^3)/12</f>
        <v>0.000006655</v>
      </c>
      <c r="C53" s="26" t="s">
        <v>137</v>
      </c>
      <c r="L53" s="24" t="s">
        <v>91</v>
      </c>
      <c r="M53" s="25">
        <v>1.5</v>
      </c>
      <c r="N53" s="24"/>
    </row>
    <row r="54">
      <c r="A54" s="26" t="s">
        <v>138</v>
      </c>
      <c r="B54" s="35">
        <f>B52-B53</f>
        <v>0.000010923125</v>
      </c>
      <c r="C54" s="26" t="s">
        <v>135</v>
      </c>
      <c r="L54" s="24" t="s">
        <v>93</v>
      </c>
      <c r="M54" s="42">
        <f>M52*(M49/2)/M51</f>
        <v>5408912.352</v>
      </c>
      <c r="N54" s="24" t="s">
        <v>94</v>
      </c>
    </row>
    <row r="55">
      <c r="A55" s="24" t="s">
        <v>91</v>
      </c>
      <c r="B55" s="37">
        <v>1.5</v>
      </c>
      <c r="C55" s="24"/>
      <c r="L55" s="24" t="s">
        <v>96</v>
      </c>
      <c r="M55" s="44">
        <v>6.22E8</v>
      </c>
      <c r="N55" s="45" t="s">
        <v>97</v>
      </c>
    </row>
    <row r="56">
      <c r="A56" s="26" t="s">
        <v>93</v>
      </c>
      <c r="B56" s="54">
        <f>B51*B49/(2*B54)</f>
        <v>62512876.56</v>
      </c>
      <c r="C56" s="26" t="s">
        <v>94</v>
      </c>
      <c r="L56" s="53" t="s">
        <v>121</v>
      </c>
      <c r="M56" s="48">
        <f>(M55/(M54*M53))-1</f>
        <v>75.66359513</v>
      </c>
      <c r="N56" s="53" t="s">
        <v>122</v>
      </c>
    </row>
    <row r="57">
      <c r="A57" s="55" t="s">
        <v>139</v>
      </c>
      <c r="B57" s="44">
        <v>6.22E8</v>
      </c>
      <c r="C57" s="45" t="s">
        <v>97</v>
      </c>
    </row>
    <row r="58">
      <c r="A58" s="53" t="s">
        <v>121</v>
      </c>
      <c r="B58" s="48">
        <f>(B57/(B56*B55))-1</f>
        <v>5.633300041</v>
      </c>
      <c r="C58" s="53" t="s">
        <v>122</v>
      </c>
    </row>
    <row r="59">
      <c r="J59" s="56" t="s">
        <v>140</v>
      </c>
      <c r="L59" s="26"/>
      <c r="M59" s="54"/>
      <c r="N59" s="26"/>
    </row>
    <row r="60">
      <c r="A60" s="8" t="s">
        <v>141</v>
      </c>
      <c r="J60" s="57"/>
      <c r="L60" s="26"/>
      <c r="M60" s="43"/>
      <c r="N60" s="24"/>
    </row>
    <row r="61">
      <c r="A61" s="8" t="s">
        <v>142</v>
      </c>
      <c r="B61" s="58">
        <f t="shared" ref="B61:B62" si="1">B48-0.02</f>
        <v>0.48</v>
      </c>
      <c r="J61" s="56"/>
      <c r="L61" s="26"/>
      <c r="M61" s="38"/>
      <c r="N61" s="26"/>
    </row>
    <row r="62">
      <c r="A62" s="8" t="s">
        <v>143</v>
      </c>
      <c r="B62" s="58">
        <f t="shared" si="1"/>
        <v>0.055</v>
      </c>
      <c r="J62" s="57"/>
    </row>
    <row r="63">
      <c r="J63" s="56" t="s">
        <v>144</v>
      </c>
    </row>
    <row r="64">
      <c r="A64" s="21" t="s">
        <v>145</v>
      </c>
      <c r="B64" s="22"/>
      <c r="C64" s="23"/>
      <c r="L64" s="24"/>
      <c r="M64" s="52"/>
      <c r="N64" s="26"/>
    </row>
    <row r="65">
      <c r="A65" s="24" t="s">
        <v>64</v>
      </c>
      <c r="B65" s="25">
        <v>6.0</v>
      </c>
      <c r="C65" s="24"/>
      <c r="L65" s="24"/>
      <c r="M65" s="25"/>
      <c r="N65" s="24"/>
    </row>
    <row r="66">
      <c r="A66" s="26" t="s">
        <v>125</v>
      </c>
      <c r="B66" s="25">
        <f>233.146*9.8*B65/2</f>
        <v>6854.4924</v>
      </c>
      <c r="C66" s="24" t="s">
        <v>126</v>
      </c>
      <c r="L66" s="24"/>
      <c r="M66" s="59"/>
      <c r="N66" s="24"/>
    </row>
    <row r="67">
      <c r="A67" s="24" t="s">
        <v>68</v>
      </c>
      <c r="B67" s="25">
        <f>10.626/2</f>
        <v>5.313</v>
      </c>
      <c r="C67" s="26" t="s">
        <v>29</v>
      </c>
      <c r="L67" s="24"/>
      <c r="M67" s="25"/>
      <c r="N67" s="24"/>
    </row>
    <row r="68">
      <c r="A68" s="26" t="s">
        <v>128</v>
      </c>
      <c r="B68" s="25">
        <v>1.18</v>
      </c>
      <c r="C68" s="24" t="s">
        <v>146</v>
      </c>
      <c r="L68" s="24"/>
      <c r="M68" s="60"/>
      <c r="N68" s="24"/>
    </row>
    <row r="69">
      <c r="A69" s="26" t="s">
        <v>129</v>
      </c>
      <c r="B69" s="38">
        <f>0.15*0.5</f>
        <v>0.075</v>
      </c>
      <c r="C69" s="24" t="s">
        <v>130</v>
      </c>
      <c r="L69" s="24"/>
      <c r="M69" s="25"/>
      <c r="N69" s="24"/>
    </row>
    <row r="70">
      <c r="A70" s="24" t="s">
        <v>131</v>
      </c>
      <c r="B70" s="38">
        <f>B68/2</f>
        <v>0.59</v>
      </c>
      <c r="C70" s="24"/>
    </row>
    <row r="71">
      <c r="A71" s="26" t="s">
        <v>132</v>
      </c>
      <c r="B71" s="38">
        <f>B66*B67/2</f>
        <v>18208.95906</v>
      </c>
      <c r="C71" s="24" t="s">
        <v>133</v>
      </c>
      <c r="N71" s="36"/>
    </row>
    <row r="72">
      <c r="A72" s="26" t="s">
        <v>134</v>
      </c>
      <c r="B72" s="42">
        <f>(B69*B68^3)/12</f>
        <v>0.01026895</v>
      </c>
      <c r="C72" s="26" t="s">
        <v>135</v>
      </c>
      <c r="L72" s="24"/>
      <c r="M72" s="38"/>
      <c r="N72" s="24"/>
    </row>
    <row r="73">
      <c r="A73" s="26" t="s">
        <v>136</v>
      </c>
      <c r="B73" s="35">
        <f>(B82*B81^3)/12</f>
        <v>0.007154106667</v>
      </c>
      <c r="C73" s="26" t="s">
        <v>137</v>
      </c>
      <c r="L73" s="24"/>
      <c r="M73" s="25"/>
      <c r="N73" s="24"/>
    </row>
    <row r="74">
      <c r="A74" s="26" t="s">
        <v>138</v>
      </c>
      <c r="B74" s="35">
        <f>B72-B73</f>
        <v>0.003114843333</v>
      </c>
      <c r="C74" s="26" t="s">
        <v>135</v>
      </c>
      <c r="L74" s="24"/>
      <c r="M74" s="42"/>
      <c r="N74" s="24"/>
    </row>
    <row r="75">
      <c r="A75" s="24" t="s">
        <v>91</v>
      </c>
      <c r="B75" s="37">
        <v>1.5</v>
      </c>
      <c r="C75" s="26"/>
      <c r="L75" s="24"/>
      <c r="M75" s="43"/>
      <c r="N75" s="24"/>
    </row>
    <row r="76">
      <c r="A76" s="26" t="s">
        <v>93</v>
      </c>
      <c r="B76" s="54">
        <f>B71*B70/(2*B74)</f>
        <v>1724530.69</v>
      </c>
      <c r="C76" s="26" t="s">
        <v>94</v>
      </c>
      <c r="L76" s="26"/>
      <c r="M76" s="38"/>
      <c r="N76" s="26"/>
    </row>
    <row r="77">
      <c r="A77" s="55" t="s">
        <v>139</v>
      </c>
      <c r="B77" s="44">
        <v>6.22E8</v>
      </c>
      <c r="C77" s="45" t="s">
        <v>147</v>
      </c>
      <c r="L77" s="26"/>
      <c r="M77" s="38"/>
      <c r="N77" s="26"/>
    </row>
    <row r="78">
      <c r="A78" s="53" t="s">
        <v>121</v>
      </c>
      <c r="B78" s="48">
        <f>(B77/(B76*B75))-1</f>
        <v>239.4518917</v>
      </c>
      <c r="C78" s="53" t="s">
        <v>122</v>
      </c>
      <c r="L78" s="24"/>
      <c r="M78" s="38"/>
      <c r="N78" s="26"/>
    </row>
    <row r="79">
      <c r="M79" s="61">
        <f>'Controls Script Values'!C59*M85^2 *Aerodynamics!B21*1/2</f>
        <v>0</v>
      </c>
    </row>
    <row r="80">
      <c r="A80" s="8" t="s">
        <v>141</v>
      </c>
    </row>
    <row r="81">
      <c r="A81" s="8" t="s">
        <v>142</v>
      </c>
      <c r="B81" s="58">
        <f t="shared" ref="B81:B82" si="2">B68-0.02</f>
        <v>1.16</v>
      </c>
    </row>
    <row r="82">
      <c r="A82" s="8" t="s">
        <v>143</v>
      </c>
      <c r="B82" s="58">
        <f t="shared" si="2"/>
        <v>0.055</v>
      </c>
    </row>
    <row r="84">
      <c r="L84" s="27" t="s">
        <v>148</v>
      </c>
      <c r="M84" s="22"/>
      <c r="N84" s="23"/>
    </row>
    <row r="85">
      <c r="A85" s="62" t="s">
        <v>149</v>
      </c>
      <c r="B85" s="63"/>
      <c r="C85" s="21"/>
      <c r="E85" s="62" t="s">
        <v>150</v>
      </c>
      <c r="F85" s="63"/>
      <c r="G85" s="21"/>
      <c r="L85" s="24" t="s">
        <v>62</v>
      </c>
      <c r="M85" s="25">
        <f>55*0.514444</f>
        <v>28.29442</v>
      </c>
      <c r="N85" s="24" t="s">
        <v>63</v>
      </c>
    </row>
    <row r="86">
      <c r="A86" s="8" t="s">
        <v>31</v>
      </c>
      <c r="B86" s="64">
        <f>Configurations!$B$6</f>
        <v>2.36</v>
      </c>
      <c r="C86" s="8" t="s">
        <v>29</v>
      </c>
      <c r="E86" s="8" t="s">
        <v>151</v>
      </c>
      <c r="F86" s="64">
        <f>Configurations!B14/4</f>
        <v>0.5555236505</v>
      </c>
      <c r="G86" s="8" t="s">
        <v>25</v>
      </c>
      <c r="L86" s="24" t="s">
        <v>65</v>
      </c>
      <c r="M86" s="31">
        <f>0.5*1.225*M85^2*Configurations!B26*1</f>
        <v>490.323539</v>
      </c>
      <c r="N86" s="24" t="s">
        <v>66</v>
      </c>
    </row>
    <row r="87">
      <c r="A87" s="8" t="s">
        <v>152</v>
      </c>
      <c r="B87" s="64">
        <f> 1.295</f>
        <v>1.295</v>
      </c>
      <c r="C87" s="8" t="s">
        <v>29</v>
      </c>
      <c r="E87" s="8" t="s">
        <v>153</v>
      </c>
      <c r="F87" s="64">
        <f>Configurations!B17</f>
        <v>0.7453345896</v>
      </c>
      <c r="G87" s="8" t="s">
        <v>29</v>
      </c>
      <c r="L87" s="24" t="s">
        <v>68</v>
      </c>
      <c r="M87" s="25">
        <f>Configurations!B28/2</f>
        <v>0.6123548515</v>
      </c>
      <c r="N87" s="24" t="s">
        <v>69</v>
      </c>
    </row>
    <row r="88">
      <c r="A88" s="8" t="s">
        <v>32</v>
      </c>
      <c r="B88" s="64">
        <f>Configurations!$B$7</f>
        <v>1.18</v>
      </c>
      <c r="C88" s="8" t="s">
        <v>29</v>
      </c>
      <c r="E88" s="8" t="s">
        <v>154</v>
      </c>
      <c r="F88" s="10">
        <f>F86*B90+F87*B92*F87*0.012</f>
        <v>0.0005621899343</v>
      </c>
      <c r="G88" s="8" t="s">
        <v>155</v>
      </c>
      <c r="L88" s="24" t="s">
        <v>71</v>
      </c>
      <c r="M88" s="25">
        <f>Configurations!B29</f>
        <v>0.8164731353</v>
      </c>
      <c r="N88" s="24" t="s">
        <v>72</v>
      </c>
    </row>
    <row r="89">
      <c r="A89" s="8" t="s">
        <v>156</v>
      </c>
      <c r="B89" s="64">
        <f>B88*2.000847458</f>
        <v>2.361</v>
      </c>
      <c r="C89" s="8" t="s">
        <v>29</v>
      </c>
      <c r="E89" s="8" t="s">
        <v>157</v>
      </c>
      <c r="F89" s="64">
        <f>Configurations!B26/4</f>
        <v>0.2499856427</v>
      </c>
      <c r="G89" s="8" t="s">
        <v>25</v>
      </c>
      <c r="L89" s="24" t="s">
        <v>75</v>
      </c>
      <c r="M89" s="25">
        <f>1</f>
        <v>1</v>
      </c>
      <c r="N89" s="24" t="s">
        <v>76</v>
      </c>
    </row>
    <row r="90">
      <c r="A90" s="8" t="s">
        <v>158</v>
      </c>
      <c r="B90" s="65">
        <f>$B$24</f>
        <v>0.001</v>
      </c>
      <c r="C90" s="8" t="s">
        <v>29</v>
      </c>
      <c r="E90" s="8" t="s">
        <v>159</v>
      </c>
      <c r="F90" s="64">
        <f>Configurations!B29</f>
        <v>0.8164731353</v>
      </c>
      <c r="G90" s="8" t="s">
        <v>29</v>
      </c>
      <c r="L90" s="8" t="s">
        <v>80</v>
      </c>
      <c r="M90" s="8">
        <v>0.005</v>
      </c>
      <c r="N90" s="8" t="s">
        <v>81</v>
      </c>
    </row>
    <row r="91">
      <c r="A91" s="8" t="s">
        <v>160</v>
      </c>
      <c r="B91" s="65">
        <v>0.001</v>
      </c>
      <c r="C91" s="8" t="s">
        <v>29</v>
      </c>
      <c r="E91" s="8" t="s">
        <v>161</v>
      </c>
      <c r="F91" s="64">
        <f>F89*B90+F90*B92*F90*0.012</f>
        <v>0.0002579851833</v>
      </c>
      <c r="G91" s="8" t="s">
        <v>155</v>
      </c>
      <c r="L91" s="8" t="s">
        <v>84</v>
      </c>
      <c r="M91" s="10">
        <f>(M89/2 -M90)^2 *M88/4*M90</f>
        <v>0.0002500704125</v>
      </c>
      <c r="N91" s="36" t="s">
        <v>85</v>
      </c>
    </row>
    <row r="92">
      <c r="A92" s="8" t="s">
        <v>162</v>
      </c>
      <c r="B92" s="64">
        <f>$B$24</f>
        <v>0.001</v>
      </c>
      <c r="C92" s="8" t="s">
        <v>29</v>
      </c>
      <c r="E92" s="8" t="s">
        <v>163</v>
      </c>
      <c r="F92" s="65">
        <v>1550.0</v>
      </c>
      <c r="G92" s="8" t="s">
        <v>164</v>
      </c>
      <c r="L92" s="24" t="s">
        <v>88</v>
      </c>
      <c r="M92" s="38">
        <f>M87*M86/2</f>
        <v>150.1259989</v>
      </c>
      <c r="N92" s="24" t="s">
        <v>89</v>
      </c>
    </row>
    <row r="93">
      <c r="A93" s="8" t="s">
        <v>165</v>
      </c>
      <c r="B93" s="64">
        <f>Configurations!$B$4</f>
        <v>10.63</v>
      </c>
      <c r="C93" s="8" t="s">
        <v>29</v>
      </c>
      <c r="E93" s="8" t="s">
        <v>166</v>
      </c>
      <c r="F93" s="64">
        <f>F92*(F88+F91)</f>
        <v>1.271271432</v>
      </c>
      <c r="G93" s="8" t="s">
        <v>55</v>
      </c>
      <c r="L93" s="24" t="s">
        <v>91</v>
      </c>
      <c r="M93" s="25">
        <v>1.5</v>
      </c>
      <c r="N93" s="24"/>
    </row>
    <row r="94">
      <c r="A94" s="8" t="s">
        <v>167</v>
      </c>
      <c r="B94" s="64">
        <f>B90*B93*(B87+B89)/2</f>
        <v>0.01943164</v>
      </c>
      <c r="C94" s="8" t="s">
        <v>155</v>
      </c>
      <c r="F94" s="64"/>
      <c r="L94" s="24" t="s">
        <v>93</v>
      </c>
      <c r="M94" s="42">
        <f>M92*(M89/2)/M91</f>
        <v>300167.4558</v>
      </c>
      <c r="N94" s="24" t="s">
        <v>94</v>
      </c>
    </row>
    <row r="95">
      <c r="A95" s="8" t="s">
        <v>168</v>
      </c>
      <c r="B95" s="64">
        <f>B93*B92*(B86*0.15-B91)+B93*(B91*B92)</f>
        <v>0.00376302</v>
      </c>
      <c r="C95" s="8" t="s">
        <v>155</v>
      </c>
      <c r="E95" s="62" t="s">
        <v>169</v>
      </c>
      <c r="F95" s="63"/>
      <c r="G95" s="21"/>
      <c r="L95" s="24" t="s">
        <v>96</v>
      </c>
      <c r="M95" s="44">
        <v>6.22E8</v>
      </c>
      <c r="N95" s="45" t="s">
        <v>97</v>
      </c>
    </row>
    <row r="96">
      <c r="A96" s="8" t="s">
        <v>163</v>
      </c>
      <c r="B96" s="65">
        <v>1550.0</v>
      </c>
      <c r="C96" s="8" t="s">
        <v>164</v>
      </c>
      <c r="E96" s="8" t="s">
        <v>170</v>
      </c>
      <c r="F96" s="65">
        <f>5.522*2</f>
        <v>11.044</v>
      </c>
      <c r="G96" s="8" t="s">
        <v>25</v>
      </c>
      <c r="L96" s="39" t="s">
        <v>171</v>
      </c>
      <c r="M96" s="66">
        <f>M95/(M94*1.5) </f>
        <v>1381.451116</v>
      </c>
      <c r="N96" s="53" t="s">
        <v>122</v>
      </c>
    </row>
    <row r="97">
      <c r="A97" s="8" t="s">
        <v>166</v>
      </c>
      <c r="B97" s="64">
        <f>B96*(B94+B95)</f>
        <v>35.951723</v>
      </c>
      <c r="C97" s="8" t="s">
        <v>55</v>
      </c>
      <c r="E97" s="8" t="s">
        <v>172</v>
      </c>
      <c r="F97" s="10">
        <f>F96*F99</f>
        <v>0.005522</v>
      </c>
      <c r="G97" s="8" t="s">
        <v>155</v>
      </c>
      <c r="L97" s="67"/>
      <c r="M97" s="68"/>
      <c r="N97" s="55"/>
    </row>
    <row r="98">
      <c r="E98" s="8" t="s">
        <v>173</v>
      </c>
      <c r="F98" s="64">
        <f>C109*F99*B86*0.015</f>
        <v>0.000128856</v>
      </c>
      <c r="G98" s="8" t="s">
        <v>155</v>
      </c>
    </row>
    <row r="99">
      <c r="E99" s="8" t="s">
        <v>174</v>
      </c>
      <c r="F99" s="8">
        <v>5.0E-4</v>
      </c>
      <c r="G99" s="8" t="s">
        <v>29</v>
      </c>
    </row>
    <row r="100">
      <c r="E100" s="8" t="s">
        <v>163</v>
      </c>
      <c r="F100" s="65">
        <v>1550.0</v>
      </c>
      <c r="G100" s="8" t="s">
        <v>164</v>
      </c>
      <c r="L100" s="27" t="s">
        <v>175</v>
      </c>
      <c r="M100" s="22"/>
      <c r="N100" s="23"/>
    </row>
    <row r="101">
      <c r="E101" s="8" t="s">
        <v>166</v>
      </c>
      <c r="F101" s="64">
        <f>(F97+F98)*F100+2</f>
        <v>10.7588268</v>
      </c>
      <c r="G101" s="8" t="s">
        <v>55</v>
      </c>
      <c r="L101" s="24" t="s">
        <v>67</v>
      </c>
      <c r="M101" s="25" t="str">
        <f>'Load Cases'!M82</f>
        <v/>
      </c>
      <c r="N101" s="24" t="s">
        <v>117</v>
      </c>
    </row>
    <row r="102">
      <c r="L102" s="24" t="s">
        <v>104</v>
      </c>
      <c r="M102" s="47">
        <f>0.25*Configurations!M87</f>
        <v>0</v>
      </c>
      <c r="N102" s="24" t="s">
        <v>105</v>
      </c>
    </row>
    <row r="103">
      <c r="L103" s="24" t="s">
        <v>106</v>
      </c>
      <c r="M103" s="38">
        <f>M101*M102</f>
        <v>0</v>
      </c>
      <c r="N103" s="24" t="s">
        <v>107</v>
      </c>
    </row>
    <row r="104">
      <c r="A104" s="62" t="s">
        <v>176</v>
      </c>
      <c r="B104" s="63" t="s">
        <v>177</v>
      </c>
      <c r="C104" s="21" t="s">
        <v>178</v>
      </c>
      <c r="D104" s="21" t="s">
        <v>179</v>
      </c>
      <c r="L104" s="24" t="s">
        <v>108</v>
      </c>
      <c r="M104" s="25">
        <f>2*0.014423*(12/15)*Configurations!M87^2</f>
        <v>0</v>
      </c>
      <c r="N104" s="24" t="s">
        <v>25</v>
      </c>
    </row>
    <row r="105">
      <c r="A105" s="8" t="s">
        <v>180</v>
      </c>
      <c r="B105" s="69">
        <v>104.326</v>
      </c>
      <c r="C105" s="8">
        <v>0.3</v>
      </c>
      <c r="D105" s="10">
        <f t="shared" ref="D105:D111" si="3">B105*C105</f>
        <v>31.2978</v>
      </c>
      <c r="G105" s="70">
        <v>104.33</v>
      </c>
      <c r="L105" s="24" t="s">
        <v>109</v>
      </c>
      <c r="M105" s="46">
        <v>0.001</v>
      </c>
      <c r="N105" s="24" t="s">
        <v>110</v>
      </c>
    </row>
    <row r="106">
      <c r="A106" s="8" t="s">
        <v>54</v>
      </c>
      <c r="B106" s="69">
        <f>Configurations!$B$54</f>
        <v>38.23764784</v>
      </c>
      <c r="C106" s="8">
        <v>-0.5</v>
      </c>
      <c r="D106" s="10">
        <f t="shared" si="3"/>
        <v>-19.11882392</v>
      </c>
      <c r="G106" s="70">
        <v>80.0</v>
      </c>
      <c r="L106" s="39" t="s">
        <v>111</v>
      </c>
      <c r="M106" s="48" t="str">
        <f>M103/(2*M104*M105)</f>
        <v>#DIV/0!</v>
      </c>
      <c r="N106" s="39" t="s">
        <v>94</v>
      </c>
    </row>
    <row r="107">
      <c r="A107" s="8" t="s">
        <v>181</v>
      </c>
      <c r="B107" s="69">
        <f>Configurations!$B$55*0.8</f>
        <v>16.03390137</v>
      </c>
      <c r="C107" s="8">
        <v>0.59</v>
      </c>
      <c r="D107" s="10">
        <f t="shared" si="3"/>
        <v>9.460001809</v>
      </c>
      <c r="G107" s="70">
        <v>16.0</v>
      </c>
      <c r="N107" s="36"/>
    </row>
    <row r="108">
      <c r="A108" s="8" t="s">
        <v>182</v>
      </c>
      <c r="B108" s="58">
        <f>$B$97</f>
        <v>35.951723</v>
      </c>
      <c r="C108" s="8">
        <v>0.59</v>
      </c>
      <c r="D108" s="10">
        <f t="shared" si="3"/>
        <v>21.21151657</v>
      </c>
      <c r="G108" s="70">
        <v>64.18</v>
      </c>
      <c r="L108" s="24"/>
      <c r="M108" s="38"/>
      <c r="N108" s="24"/>
    </row>
    <row r="109">
      <c r="A109" s="8" t="s">
        <v>183</v>
      </c>
      <c r="B109" s="69">
        <f>Configurations!$B$55*0.2</f>
        <v>4.008475343</v>
      </c>
      <c r="C109" s="8">
        <v>7.28</v>
      </c>
      <c r="D109" s="10">
        <f t="shared" si="3"/>
        <v>29.1817005</v>
      </c>
      <c r="G109" s="70">
        <v>4.0</v>
      </c>
      <c r="L109" s="24"/>
      <c r="M109" s="25"/>
      <c r="N109" s="24"/>
    </row>
    <row r="110">
      <c r="A110" s="8" t="s">
        <v>184</v>
      </c>
      <c r="B110" s="58">
        <f>$F$93</f>
        <v>1.271271432</v>
      </c>
      <c r="C110" s="8">
        <v>7.28</v>
      </c>
      <c r="D110" s="10">
        <f t="shared" si="3"/>
        <v>9.254856027</v>
      </c>
      <c r="G110" s="70">
        <v>6.38</v>
      </c>
      <c r="L110" s="24"/>
      <c r="M110" s="42"/>
      <c r="N110" s="24"/>
    </row>
    <row r="111">
      <c r="A111" s="8" t="s">
        <v>185</v>
      </c>
      <c r="B111" s="69">
        <f>$F$101</f>
        <v>10.7588268</v>
      </c>
      <c r="C111" s="8">
        <v>3.0</v>
      </c>
      <c r="D111" s="10">
        <f t="shared" si="3"/>
        <v>32.2764804</v>
      </c>
      <c r="G111" s="70">
        <v>8.76</v>
      </c>
      <c r="L111" s="24"/>
      <c r="M111" s="44"/>
      <c r="N111" s="45"/>
    </row>
    <row r="112">
      <c r="A112" s="7" t="s">
        <v>186</v>
      </c>
      <c r="B112" s="69">
        <f>SUM(B105:B111)</f>
        <v>210.5878458</v>
      </c>
      <c r="C112" s="8">
        <v>0.59</v>
      </c>
      <c r="D112" s="10">
        <f>SUM(D105:D111)/B112</f>
        <v>0.5392691632</v>
      </c>
      <c r="G112" s="10">
        <f>SUM(G105:G111)</f>
        <v>283.65</v>
      </c>
      <c r="L112" s="24"/>
      <c r="M112" s="52"/>
      <c r="N112" s="26"/>
    </row>
    <row r="115">
      <c r="A115" s="62" t="s">
        <v>187</v>
      </c>
      <c r="B115" s="63" t="s">
        <v>177</v>
      </c>
    </row>
    <row r="116">
      <c r="A116" s="8" t="s">
        <v>180</v>
      </c>
      <c r="B116" s="69">
        <v>104.326</v>
      </c>
    </row>
    <row r="117">
      <c r="A117" s="8" t="s">
        <v>188</v>
      </c>
      <c r="B117" s="58">
        <v>64.18420576087448</v>
      </c>
    </row>
    <row r="118">
      <c r="A118" s="8" t="s">
        <v>181</v>
      </c>
      <c r="B118" s="69">
        <v>5.710688920032052</v>
      </c>
    </row>
    <row r="119">
      <c r="A119" s="8" t="s">
        <v>184</v>
      </c>
      <c r="B119" s="58">
        <v>6.3759808</v>
      </c>
    </row>
    <row r="120">
      <c r="A120" s="8" t="s">
        <v>51</v>
      </c>
      <c r="B120" s="69">
        <v>1.427672230008013</v>
      </c>
    </row>
    <row r="121">
      <c r="A121" s="71" t="s">
        <v>185</v>
      </c>
      <c r="B121" s="69">
        <v>8.7588268</v>
      </c>
    </row>
    <row r="122">
      <c r="A122" s="8" t="s">
        <v>54</v>
      </c>
      <c r="B122" s="69">
        <v>37.424992130369695</v>
      </c>
    </row>
    <row r="125">
      <c r="A125" s="71" t="s">
        <v>186</v>
      </c>
      <c r="B125" s="69">
        <v>228.20836664128424</v>
      </c>
    </row>
    <row r="131">
      <c r="A131" s="72" t="s">
        <v>187</v>
      </c>
      <c r="B131" s="73" t="s">
        <v>177</v>
      </c>
      <c r="C131" s="73" t="s">
        <v>178</v>
      </c>
      <c r="D131" s="72" t="s">
        <v>189</v>
      </c>
    </row>
    <row r="132">
      <c r="A132" s="71" t="s">
        <v>180</v>
      </c>
      <c r="B132" s="69">
        <v>104.326</v>
      </c>
      <c r="C132" s="69">
        <v>1.0</v>
      </c>
      <c r="D132" s="69">
        <v>0.4572</v>
      </c>
    </row>
    <row r="133">
      <c r="A133" s="71" t="s">
        <v>182</v>
      </c>
      <c r="B133" s="58">
        <f>$B$97</f>
        <v>35.951723</v>
      </c>
      <c r="C133" s="69">
        <v>0.59</v>
      </c>
      <c r="D133" s="69">
        <v>0.0</v>
      </c>
    </row>
    <row r="134">
      <c r="A134" s="71" t="s">
        <v>181</v>
      </c>
      <c r="B134" s="69">
        <f>Configurations!$B$55*(2/3)</f>
        <v>13.36158448</v>
      </c>
      <c r="C134" s="69">
        <v>0.0</v>
      </c>
      <c r="D134" s="69">
        <v>0.0</v>
      </c>
    </row>
    <row r="135">
      <c r="A135" s="8" t="s">
        <v>190</v>
      </c>
      <c r="B135" s="58">
        <f>$F$93</f>
        <v>1.271271432</v>
      </c>
      <c r="C135" s="69">
        <v>7.28</v>
      </c>
      <c r="D135" s="69">
        <v>1.0</v>
      </c>
    </row>
    <row r="136">
      <c r="A136" s="8" t="s">
        <v>191</v>
      </c>
      <c r="B136" s="69">
        <f>Configurations!$B$55*(1/3)</f>
        <v>6.680792238</v>
      </c>
      <c r="C136" s="69">
        <f>7.28-0.169835</f>
        <v>7.110165</v>
      </c>
      <c r="D136" s="58">
        <v>1.3586934250573472</v>
      </c>
    </row>
    <row r="137">
      <c r="A137" s="71" t="s">
        <v>54</v>
      </c>
      <c r="B137" s="69">
        <f>Configurations!$B$54</f>
        <v>38.23764784</v>
      </c>
      <c r="C137" s="69">
        <f>($B$144*C144-(SUMPRODUCT(B132:B136,C132:C136)+SUMPRODUCT(B138:B142,C138:C142)))/B137</f>
        <v>-1.019866714</v>
      </c>
      <c r="D137" s="69">
        <v>0.5</v>
      </c>
    </row>
    <row r="138">
      <c r="A138" s="8" t="s">
        <v>44</v>
      </c>
      <c r="B138" s="69">
        <v>5.0</v>
      </c>
      <c r="C138" s="69">
        <v>4.0</v>
      </c>
      <c r="D138" s="69">
        <v>0.0</v>
      </c>
    </row>
    <row r="139">
      <c r="A139" s="8" t="s">
        <v>192</v>
      </c>
      <c r="B139" s="69">
        <f>B143*0.04</f>
        <v>8.8</v>
      </c>
      <c r="C139" s="69">
        <v>0.0</v>
      </c>
      <c r="D139" s="69">
        <v>-1.0</v>
      </c>
    </row>
    <row r="140">
      <c r="A140" s="8" t="s">
        <v>193</v>
      </c>
      <c r="B140" s="69">
        <v>1.0</v>
      </c>
      <c r="C140" s="69">
        <v>1.0</v>
      </c>
      <c r="D140" s="69">
        <v>0.1</v>
      </c>
    </row>
    <row r="141">
      <c r="A141" s="8" t="s">
        <v>194</v>
      </c>
      <c r="B141" s="69">
        <v>9.0</v>
      </c>
      <c r="C141" s="69">
        <v>-0.6</v>
      </c>
      <c r="D141" s="69">
        <v>0.5</v>
      </c>
    </row>
    <row r="142">
      <c r="A142" s="8" t="s">
        <v>195</v>
      </c>
      <c r="B142" s="69">
        <v>1.0</v>
      </c>
      <c r="C142" s="69">
        <v>0.59</v>
      </c>
      <c r="D142" s="69">
        <v>0.0</v>
      </c>
    </row>
    <row r="143">
      <c r="A143" s="72" t="s">
        <v>196</v>
      </c>
      <c r="B143" s="72">
        <v>220.0</v>
      </c>
      <c r="C143" s="72">
        <v>0.71</v>
      </c>
      <c r="D143" s="74">
        <f>1.36*(1/2.5)</f>
        <v>0.544</v>
      </c>
    </row>
    <row r="144">
      <c r="A144" s="71" t="s">
        <v>186</v>
      </c>
      <c r="B144" s="69">
        <f>SUM(B132:B142)</f>
        <v>224.629019</v>
      </c>
      <c r="C144" s="69">
        <v>0.71</v>
      </c>
      <c r="D144" s="58">
        <f>SUMPRODUCT(B132:B142,D132:D142)/$B$144</f>
        <v>0.3248248662</v>
      </c>
    </row>
    <row r="153">
      <c r="D153" s="75"/>
      <c r="E153" s="75"/>
      <c r="F153" s="70"/>
      <c r="G153" s="70"/>
    </row>
    <row r="154">
      <c r="D154" s="75"/>
      <c r="E154" s="75"/>
      <c r="F154" s="70"/>
      <c r="G154" s="70"/>
    </row>
    <row r="155">
      <c r="D155" s="75"/>
      <c r="E155" s="75"/>
      <c r="F155" s="70"/>
      <c r="G155" s="70"/>
    </row>
    <row r="156">
      <c r="D156" s="75"/>
      <c r="E156" s="75"/>
      <c r="F156" s="70"/>
      <c r="G156" s="70"/>
    </row>
    <row r="157">
      <c r="D157" s="75"/>
      <c r="E157" s="75"/>
      <c r="F157" s="70"/>
      <c r="G157" s="70"/>
    </row>
    <row r="158">
      <c r="D158" s="75"/>
      <c r="E158" s="75"/>
      <c r="F158" s="70"/>
      <c r="G158" s="70"/>
    </row>
    <row r="159">
      <c r="B159" s="8"/>
      <c r="D159" s="75"/>
      <c r="E159" s="75"/>
      <c r="F159" s="70"/>
      <c r="G159" s="70"/>
    </row>
    <row r="160">
      <c r="B160" s="8"/>
      <c r="D160" s="75"/>
      <c r="E160" s="75"/>
      <c r="F160" s="70"/>
      <c r="G160" s="70"/>
    </row>
    <row r="161">
      <c r="B161" s="8"/>
      <c r="D161" s="75"/>
      <c r="E161" s="75"/>
      <c r="F161" s="70"/>
      <c r="G161" s="70"/>
    </row>
    <row r="162">
      <c r="B162" s="8"/>
      <c r="D162" s="75"/>
      <c r="E162" s="75"/>
      <c r="F162" s="70"/>
      <c r="G162" s="70"/>
    </row>
    <row r="163">
      <c r="D163" s="75"/>
      <c r="E163" s="75"/>
      <c r="F163" s="70"/>
      <c r="G163" s="70"/>
    </row>
    <row r="165">
      <c r="D165" s="75"/>
      <c r="G165" s="7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6" t="s">
        <v>197</v>
      </c>
      <c r="B1" s="76" t="s">
        <v>198</v>
      </c>
      <c r="C1" s="76" t="s">
        <v>199</v>
      </c>
    </row>
    <row r="2">
      <c r="A2" s="8" t="s">
        <v>200</v>
      </c>
      <c r="B2" s="77">
        <v>0.0</v>
      </c>
      <c r="C2" s="8" t="s">
        <v>201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63"/>
    <col customWidth="1" min="2" max="2" width="25.13"/>
    <col customWidth="1" min="3" max="3" width="32.5"/>
    <col customWidth="1" min="4" max="5" width="25.13"/>
    <col customWidth="1" min="6" max="6" width="36.88"/>
    <col customWidth="1" min="11" max="11" width="15.38"/>
    <col customWidth="1" min="12" max="12" width="10.75"/>
    <col customWidth="1" min="13" max="13" width="26.25"/>
    <col customWidth="1" min="15" max="15" width="9.75"/>
    <col customWidth="1" min="16" max="16" width="35.5"/>
  </cols>
  <sheetData>
    <row r="1">
      <c r="A1" s="78" t="s">
        <v>202</v>
      </c>
      <c r="B1" s="79" t="s">
        <v>203</v>
      </c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>
      <c r="A2" s="81"/>
      <c r="B2" s="26"/>
      <c r="C2" s="26" t="s">
        <v>204</v>
      </c>
      <c r="D2" s="82" t="s">
        <v>205</v>
      </c>
      <c r="E2" s="83"/>
      <c r="F2" s="83"/>
      <c r="G2" s="83"/>
      <c r="H2" s="83"/>
      <c r="I2" s="83"/>
      <c r="J2" s="83"/>
      <c r="K2" s="84" t="s">
        <v>206</v>
      </c>
      <c r="L2" s="85" t="s">
        <v>207</v>
      </c>
      <c r="M2" s="85" t="s">
        <v>208</v>
      </c>
      <c r="N2" s="4"/>
      <c r="O2" s="85" t="s">
        <v>209</v>
      </c>
      <c r="P2" s="85" t="s">
        <v>208</v>
      </c>
      <c r="Q2" s="83"/>
      <c r="R2" s="83"/>
      <c r="S2" s="83"/>
      <c r="T2" s="83"/>
      <c r="U2" s="83"/>
      <c r="V2" s="83"/>
      <c r="W2" s="83"/>
      <c r="X2" s="83"/>
      <c r="Y2" s="83"/>
      <c r="Z2" s="83"/>
    </row>
    <row r="3">
      <c r="A3" s="86" t="s">
        <v>210</v>
      </c>
      <c r="B3" s="87">
        <f> B5*(0.25+(1+2/B8)/(1+2/B13)*(1-4/(B8+2))*B15)</f>
        <v>0.7576216984</v>
      </c>
      <c r="C3" s="26" t="s">
        <v>29</v>
      </c>
      <c r="D3" s="88" t="s">
        <v>211</v>
      </c>
      <c r="E3" s="88">
        <v>0.01267</v>
      </c>
      <c r="F3" s="89" t="s">
        <v>212</v>
      </c>
      <c r="G3" s="83"/>
      <c r="H3" s="83"/>
      <c r="I3" s="83"/>
      <c r="J3" s="83"/>
      <c r="K3" s="84" t="s">
        <v>213</v>
      </c>
      <c r="L3" s="90" t="s">
        <v>214</v>
      </c>
      <c r="M3" s="3" t="s">
        <v>215</v>
      </c>
      <c r="N3" s="4"/>
      <c r="O3" s="3" t="s">
        <v>34</v>
      </c>
      <c r="P3" s="3" t="s">
        <v>216</v>
      </c>
      <c r="Q3" s="83"/>
      <c r="R3" s="83"/>
      <c r="S3" s="83"/>
      <c r="T3" s="83"/>
      <c r="U3" s="83"/>
      <c r="V3" s="83"/>
      <c r="W3" s="83"/>
      <c r="X3" s="83"/>
      <c r="Y3" s="83"/>
      <c r="Z3" s="83"/>
    </row>
    <row r="4">
      <c r="A4" s="91" t="s">
        <v>217</v>
      </c>
      <c r="B4" s="92">
        <v>0.75</v>
      </c>
      <c r="C4" s="26" t="s">
        <v>29</v>
      </c>
      <c r="D4" s="88" t="s">
        <v>218</v>
      </c>
      <c r="E4" s="88">
        <v>0.0137</v>
      </c>
      <c r="F4" s="89" t="s">
        <v>219</v>
      </c>
      <c r="G4" s="83"/>
      <c r="H4" s="83"/>
      <c r="I4" s="83"/>
      <c r="J4" s="83"/>
      <c r="K4" s="84" t="s">
        <v>220</v>
      </c>
      <c r="L4" s="93"/>
      <c r="M4" s="4"/>
      <c r="N4" s="4"/>
      <c r="O4" s="3" t="s">
        <v>221</v>
      </c>
      <c r="P4" s="3" t="s">
        <v>222</v>
      </c>
      <c r="Q4" s="83"/>
      <c r="R4" s="83"/>
      <c r="S4" s="83"/>
      <c r="T4" s="83"/>
      <c r="U4" s="83"/>
      <c r="V4" s="83"/>
      <c r="W4" s="83"/>
      <c r="X4" s="83"/>
      <c r="Y4" s="83"/>
      <c r="Z4" s="83"/>
    </row>
    <row r="5">
      <c r="A5" s="94" t="s">
        <v>223</v>
      </c>
      <c r="B5" s="87">
        <f> B9/B10</f>
        <v>1.771063711</v>
      </c>
      <c r="C5" s="26" t="s">
        <v>29</v>
      </c>
      <c r="D5" s="88" t="s">
        <v>224</v>
      </c>
      <c r="E5" s="95">
        <f>E4+E3</f>
        <v>0.02637</v>
      </c>
      <c r="F5" s="83"/>
      <c r="G5" s="83"/>
      <c r="H5" s="83"/>
      <c r="I5" s="83"/>
      <c r="J5" s="83"/>
      <c r="K5" s="84" t="s">
        <v>225</v>
      </c>
      <c r="L5" s="93"/>
      <c r="M5" s="4"/>
      <c r="N5" s="4"/>
      <c r="O5" s="90"/>
      <c r="P5" s="3"/>
      <c r="Q5" s="83"/>
      <c r="R5" s="83"/>
      <c r="S5" s="83"/>
      <c r="T5" s="83"/>
      <c r="U5" s="83"/>
      <c r="V5" s="83"/>
      <c r="W5" s="83"/>
      <c r="X5" s="83"/>
      <c r="Y5" s="83"/>
      <c r="Z5" s="83"/>
    </row>
    <row r="6">
      <c r="A6" s="94" t="s">
        <v>226</v>
      </c>
      <c r="B6" s="88">
        <f>B5*4/3</f>
        <v>2.361418281</v>
      </c>
      <c r="C6" s="26" t="s">
        <v>29</v>
      </c>
      <c r="D6" s="88" t="s">
        <v>227</v>
      </c>
      <c r="E6" s="95">
        <f>E5*0.5*1.225*28*28*B9</f>
        <v>238.3152887</v>
      </c>
      <c r="F6" s="89" t="s">
        <v>201</v>
      </c>
      <c r="G6" s="83"/>
      <c r="H6" s="83"/>
      <c r="I6" s="83"/>
      <c r="J6" s="83"/>
      <c r="K6" s="84" t="s">
        <v>228</v>
      </c>
      <c r="L6" s="93"/>
      <c r="M6" s="4"/>
      <c r="N6" s="4"/>
      <c r="O6" s="90">
        <v>1.5874</v>
      </c>
      <c r="P6" s="3" t="s">
        <v>229</v>
      </c>
      <c r="Q6" s="83"/>
      <c r="R6" s="83"/>
      <c r="S6" s="83"/>
      <c r="T6" s="83"/>
      <c r="U6" s="83"/>
      <c r="V6" s="83"/>
      <c r="W6" s="83"/>
      <c r="X6" s="83"/>
      <c r="Y6" s="83"/>
      <c r="Z6" s="83"/>
    </row>
    <row r="7">
      <c r="A7" s="94" t="s">
        <v>230</v>
      </c>
      <c r="B7" s="88">
        <f>B6/2</f>
        <v>1.18070914</v>
      </c>
      <c r="C7" s="26" t="s">
        <v>29</v>
      </c>
      <c r="D7" s="88" t="s">
        <v>231</v>
      </c>
      <c r="E7" s="95">
        <f>E6*1.2</f>
        <v>285.9783464</v>
      </c>
      <c r="F7" s="89" t="s">
        <v>201</v>
      </c>
      <c r="G7" s="83"/>
      <c r="H7" s="83"/>
      <c r="I7" s="83"/>
      <c r="J7" s="83"/>
      <c r="K7" s="84" t="s">
        <v>232</v>
      </c>
      <c r="L7" s="93"/>
      <c r="M7" s="4"/>
      <c r="N7" s="4"/>
      <c r="O7" s="90">
        <v>44.15</v>
      </c>
      <c r="P7" s="3" t="s">
        <v>229</v>
      </c>
      <c r="Q7" s="83"/>
      <c r="R7" s="83"/>
      <c r="S7" s="83"/>
      <c r="T7" s="83"/>
      <c r="U7" s="83"/>
      <c r="V7" s="83"/>
      <c r="W7" s="83"/>
      <c r="X7" s="83"/>
      <c r="Y7" s="83"/>
      <c r="Z7" s="83"/>
    </row>
    <row r="8">
      <c r="A8" s="96" t="s">
        <v>233</v>
      </c>
      <c r="B8" s="92">
        <v>6.0</v>
      </c>
      <c r="C8" s="26" t="s">
        <v>27</v>
      </c>
      <c r="D8" s="83"/>
      <c r="E8" s="83"/>
      <c r="F8" s="83"/>
      <c r="G8" s="83"/>
      <c r="H8" s="83"/>
      <c r="I8" s="83"/>
      <c r="J8" s="83"/>
      <c r="K8" s="84" t="s">
        <v>234</v>
      </c>
      <c r="L8" s="93"/>
      <c r="M8" s="4"/>
      <c r="N8" s="4"/>
      <c r="O8" s="90">
        <v>0.5701</v>
      </c>
      <c r="P8" s="3" t="s">
        <v>229</v>
      </c>
      <c r="Q8" s="83"/>
      <c r="R8" s="83"/>
      <c r="S8" s="83"/>
      <c r="T8" s="83"/>
      <c r="U8" s="83"/>
      <c r="V8" s="83"/>
      <c r="W8" s="83"/>
      <c r="X8" s="83"/>
      <c r="Y8" s="83"/>
      <c r="Z8" s="83"/>
    </row>
    <row r="9">
      <c r="A9" s="97" t="s">
        <v>235</v>
      </c>
      <c r="B9" s="98">
        <v>18.82</v>
      </c>
      <c r="C9" s="26" t="s">
        <v>25</v>
      </c>
      <c r="D9" s="89" t="s">
        <v>236</v>
      </c>
      <c r="E9" s="99">
        <f>E7*28</f>
        <v>8007.3937</v>
      </c>
      <c r="F9" s="89" t="s">
        <v>237</v>
      </c>
      <c r="G9" s="83"/>
      <c r="H9" s="83"/>
      <c r="I9" s="83"/>
      <c r="J9" s="83"/>
      <c r="K9" s="100" t="s">
        <v>238</v>
      </c>
      <c r="L9" s="93"/>
      <c r="M9" s="4"/>
      <c r="N9" s="4"/>
      <c r="O9" s="90">
        <v>90.18</v>
      </c>
      <c r="P9" s="3" t="s">
        <v>229</v>
      </c>
      <c r="Q9" s="83"/>
      <c r="R9" s="83"/>
      <c r="S9" s="83"/>
      <c r="T9" s="83"/>
      <c r="U9" s="83"/>
      <c r="V9" s="83"/>
      <c r="W9" s="83"/>
      <c r="X9" s="83"/>
      <c r="Y9" s="83"/>
      <c r="Z9" s="83"/>
    </row>
    <row r="10">
      <c r="A10" s="97" t="s">
        <v>239</v>
      </c>
      <c r="B10" s="87">
        <f>SQRT(B9*B8)</f>
        <v>10.62638226</v>
      </c>
      <c r="C10" s="26" t="s">
        <v>29</v>
      </c>
      <c r="D10" s="83"/>
      <c r="E10" s="83"/>
      <c r="F10" s="83"/>
      <c r="G10" s="83"/>
      <c r="H10" s="83"/>
      <c r="I10" s="83"/>
      <c r="J10" s="83"/>
      <c r="K10" s="101" t="s">
        <v>240</v>
      </c>
      <c r="L10" s="102"/>
      <c r="M10" s="103"/>
      <c r="N10" s="103"/>
      <c r="O10" s="104"/>
      <c r="P10" s="105"/>
      <c r="Q10" s="83"/>
      <c r="R10" s="83"/>
      <c r="S10" s="83"/>
      <c r="T10" s="83"/>
      <c r="U10" s="83"/>
      <c r="V10" s="83"/>
      <c r="W10" s="83"/>
      <c r="X10" s="83"/>
      <c r="Y10" s="83"/>
      <c r="Z10" s="83"/>
    </row>
    <row r="11">
      <c r="A11" s="97" t="s">
        <v>241</v>
      </c>
      <c r="B11" s="87">
        <f>B15*B9*B5 / B17</f>
        <v>2.222094602</v>
      </c>
      <c r="C11" s="26" t="s">
        <v>25</v>
      </c>
      <c r="D11" s="88" t="s">
        <v>242</v>
      </c>
      <c r="E11" s="95">
        <f>233*9.81/E7</f>
        <v>7.992668077</v>
      </c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</row>
    <row r="12">
      <c r="A12" s="94" t="s">
        <v>243</v>
      </c>
      <c r="B12" s="106">
        <f>B16*B9*B10 / B17</f>
        <v>0.999942571</v>
      </c>
      <c r="C12" s="26" t="s">
        <v>25</v>
      </c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</row>
    <row r="13">
      <c r="A13" s="96" t="s">
        <v>244</v>
      </c>
      <c r="B13" s="92">
        <v>4.0</v>
      </c>
      <c r="C13" s="26" t="s">
        <v>27</v>
      </c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</row>
    <row r="14">
      <c r="A14" s="96" t="s">
        <v>245</v>
      </c>
      <c r="B14" s="92">
        <v>1.5</v>
      </c>
      <c r="C14" s="26" t="s">
        <v>27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</row>
    <row r="15">
      <c r="A15" s="107" t="s">
        <v>246</v>
      </c>
      <c r="B15" s="92">
        <v>0.4</v>
      </c>
      <c r="C15" s="26" t="s">
        <v>247</v>
      </c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</row>
    <row r="16">
      <c r="A16" s="107" t="s">
        <v>248</v>
      </c>
      <c r="B16" s="92">
        <v>0.03</v>
      </c>
      <c r="C16" s="24" t="s">
        <v>249</v>
      </c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</row>
    <row r="17">
      <c r="A17" s="91" t="s">
        <v>250</v>
      </c>
      <c r="B17" s="92">
        <v>6.0</v>
      </c>
      <c r="C17" s="26" t="s">
        <v>29</v>
      </c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</row>
    <row r="18">
      <c r="A18" s="91" t="s">
        <v>251</v>
      </c>
      <c r="B18" s="108">
        <f>sqrt(B13*B11)</f>
        <v>2.981338359</v>
      </c>
      <c r="C18" s="24" t="s">
        <v>29</v>
      </c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</row>
    <row r="19">
      <c r="A19" s="91" t="s">
        <v>252</v>
      </c>
      <c r="B19" s="109">
        <f>sqrt(B12 * B14)</f>
        <v>1.224709703</v>
      </c>
      <c r="C19" s="24" t="s">
        <v>29</v>
      </c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</row>
    <row r="20">
      <c r="A20" s="26"/>
      <c r="B20" s="26"/>
      <c r="C20" s="26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</row>
    <row r="21">
      <c r="A21" s="110" t="s">
        <v>253</v>
      </c>
      <c r="B21" s="26"/>
      <c r="C21" s="26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</row>
    <row r="22">
      <c r="A22" s="26"/>
      <c r="B22" s="26"/>
      <c r="C22" s="26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</row>
    <row r="23">
      <c r="A23" s="94" t="s">
        <v>254</v>
      </c>
      <c r="B23" s="87">
        <f> (B3-B4)/B5</f>
        <v>0.00430345805</v>
      </c>
      <c r="C23" s="111" t="s">
        <v>255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</row>
    <row r="24">
      <c r="A24" s="83"/>
      <c r="B24" s="112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76" t="s">
        <v>256</v>
      </c>
      <c r="B25" s="113">
        <v>0.738104</v>
      </c>
      <c r="C25" s="83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88" t="s">
        <v>257</v>
      </c>
      <c r="B26" s="114">
        <f> B25 - (0.02 * B5)</f>
        <v>0.7026827258</v>
      </c>
      <c r="C26" s="89" t="s">
        <v>29</v>
      </c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A27" s="88" t="s">
        <v>258</v>
      </c>
      <c r="B27" s="114">
        <f> B25 - (0.15 * B5)</f>
        <v>0.4724444434</v>
      </c>
      <c r="C27" s="89" t="s">
        <v>29</v>
      </c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A28" s="83"/>
      <c r="B28" s="112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83"/>
      <c r="B29" s="112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A30" s="83"/>
      <c r="B30" s="112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83"/>
      <c r="B31" s="112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>
      <c r="A32" s="83"/>
      <c r="B32" s="112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</row>
    <row r="33">
      <c r="A33" s="83"/>
      <c r="B33" s="112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</row>
    <row r="34">
      <c r="A34" s="83"/>
      <c r="B34" s="112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</row>
    <row r="35">
      <c r="A35" s="83"/>
      <c r="B35" s="112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</row>
    <row r="36">
      <c r="A36" s="83"/>
      <c r="B36" s="112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</row>
    <row r="37">
      <c r="A37" s="83"/>
      <c r="B37" s="112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</row>
    <row r="38">
      <c r="A38" s="83"/>
      <c r="B38" s="112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</row>
    <row r="39">
      <c r="A39" s="83"/>
      <c r="B39" s="112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</row>
    <row r="40">
      <c r="A40" s="83"/>
      <c r="B40" s="112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</row>
    <row r="41">
      <c r="A41" s="83"/>
      <c r="B41" s="112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</row>
    <row r="42">
      <c r="A42" s="83"/>
      <c r="B42" s="112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</row>
    <row r="43">
      <c r="A43" s="83"/>
      <c r="B43" s="112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</row>
    <row r="44">
      <c r="A44" s="83"/>
      <c r="B44" s="112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</row>
    <row r="45">
      <c r="A45" s="83"/>
      <c r="B45" s="112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</row>
    <row r="46">
      <c r="A46" s="83"/>
      <c r="B46" s="112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</row>
    <row r="47">
      <c r="A47" s="83"/>
      <c r="B47" s="112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</row>
    <row r="48">
      <c r="A48" s="83"/>
      <c r="B48" s="112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</row>
    <row r="49">
      <c r="A49" s="83"/>
      <c r="B49" s="112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</row>
    <row r="50">
      <c r="A50" s="83"/>
      <c r="B50" s="112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</row>
    <row r="51">
      <c r="A51" s="83"/>
      <c r="B51" s="112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</row>
    <row r="52">
      <c r="A52" s="83"/>
      <c r="B52" s="112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</row>
    <row r="53">
      <c r="A53" s="83"/>
      <c r="B53" s="112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</row>
    <row r="54">
      <c r="A54" s="83"/>
      <c r="B54" s="112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</row>
    <row r="55">
      <c r="A55" s="83"/>
      <c r="B55" s="112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</row>
    <row r="56">
      <c r="A56" s="83"/>
      <c r="B56" s="112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</row>
    <row r="57">
      <c r="A57" s="83"/>
      <c r="B57" s="112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</row>
    <row r="58">
      <c r="A58" s="83"/>
      <c r="B58" s="112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</row>
    <row r="59">
      <c r="A59" s="83"/>
      <c r="B59" s="112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</row>
    <row r="60">
      <c r="A60" s="83"/>
      <c r="B60" s="112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</row>
    <row r="61">
      <c r="A61" s="83"/>
      <c r="B61" s="112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</row>
    <row r="62">
      <c r="A62" s="83"/>
      <c r="B62" s="112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</row>
    <row r="63">
      <c r="A63" s="83"/>
      <c r="B63" s="112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</row>
    <row r="64">
      <c r="A64" s="83"/>
      <c r="B64" s="112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</row>
    <row r="65">
      <c r="A65" s="83"/>
      <c r="B65" s="112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</row>
    <row r="66">
      <c r="A66" s="83"/>
      <c r="B66" s="112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</row>
    <row r="67">
      <c r="A67" s="83"/>
      <c r="B67" s="112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</row>
    <row r="68">
      <c r="A68" s="83"/>
      <c r="B68" s="112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</row>
    <row r="69">
      <c r="A69" s="83"/>
      <c r="B69" s="112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</row>
    <row r="70">
      <c r="A70" s="83"/>
      <c r="B70" s="112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</row>
    <row r="71">
      <c r="A71" s="83"/>
      <c r="B71" s="112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</row>
    <row r="72">
      <c r="A72" s="83"/>
      <c r="B72" s="112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</row>
    <row r="73">
      <c r="A73" s="83"/>
      <c r="B73" s="112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</row>
    <row r="74">
      <c r="A74" s="83"/>
      <c r="B74" s="112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</row>
    <row r="75">
      <c r="A75" s="83"/>
      <c r="B75" s="112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</row>
    <row r="76">
      <c r="A76" s="83"/>
      <c r="B76" s="112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</row>
    <row r="77">
      <c r="A77" s="83"/>
      <c r="B77" s="112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</row>
    <row r="78">
      <c r="A78" s="83"/>
      <c r="B78" s="112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</row>
    <row r="79">
      <c r="A79" s="83"/>
      <c r="B79" s="112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</row>
    <row r="80">
      <c r="A80" s="83"/>
      <c r="B80" s="112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</row>
    <row r="81">
      <c r="A81" s="83"/>
      <c r="B81" s="112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</row>
    <row r="82">
      <c r="A82" s="83"/>
      <c r="B82" s="112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</row>
    <row r="83">
      <c r="A83" s="83"/>
      <c r="B83" s="112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</row>
    <row r="84">
      <c r="A84" s="83"/>
      <c r="B84" s="112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</row>
    <row r="85">
      <c r="A85" s="83"/>
      <c r="B85" s="112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</row>
    <row r="86">
      <c r="A86" s="83"/>
      <c r="B86" s="112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</row>
    <row r="87">
      <c r="A87" s="83"/>
      <c r="B87" s="112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</row>
    <row r="88">
      <c r="A88" s="83"/>
      <c r="B88" s="112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</row>
    <row r="89">
      <c r="A89" s="83"/>
      <c r="B89" s="112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</row>
    <row r="90">
      <c r="A90" s="83"/>
      <c r="B90" s="112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</row>
    <row r="91">
      <c r="A91" s="83"/>
      <c r="B91" s="112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</row>
    <row r="92">
      <c r="A92" s="83"/>
      <c r="B92" s="112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</row>
    <row r="93">
      <c r="A93" s="83"/>
      <c r="B93" s="112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</row>
    <row r="94">
      <c r="A94" s="83"/>
      <c r="B94" s="112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</row>
    <row r="95">
      <c r="A95" s="83"/>
      <c r="B95" s="112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</row>
    <row r="96">
      <c r="A96" s="83"/>
      <c r="B96" s="112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</row>
    <row r="97">
      <c r="A97" s="83"/>
      <c r="B97" s="112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</row>
    <row r="98">
      <c r="A98" s="83"/>
      <c r="B98" s="112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</row>
    <row r="99">
      <c r="A99" s="83"/>
      <c r="B99" s="112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</row>
    <row r="100">
      <c r="A100" s="83"/>
      <c r="B100" s="112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</row>
    <row r="101">
      <c r="A101" s="83"/>
      <c r="B101" s="112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</row>
    <row r="102">
      <c r="A102" s="83"/>
      <c r="B102" s="112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</row>
    <row r="103">
      <c r="A103" s="83"/>
      <c r="B103" s="112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</row>
    <row r="104">
      <c r="A104" s="83"/>
      <c r="B104" s="112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</row>
    <row r="105">
      <c r="A105" s="83"/>
      <c r="B105" s="112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</row>
    <row r="106">
      <c r="A106" s="83"/>
      <c r="B106" s="112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</row>
    <row r="107">
      <c r="A107" s="83"/>
      <c r="B107" s="112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</row>
    <row r="108">
      <c r="A108" s="83"/>
      <c r="B108" s="112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</row>
    <row r="109">
      <c r="A109" s="83"/>
      <c r="B109" s="112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</row>
    <row r="110">
      <c r="A110" s="83"/>
      <c r="B110" s="112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</row>
    <row r="111">
      <c r="A111" s="83"/>
      <c r="B111" s="112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</row>
    <row r="112">
      <c r="A112" s="83"/>
      <c r="B112" s="112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</row>
    <row r="113">
      <c r="A113" s="83"/>
      <c r="B113" s="112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</row>
    <row r="114">
      <c r="A114" s="83"/>
      <c r="B114" s="112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</row>
    <row r="115">
      <c r="A115" s="83"/>
      <c r="B115" s="112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</row>
    <row r="116">
      <c r="A116" s="83"/>
      <c r="B116" s="112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</row>
    <row r="117">
      <c r="A117" s="83"/>
      <c r="B117" s="112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</row>
    <row r="118">
      <c r="A118" s="83"/>
      <c r="B118" s="112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</row>
    <row r="119">
      <c r="A119" s="83"/>
      <c r="B119" s="112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</row>
    <row r="120">
      <c r="A120" s="83"/>
      <c r="B120" s="112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</row>
    <row r="121">
      <c r="A121" s="83"/>
      <c r="B121" s="112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</row>
    <row r="122">
      <c r="A122" s="83"/>
      <c r="B122" s="112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</row>
    <row r="123">
      <c r="A123" s="83"/>
      <c r="B123" s="112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</row>
    <row r="124">
      <c r="A124" s="83"/>
      <c r="B124" s="112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</row>
    <row r="125">
      <c r="A125" s="83"/>
      <c r="B125" s="112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</row>
    <row r="126">
      <c r="A126" s="83"/>
      <c r="B126" s="112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</row>
    <row r="127">
      <c r="A127" s="83"/>
      <c r="B127" s="112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</row>
    <row r="128">
      <c r="A128" s="83"/>
      <c r="B128" s="112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</row>
    <row r="129">
      <c r="A129" s="83"/>
      <c r="B129" s="112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</row>
    <row r="130">
      <c r="A130" s="83"/>
      <c r="B130" s="112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</row>
    <row r="131">
      <c r="A131" s="83"/>
      <c r="B131" s="112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</row>
    <row r="132">
      <c r="A132" s="83"/>
      <c r="B132" s="112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</row>
    <row r="133">
      <c r="A133" s="83"/>
      <c r="B133" s="112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</row>
    <row r="134">
      <c r="A134" s="83"/>
      <c r="B134" s="11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</row>
    <row r="135">
      <c r="A135" s="83"/>
      <c r="B135" s="112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</row>
    <row r="136">
      <c r="A136" s="83"/>
      <c r="B136" s="112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</row>
    <row r="137">
      <c r="A137" s="83"/>
      <c r="B137" s="112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</row>
    <row r="138">
      <c r="A138" s="83"/>
      <c r="B138" s="112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</row>
    <row r="139">
      <c r="A139" s="83"/>
      <c r="B139" s="112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</row>
    <row r="140">
      <c r="A140" s="83"/>
      <c r="B140" s="112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</row>
    <row r="141">
      <c r="A141" s="83"/>
      <c r="B141" s="112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</row>
    <row r="142">
      <c r="A142" s="83"/>
      <c r="B142" s="112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</row>
    <row r="143">
      <c r="A143" s="83"/>
      <c r="B143" s="112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</row>
    <row r="144">
      <c r="A144" s="83"/>
      <c r="B144" s="112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</row>
    <row r="145">
      <c r="A145" s="83"/>
      <c r="B145" s="112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</row>
    <row r="146">
      <c r="A146" s="83"/>
      <c r="B146" s="112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</row>
    <row r="147">
      <c r="A147" s="83"/>
      <c r="B147" s="112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</row>
    <row r="148">
      <c r="A148" s="83"/>
      <c r="B148" s="112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</row>
    <row r="149">
      <c r="A149" s="83"/>
      <c r="B149" s="112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</row>
    <row r="150">
      <c r="A150" s="83"/>
      <c r="B150" s="112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3"/>
      <c r="U150" s="83"/>
      <c r="V150" s="83"/>
      <c r="W150" s="83"/>
      <c r="X150" s="83"/>
      <c r="Y150" s="83"/>
      <c r="Z150" s="83"/>
    </row>
    <row r="151">
      <c r="A151" s="83"/>
      <c r="B151" s="112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3"/>
      <c r="U151" s="83"/>
      <c r="V151" s="83"/>
      <c r="W151" s="83"/>
      <c r="X151" s="83"/>
      <c r="Y151" s="83"/>
      <c r="Z151" s="83"/>
    </row>
    <row r="152">
      <c r="A152" s="83"/>
      <c r="B152" s="112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3"/>
      <c r="U152" s="83"/>
      <c r="V152" s="83"/>
      <c r="W152" s="83"/>
      <c r="X152" s="83"/>
      <c r="Y152" s="83"/>
      <c r="Z152" s="83"/>
    </row>
    <row r="153">
      <c r="A153" s="83"/>
      <c r="B153" s="112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3"/>
      <c r="U153" s="83"/>
      <c r="V153" s="83"/>
      <c r="W153" s="83"/>
      <c r="X153" s="83"/>
      <c r="Y153" s="83"/>
      <c r="Z153" s="83"/>
    </row>
    <row r="154">
      <c r="A154" s="83"/>
      <c r="B154" s="112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</row>
    <row r="155">
      <c r="A155" s="83"/>
      <c r="B155" s="112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3"/>
      <c r="U155" s="83"/>
      <c r="V155" s="83"/>
      <c r="W155" s="83"/>
      <c r="X155" s="83"/>
      <c r="Y155" s="83"/>
      <c r="Z155" s="83"/>
    </row>
    <row r="156">
      <c r="A156" s="83"/>
      <c r="B156" s="112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3"/>
      <c r="U156" s="83"/>
      <c r="V156" s="83"/>
      <c r="W156" s="83"/>
      <c r="X156" s="83"/>
      <c r="Y156" s="83"/>
      <c r="Z156" s="83"/>
    </row>
    <row r="157">
      <c r="A157" s="83"/>
      <c r="B157" s="112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3"/>
      <c r="U157" s="83"/>
      <c r="V157" s="83"/>
      <c r="W157" s="83"/>
      <c r="X157" s="83"/>
      <c r="Y157" s="83"/>
      <c r="Z157" s="83"/>
    </row>
    <row r="158">
      <c r="A158" s="83"/>
      <c r="B158" s="112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3"/>
      <c r="U158" s="83"/>
      <c r="V158" s="83"/>
      <c r="W158" s="83"/>
      <c r="X158" s="83"/>
      <c r="Y158" s="83"/>
      <c r="Z158" s="83"/>
    </row>
    <row r="159">
      <c r="A159" s="83"/>
      <c r="B159" s="112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3"/>
      <c r="U159" s="83"/>
      <c r="V159" s="83"/>
      <c r="W159" s="83"/>
      <c r="X159" s="83"/>
      <c r="Y159" s="83"/>
      <c r="Z159" s="83"/>
    </row>
    <row r="160">
      <c r="A160" s="83"/>
      <c r="B160" s="112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3"/>
      <c r="U160" s="83"/>
      <c r="V160" s="83"/>
      <c r="W160" s="83"/>
      <c r="X160" s="83"/>
      <c r="Y160" s="83"/>
      <c r="Z160" s="83"/>
    </row>
    <row r="161">
      <c r="A161" s="83"/>
      <c r="B161" s="112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</row>
    <row r="162">
      <c r="A162" s="83"/>
      <c r="B162" s="112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3"/>
      <c r="U162" s="83"/>
      <c r="V162" s="83"/>
      <c r="W162" s="83"/>
      <c r="X162" s="83"/>
      <c r="Y162" s="83"/>
      <c r="Z162" s="83"/>
    </row>
    <row r="163">
      <c r="A163" s="83"/>
      <c r="B163" s="112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3"/>
      <c r="U163" s="83"/>
      <c r="V163" s="83"/>
      <c r="W163" s="83"/>
      <c r="X163" s="83"/>
      <c r="Y163" s="83"/>
      <c r="Z163" s="83"/>
    </row>
    <row r="164">
      <c r="A164" s="83"/>
      <c r="B164" s="112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3"/>
      <c r="U164" s="83"/>
      <c r="V164" s="83"/>
      <c r="W164" s="83"/>
      <c r="X164" s="83"/>
      <c r="Y164" s="83"/>
      <c r="Z164" s="83"/>
    </row>
    <row r="165">
      <c r="A165" s="83"/>
      <c r="B165" s="112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3"/>
      <c r="U165" s="83"/>
      <c r="V165" s="83"/>
      <c r="W165" s="83"/>
      <c r="X165" s="83"/>
      <c r="Y165" s="83"/>
      <c r="Z165" s="83"/>
    </row>
    <row r="166">
      <c r="A166" s="83"/>
      <c r="B166" s="112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3"/>
      <c r="U166" s="83"/>
      <c r="V166" s="83"/>
      <c r="W166" s="83"/>
      <c r="X166" s="83"/>
      <c r="Y166" s="83"/>
      <c r="Z166" s="83"/>
    </row>
    <row r="167">
      <c r="A167" s="83"/>
      <c r="B167" s="112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3"/>
      <c r="U167" s="83"/>
      <c r="V167" s="83"/>
      <c r="W167" s="83"/>
      <c r="X167" s="83"/>
      <c r="Y167" s="83"/>
      <c r="Z167" s="83"/>
    </row>
    <row r="168">
      <c r="A168" s="83"/>
      <c r="B168" s="112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3"/>
      <c r="U168" s="83"/>
      <c r="V168" s="83"/>
      <c r="W168" s="83"/>
      <c r="X168" s="83"/>
      <c r="Y168" s="83"/>
      <c r="Z168" s="83"/>
    </row>
    <row r="169">
      <c r="A169" s="83"/>
      <c r="B169" s="112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3"/>
      <c r="U169" s="83"/>
      <c r="V169" s="83"/>
      <c r="W169" s="83"/>
      <c r="X169" s="83"/>
      <c r="Y169" s="83"/>
      <c r="Z169" s="83"/>
    </row>
    <row r="170">
      <c r="A170" s="83"/>
      <c r="B170" s="112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3"/>
      <c r="U170" s="83"/>
      <c r="V170" s="83"/>
      <c r="W170" s="83"/>
      <c r="X170" s="83"/>
      <c r="Y170" s="83"/>
      <c r="Z170" s="83"/>
    </row>
    <row r="171">
      <c r="A171" s="83"/>
      <c r="B171" s="112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3"/>
      <c r="U171" s="83"/>
      <c r="V171" s="83"/>
      <c r="W171" s="83"/>
      <c r="X171" s="83"/>
      <c r="Y171" s="83"/>
      <c r="Z171" s="83"/>
    </row>
    <row r="172">
      <c r="A172" s="83"/>
      <c r="B172" s="112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3"/>
      <c r="U172" s="83"/>
      <c r="V172" s="83"/>
      <c r="W172" s="83"/>
      <c r="X172" s="83"/>
      <c r="Y172" s="83"/>
      <c r="Z172" s="83"/>
    </row>
    <row r="173">
      <c r="A173" s="83"/>
      <c r="B173" s="112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3"/>
      <c r="U173" s="83"/>
      <c r="V173" s="83"/>
      <c r="W173" s="83"/>
      <c r="X173" s="83"/>
      <c r="Y173" s="83"/>
      <c r="Z173" s="83"/>
    </row>
    <row r="174">
      <c r="A174" s="83"/>
      <c r="B174" s="112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3"/>
      <c r="U174" s="83"/>
      <c r="V174" s="83"/>
      <c r="W174" s="83"/>
      <c r="X174" s="83"/>
      <c r="Y174" s="83"/>
      <c r="Z174" s="83"/>
    </row>
    <row r="175">
      <c r="A175" s="83"/>
      <c r="B175" s="112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3"/>
      <c r="U175" s="83"/>
      <c r="V175" s="83"/>
      <c r="W175" s="83"/>
      <c r="X175" s="83"/>
      <c r="Y175" s="83"/>
      <c r="Z175" s="83"/>
    </row>
    <row r="176">
      <c r="A176" s="83"/>
      <c r="B176" s="112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3"/>
      <c r="U176" s="83"/>
      <c r="V176" s="83"/>
      <c r="W176" s="83"/>
      <c r="X176" s="83"/>
      <c r="Y176" s="83"/>
      <c r="Z176" s="83"/>
    </row>
    <row r="177">
      <c r="A177" s="83"/>
      <c r="B177" s="112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3"/>
      <c r="U177" s="83"/>
      <c r="V177" s="83"/>
      <c r="W177" s="83"/>
      <c r="X177" s="83"/>
      <c r="Y177" s="83"/>
      <c r="Z177" s="83"/>
    </row>
    <row r="178">
      <c r="A178" s="83"/>
      <c r="B178" s="112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3"/>
      <c r="U178" s="83"/>
      <c r="V178" s="83"/>
      <c r="W178" s="83"/>
      <c r="X178" s="83"/>
      <c r="Y178" s="83"/>
      <c r="Z178" s="83"/>
    </row>
    <row r="179">
      <c r="A179" s="83"/>
      <c r="B179" s="112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3"/>
      <c r="U179" s="83"/>
      <c r="V179" s="83"/>
      <c r="W179" s="83"/>
      <c r="X179" s="83"/>
      <c r="Y179" s="83"/>
      <c r="Z179" s="83"/>
    </row>
    <row r="180">
      <c r="A180" s="83"/>
      <c r="B180" s="112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3"/>
      <c r="U180" s="83"/>
      <c r="V180" s="83"/>
      <c r="W180" s="83"/>
      <c r="X180" s="83"/>
      <c r="Y180" s="83"/>
      <c r="Z180" s="83"/>
    </row>
    <row r="181">
      <c r="A181" s="83"/>
      <c r="B181" s="112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3"/>
      <c r="U181" s="83"/>
      <c r="V181" s="83"/>
      <c r="W181" s="83"/>
      <c r="X181" s="83"/>
      <c r="Y181" s="83"/>
      <c r="Z181" s="83"/>
    </row>
    <row r="182">
      <c r="A182" s="83"/>
      <c r="B182" s="112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3"/>
      <c r="U182" s="83"/>
      <c r="V182" s="83"/>
      <c r="W182" s="83"/>
      <c r="X182" s="83"/>
      <c r="Y182" s="83"/>
      <c r="Z182" s="83"/>
    </row>
    <row r="183">
      <c r="A183" s="83"/>
      <c r="B183" s="112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3"/>
      <c r="U183" s="83"/>
      <c r="V183" s="83"/>
      <c r="W183" s="83"/>
      <c r="X183" s="83"/>
      <c r="Y183" s="83"/>
      <c r="Z183" s="83"/>
    </row>
    <row r="184">
      <c r="A184" s="83"/>
      <c r="B184" s="112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3"/>
      <c r="U184" s="83"/>
      <c r="V184" s="83"/>
      <c r="W184" s="83"/>
      <c r="X184" s="83"/>
      <c r="Y184" s="83"/>
      <c r="Z184" s="83"/>
    </row>
    <row r="185">
      <c r="A185" s="83"/>
      <c r="B185" s="112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3"/>
      <c r="U185" s="83"/>
      <c r="V185" s="83"/>
      <c r="W185" s="83"/>
      <c r="X185" s="83"/>
      <c r="Y185" s="83"/>
      <c r="Z185" s="83"/>
    </row>
    <row r="186">
      <c r="A186" s="83"/>
      <c r="B186" s="112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3"/>
      <c r="U186" s="83"/>
      <c r="V186" s="83"/>
      <c r="W186" s="83"/>
      <c r="X186" s="83"/>
      <c r="Y186" s="83"/>
      <c r="Z186" s="83"/>
    </row>
    <row r="187">
      <c r="A187" s="83"/>
      <c r="B187" s="112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3"/>
      <c r="U187" s="83"/>
      <c r="V187" s="83"/>
      <c r="W187" s="83"/>
      <c r="X187" s="83"/>
      <c r="Y187" s="83"/>
      <c r="Z187" s="83"/>
    </row>
    <row r="188">
      <c r="A188" s="83"/>
      <c r="B188" s="112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3"/>
      <c r="U188" s="83"/>
      <c r="V188" s="83"/>
      <c r="W188" s="83"/>
      <c r="X188" s="83"/>
      <c r="Y188" s="83"/>
      <c r="Z188" s="83"/>
    </row>
    <row r="189">
      <c r="A189" s="83"/>
      <c r="B189" s="112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3"/>
      <c r="U189" s="83"/>
      <c r="V189" s="83"/>
      <c r="W189" s="83"/>
      <c r="X189" s="83"/>
      <c r="Y189" s="83"/>
      <c r="Z189" s="83"/>
    </row>
    <row r="190">
      <c r="A190" s="83"/>
      <c r="B190" s="112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3"/>
      <c r="U190" s="83"/>
      <c r="V190" s="83"/>
      <c r="W190" s="83"/>
      <c r="X190" s="83"/>
      <c r="Y190" s="83"/>
      <c r="Z190" s="83"/>
    </row>
    <row r="191">
      <c r="A191" s="83"/>
      <c r="B191" s="112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3"/>
      <c r="U191" s="83"/>
      <c r="V191" s="83"/>
      <c r="W191" s="83"/>
      <c r="X191" s="83"/>
      <c r="Y191" s="83"/>
      <c r="Z191" s="83"/>
    </row>
    <row r="192">
      <c r="A192" s="83"/>
      <c r="B192" s="112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3"/>
      <c r="U192" s="83"/>
      <c r="V192" s="83"/>
      <c r="W192" s="83"/>
      <c r="X192" s="83"/>
      <c r="Y192" s="83"/>
      <c r="Z192" s="83"/>
    </row>
    <row r="193">
      <c r="A193" s="83"/>
      <c r="B193" s="112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3"/>
      <c r="U193" s="83"/>
      <c r="V193" s="83"/>
      <c r="W193" s="83"/>
      <c r="X193" s="83"/>
      <c r="Y193" s="83"/>
      <c r="Z193" s="83"/>
    </row>
    <row r="194">
      <c r="A194" s="83"/>
      <c r="B194" s="112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3"/>
      <c r="U194" s="83"/>
      <c r="V194" s="83"/>
      <c r="W194" s="83"/>
      <c r="X194" s="83"/>
      <c r="Y194" s="83"/>
      <c r="Z194" s="83"/>
    </row>
    <row r="195">
      <c r="A195" s="83"/>
      <c r="B195" s="112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3"/>
      <c r="U195" s="83"/>
      <c r="V195" s="83"/>
      <c r="W195" s="83"/>
      <c r="X195" s="83"/>
      <c r="Y195" s="83"/>
      <c r="Z195" s="83"/>
    </row>
    <row r="196">
      <c r="A196" s="83"/>
      <c r="B196" s="112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3"/>
      <c r="U196" s="83"/>
      <c r="V196" s="83"/>
      <c r="W196" s="83"/>
      <c r="X196" s="83"/>
      <c r="Y196" s="83"/>
      <c r="Z196" s="83"/>
    </row>
    <row r="197">
      <c r="A197" s="83"/>
      <c r="B197" s="112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3"/>
      <c r="U197" s="83"/>
      <c r="V197" s="83"/>
      <c r="W197" s="83"/>
      <c r="X197" s="83"/>
      <c r="Y197" s="83"/>
      <c r="Z197" s="83"/>
    </row>
    <row r="198">
      <c r="A198" s="83"/>
      <c r="B198" s="112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3"/>
      <c r="U198" s="83"/>
      <c r="V198" s="83"/>
      <c r="W198" s="83"/>
      <c r="X198" s="83"/>
      <c r="Y198" s="83"/>
      <c r="Z198" s="83"/>
    </row>
    <row r="199">
      <c r="A199" s="83"/>
      <c r="B199" s="112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3"/>
      <c r="U199" s="83"/>
      <c r="V199" s="83"/>
      <c r="W199" s="83"/>
      <c r="X199" s="83"/>
      <c r="Y199" s="83"/>
      <c r="Z199" s="83"/>
    </row>
    <row r="200">
      <c r="A200" s="83"/>
      <c r="B200" s="112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3"/>
      <c r="U200" s="83"/>
      <c r="V200" s="83"/>
      <c r="W200" s="83"/>
      <c r="X200" s="83"/>
      <c r="Y200" s="83"/>
      <c r="Z200" s="83"/>
    </row>
    <row r="201">
      <c r="A201" s="83"/>
      <c r="B201" s="112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3"/>
      <c r="U201" s="83"/>
      <c r="V201" s="83"/>
      <c r="W201" s="83"/>
      <c r="X201" s="83"/>
      <c r="Y201" s="83"/>
      <c r="Z201" s="83"/>
    </row>
    <row r="202">
      <c r="A202" s="83"/>
      <c r="B202" s="112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3"/>
      <c r="U202" s="83"/>
      <c r="V202" s="83"/>
      <c r="W202" s="83"/>
      <c r="X202" s="83"/>
      <c r="Y202" s="83"/>
      <c r="Z202" s="83"/>
    </row>
    <row r="203">
      <c r="A203" s="83"/>
      <c r="B203" s="112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3"/>
      <c r="U203" s="83"/>
      <c r="V203" s="83"/>
      <c r="W203" s="83"/>
      <c r="X203" s="83"/>
      <c r="Y203" s="83"/>
      <c r="Z203" s="83"/>
    </row>
    <row r="204">
      <c r="A204" s="83"/>
      <c r="B204" s="112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3"/>
      <c r="U204" s="83"/>
      <c r="V204" s="83"/>
      <c r="W204" s="83"/>
      <c r="X204" s="83"/>
      <c r="Y204" s="83"/>
      <c r="Z204" s="83"/>
    </row>
    <row r="205">
      <c r="A205" s="83"/>
      <c r="B205" s="112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3"/>
      <c r="U205" s="83"/>
      <c r="V205" s="83"/>
      <c r="W205" s="83"/>
      <c r="X205" s="83"/>
      <c r="Y205" s="83"/>
      <c r="Z205" s="83"/>
    </row>
    <row r="206">
      <c r="A206" s="83"/>
      <c r="B206" s="112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3"/>
      <c r="U206" s="83"/>
      <c r="V206" s="83"/>
      <c r="W206" s="83"/>
      <c r="X206" s="83"/>
      <c r="Y206" s="83"/>
      <c r="Z206" s="83"/>
    </row>
    <row r="207">
      <c r="A207" s="83"/>
      <c r="B207" s="112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3"/>
      <c r="U207" s="83"/>
      <c r="V207" s="83"/>
      <c r="W207" s="83"/>
      <c r="X207" s="83"/>
      <c r="Y207" s="83"/>
      <c r="Z207" s="83"/>
    </row>
    <row r="208">
      <c r="A208" s="83"/>
      <c r="B208" s="112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3"/>
      <c r="U208" s="83"/>
      <c r="V208" s="83"/>
      <c r="W208" s="83"/>
      <c r="X208" s="83"/>
      <c r="Y208" s="83"/>
      <c r="Z208" s="83"/>
    </row>
    <row r="209">
      <c r="A209" s="83"/>
      <c r="B209" s="112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3"/>
      <c r="U209" s="83"/>
      <c r="V209" s="83"/>
      <c r="W209" s="83"/>
      <c r="X209" s="83"/>
      <c r="Y209" s="83"/>
      <c r="Z209" s="83"/>
    </row>
    <row r="210">
      <c r="A210" s="83"/>
      <c r="B210" s="112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3"/>
      <c r="U210" s="83"/>
      <c r="V210" s="83"/>
      <c r="W210" s="83"/>
      <c r="X210" s="83"/>
      <c r="Y210" s="83"/>
      <c r="Z210" s="83"/>
    </row>
    <row r="211">
      <c r="A211" s="83"/>
      <c r="B211" s="112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3"/>
      <c r="U211" s="83"/>
      <c r="V211" s="83"/>
      <c r="W211" s="83"/>
      <c r="X211" s="83"/>
      <c r="Y211" s="83"/>
      <c r="Z211" s="83"/>
    </row>
    <row r="212">
      <c r="A212" s="83"/>
      <c r="B212" s="112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3"/>
      <c r="U212" s="83"/>
      <c r="V212" s="83"/>
      <c r="W212" s="83"/>
      <c r="X212" s="83"/>
      <c r="Y212" s="83"/>
      <c r="Z212" s="83"/>
    </row>
    <row r="213">
      <c r="A213" s="83"/>
      <c r="B213" s="112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3"/>
      <c r="U213" s="83"/>
      <c r="V213" s="83"/>
      <c r="W213" s="83"/>
      <c r="X213" s="83"/>
      <c r="Y213" s="83"/>
      <c r="Z213" s="83"/>
    </row>
    <row r="214">
      <c r="A214" s="83"/>
      <c r="B214" s="112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3"/>
      <c r="U214" s="83"/>
      <c r="V214" s="83"/>
      <c r="W214" s="83"/>
      <c r="X214" s="83"/>
      <c r="Y214" s="83"/>
      <c r="Z214" s="83"/>
    </row>
    <row r="215">
      <c r="A215" s="83"/>
      <c r="B215" s="112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3"/>
      <c r="U215" s="83"/>
      <c r="V215" s="83"/>
      <c r="W215" s="83"/>
      <c r="X215" s="83"/>
      <c r="Y215" s="83"/>
      <c r="Z215" s="83"/>
    </row>
    <row r="216">
      <c r="A216" s="83"/>
      <c r="B216" s="112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3"/>
      <c r="U216" s="83"/>
      <c r="V216" s="83"/>
      <c r="W216" s="83"/>
      <c r="X216" s="83"/>
      <c r="Y216" s="83"/>
      <c r="Z216" s="83"/>
    </row>
    <row r="217">
      <c r="A217" s="83"/>
      <c r="B217" s="112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3"/>
      <c r="U217" s="83"/>
      <c r="V217" s="83"/>
      <c r="W217" s="83"/>
      <c r="X217" s="83"/>
      <c r="Y217" s="83"/>
      <c r="Z217" s="83"/>
    </row>
    <row r="218">
      <c r="A218" s="83"/>
      <c r="B218" s="112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3"/>
      <c r="U218" s="83"/>
      <c r="V218" s="83"/>
      <c r="W218" s="83"/>
      <c r="X218" s="83"/>
      <c r="Y218" s="83"/>
      <c r="Z218" s="83"/>
    </row>
    <row r="219">
      <c r="A219" s="83"/>
      <c r="B219" s="112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3"/>
      <c r="U219" s="83"/>
      <c r="V219" s="83"/>
      <c r="W219" s="83"/>
      <c r="X219" s="83"/>
      <c r="Y219" s="83"/>
      <c r="Z219" s="83"/>
    </row>
    <row r="220">
      <c r="A220" s="83"/>
      <c r="B220" s="112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</row>
    <row r="221">
      <c r="A221" s="83"/>
      <c r="B221" s="112"/>
      <c r="C221" s="83"/>
      <c r="D221" s="83"/>
      <c r="E221" s="83"/>
      <c r="F221" s="83"/>
      <c r="G221" s="83"/>
      <c r="H221" s="83"/>
      <c r="I221" s="83"/>
      <c r="J221" s="83"/>
      <c r="K221" s="83"/>
      <c r="L221" s="83"/>
      <c r="M221" s="83"/>
      <c r="N221" s="83"/>
      <c r="O221" s="83"/>
      <c r="P221" s="83"/>
      <c r="Q221" s="83"/>
      <c r="R221" s="83"/>
      <c r="S221" s="83"/>
      <c r="T221" s="83"/>
      <c r="U221" s="83"/>
      <c r="V221" s="83"/>
      <c r="W221" s="83"/>
      <c r="X221" s="83"/>
      <c r="Y221" s="83"/>
      <c r="Z221" s="83"/>
    </row>
    <row r="222">
      <c r="A222" s="83"/>
      <c r="B222" s="112"/>
      <c r="C222" s="83"/>
      <c r="D222" s="83"/>
      <c r="E222" s="83"/>
      <c r="F222" s="83"/>
      <c r="G222" s="83"/>
      <c r="H222" s="83"/>
      <c r="I222" s="83"/>
      <c r="J222" s="83"/>
      <c r="K222" s="83"/>
      <c r="L222" s="83"/>
      <c r="M222" s="83"/>
      <c r="N222" s="83"/>
      <c r="O222" s="83"/>
      <c r="P222" s="83"/>
      <c r="Q222" s="83"/>
      <c r="R222" s="83"/>
      <c r="S222" s="83"/>
      <c r="T222" s="83"/>
      <c r="U222" s="83"/>
      <c r="V222" s="83"/>
      <c r="W222" s="83"/>
      <c r="X222" s="83"/>
      <c r="Y222" s="83"/>
      <c r="Z222" s="83"/>
    </row>
    <row r="223">
      <c r="A223" s="83"/>
      <c r="B223" s="112"/>
      <c r="C223" s="83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  <c r="S223" s="83"/>
      <c r="T223" s="83"/>
      <c r="U223" s="83"/>
      <c r="V223" s="83"/>
      <c r="W223" s="83"/>
      <c r="X223" s="83"/>
      <c r="Y223" s="83"/>
      <c r="Z223" s="83"/>
    </row>
    <row r="224">
      <c r="A224" s="83"/>
      <c r="B224" s="112"/>
      <c r="C224" s="83"/>
      <c r="D224" s="83"/>
      <c r="E224" s="83"/>
      <c r="F224" s="83"/>
      <c r="G224" s="83"/>
      <c r="H224" s="83"/>
      <c r="I224" s="83"/>
      <c r="J224" s="83"/>
      <c r="K224" s="83"/>
      <c r="L224" s="83"/>
      <c r="M224" s="83"/>
      <c r="N224" s="83"/>
      <c r="O224" s="83"/>
      <c r="P224" s="83"/>
      <c r="Q224" s="83"/>
      <c r="R224" s="83"/>
      <c r="S224" s="83"/>
      <c r="T224" s="83"/>
      <c r="U224" s="83"/>
      <c r="V224" s="83"/>
      <c r="W224" s="83"/>
      <c r="X224" s="83"/>
      <c r="Y224" s="83"/>
      <c r="Z224" s="83"/>
    </row>
    <row r="225">
      <c r="A225" s="83"/>
      <c r="B225" s="112"/>
      <c r="C225" s="83"/>
      <c r="D225" s="83"/>
      <c r="E225" s="83"/>
      <c r="F225" s="83"/>
      <c r="G225" s="83"/>
      <c r="H225" s="83"/>
      <c r="I225" s="83"/>
      <c r="J225" s="83"/>
      <c r="K225" s="83"/>
      <c r="L225" s="83"/>
      <c r="M225" s="83"/>
      <c r="N225" s="83"/>
      <c r="O225" s="83"/>
      <c r="P225" s="83"/>
      <c r="Q225" s="83"/>
      <c r="R225" s="83"/>
      <c r="S225" s="83"/>
      <c r="T225" s="83"/>
      <c r="U225" s="83"/>
      <c r="V225" s="83"/>
      <c r="W225" s="83"/>
      <c r="X225" s="83"/>
      <c r="Y225" s="83"/>
      <c r="Z225" s="83"/>
    </row>
    <row r="226">
      <c r="A226" s="83"/>
      <c r="B226" s="112"/>
      <c r="C226" s="83"/>
      <c r="D226" s="83"/>
      <c r="E226" s="83"/>
      <c r="F226" s="83"/>
      <c r="G226" s="83"/>
      <c r="H226" s="83"/>
      <c r="I226" s="83"/>
      <c r="J226" s="83"/>
      <c r="K226" s="83"/>
      <c r="L226" s="83"/>
      <c r="M226" s="83"/>
      <c r="N226" s="83"/>
      <c r="O226" s="83"/>
      <c r="P226" s="83"/>
      <c r="Q226" s="83"/>
      <c r="R226" s="83"/>
      <c r="S226" s="83"/>
      <c r="T226" s="83"/>
      <c r="U226" s="83"/>
      <c r="V226" s="83"/>
      <c r="W226" s="83"/>
      <c r="X226" s="83"/>
      <c r="Y226" s="83"/>
      <c r="Z226" s="83"/>
    </row>
    <row r="227">
      <c r="A227" s="83"/>
      <c r="B227" s="112"/>
      <c r="C227" s="83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  <c r="S227" s="83"/>
      <c r="T227" s="83"/>
      <c r="U227" s="83"/>
      <c r="V227" s="83"/>
      <c r="W227" s="83"/>
      <c r="X227" s="83"/>
      <c r="Y227" s="83"/>
      <c r="Z227" s="83"/>
    </row>
    <row r="228">
      <c r="A228" s="83"/>
      <c r="B228" s="112"/>
      <c r="C228" s="83"/>
      <c r="D228" s="83"/>
      <c r="E228" s="83"/>
      <c r="F228" s="83"/>
      <c r="G228" s="83"/>
      <c r="H228" s="83"/>
      <c r="I228" s="83"/>
      <c r="J228" s="83"/>
      <c r="K228" s="83"/>
      <c r="L228" s="83"/>
      <c r="M228" s="83"/>
      <c r="N228" s="83"/>
      <c r="O228" s="83"/>
      <c r="P228" s="83"/>
      <c r="Q228" s="83"/>
      <c r="R228" s="83"/>
      <c r="S228" s="83"/>
      <c r="T228" s="83"/>
      <c r="U228" s="83"/>
      <c r="V228" s="83"/>
      <c r="W228" s="83"/>
      <c r="X228" s="83"/>
      <c r="Y228" s="83"/>
      <c r="Z228" s="83"/>
    </row>
    <row r="229">
      <c r="A229" s="83"/>
      <c r="B229" s="112"/>
      <c r="C229" s="83"/>
      <c r="D229" s="83"/>
      <c r="E229" s="83"/>
      <c r="F229" s="83"/>
      <c r="G229" s="83"/>
      <c r="H229" s="83"/>
      <c r="I229" s="83"/>
      <c r="J229" s="83"/>
      <c r="K229" s="83"/>
      <c r="L229" s="83"/>
      <c r="M229" s="83"/>
      <c r="N229" s="83"/>
      <c r="O229" s="83"/>
      <c r="P229" s="83"/>
      <c r="Q229" s="83"/>
      <c r="R229" s="83"/>
      <c r="S229" s="83"/>
      <c r="T229" s="83"/>
      <c r="U229" s="83"/>
      <c r="V229" s="83"/>
      <c r="W229" s="83"/>
      <c r="X229" s="83"/>
      <c r="Y229" s="83"/>
      <c r="Z229" s="83"/>
    </row>
    <row r="230">
      <c r="A230" s="83"/>
      <c r="B230" s="112"/>
      <c r="C230" s="83"/>
      <c r="D230" s="83"/>
      <c r="E230" s="83"/>
      <c r="F230" s="83"/>
      <c r="G230" s="83"/>
      <c r="H230" s="83"/>
      <c r="I230" s="83"/>
      <c r="J230" s="83"/>
      <c r="K230" s="83"/>
      <c r="L230" s="83"/>
      <c r="M230" s="83"/>
      <c r="N230" s="83"/>
      <c r="O230" s="83"/>
      <c r="P230" s="83"/>
      <c r="Q230" s="83"/>
      <c r="R230" s="83"/>
      <c r="S230" s="83"/>
      <c r="T230" s="83"/>
      <c r="U230" s="83"/>
      <c r="V230" s="83"/>
      <c r="W230" s="83"/>
      <c r="X230" s="83"/>
      <c r="Y230" s="83"/>
      <c r="Z230" s="83"/>
    </row>
    <row r="231">
      <c r="A231" s="83"/>
      <c r="B231" s="112"/>
      <c r="C231" s="83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  <c r="S231" s="83"/>
      <c r="T231" s="83"/>
      <c r="U231" s="83"/>
      <c r="V231" s="83"/>
      <c r="W231" s="83"/>
      <c r="X231" s="83"/>
      <c r="Y231" s="83"/>
      <c r="Z231" s="83"/>
    </row>
    <row r="232">
      <c r="A232" s="83"/>
      <c r="B232" s="112"/>
      <c r="C232" s="83"/>
      <c r="D232" s="83"/>
      <c r="E232" s="83"/>
      <c r="F232" s="83"/>
      <c r="G232" s="83"/>
      <c r="H232" s="83"/>
      <c r="I232" s="83"/>
      <c r="J232" s="83"/>
      <c r="K232" s="83"/>
      <c r="L232" s="83"/>
      <c r="M232" s="83"/>
      <c r="N232" s="83"/>
      <c r="O232" s="83"/>
      <c r="P232" s="83"/>
      <c r="Q232" s="83"/>
      <c r="R232" s="83"/>
      <c r="S232" s="83"/>
      <c r="T232" s="83"/>
      <c r="U232" s="83"/>
      <c r="V232" s="83"/>
      <c r="W232" s="83"/>
      <c r="X232" s="83"/>
      <c r="Y232" s="83"/>
      <c r="Z232" s="83"/>
    </row>
    <row r="233">
      <c r="A233" s="83"/>
      <c r="B233" s="112"/>
      <c r="C233" s="83"/>
      <c r="D233" s="83"/>
      <c r="E233" s="83"/>
      <c r="F233" s="83"/>
      <c r="G233" s="83"/>
      <c r="H233" s="83"/>
      <c r="I233" s="83"/>
      <c r="J233" s="83"/>
      <c r="K233" s="83"/>
      <c r="L233" s="83"/>
      <c r="M233" s="83"/>
      <c r="N233" s="83"/>
      <c r="O233" s="83"/>
      <c r="P233" s="83"/>
      <c r="Q233" s="83"/>
      <c r="R233" s="83"/>
      <c r="S233" s="83"/>
      <c r="T233" s="83"/>
      <c r="U233" s="83"/>
      <c r="V233" s="83"/>
      <c r="W233" s="83"/>
      <c r="X233" s="83"/>
      <c r="Y233" s="83"/>
      <c r="Z233" s="83"/>
    </row>
    <row r="234">
      <c r="A234" s="83"/>
      <c r="B234" s="112"/>
      <c r="C234" s="83"/>
      <c r="D234" s="83"/>
      <c r="E234" s="83"/>
      <c r="F234" s="83"/>
      <c r="G234" s="83"/>
      <c r="H234" s="83"/>
      <c r="I234" s="83"/>
      <c r="J234" s="83"/>
      <c r="K234" s="83"/>
      <c r="L234" s="83"/>
      <c r="M234" s="83"/>
      <c r="N234" s="83"/>
      <c r="O234" s="83"/>
      <c r="P234" s="83"/>
      <c r="Q234" s="83"/>
      <c r="R234" s="83"/>
      <c r="S234" s="83"/>
      <c r="T234" s="83"/>
      <c r="U234" s="83"/>
      <c r="V234" s="83"/>
      <c r="W234" s="83"/>
      <c r="X234" s="83"/>
      <c r="Y234" s="83"/>
      <c r="Z234" s="83"/>
    </row>
    <row r="235">
      <c r="A235" s="83"/>
      <c r="B235" s="112"/>
      <c r="C235" s="83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  <c r="S235" s="83"/>
      <c r="T235" s="83"/>
      <c r="U235" s="83"/>
      <c r="V235" s="83"/>
      <c r="W235" s="83"/>
      <c r="X235" s="83"/>
      <c r="Y235" s="83"/>
      <c r="Z235" s="83"/>
    </row>
    <row r="236">
      <c r="A236" s="83"/>
      <c r="B236" s="112"/>
      <c r="C236" s="83"/>
      <c r="D236" s="83"/>
      <c r="E236" s="83"/>
      <c r="F236" s="83"/>
      <c r="G236" s="83"/>
      <c r="H236" s="83"/>
      <c r="I236" s="83"/>
      <c r="J236" s="83"/>
      <c r="K236" s="83"/>
      <c r="L236" s="83"/>
      <c r="M236" s="83"/>
      <c r="N236" s="83"/>
      <c r="O236" s="83"/>
      <c r="P236" s="83"/>
      <c r="Q236" s="83"/>
      <c r="R236" s="83"/>
      <c r="S236" s="83"/>
      <c r="T236" s="83"/>
      <c r="U236" s="83"/>
      <c r="V236" s="83"/>
      <c r="W236" s="83"/>
      <c r="X236" s="83"/>
      <c r="Y236" s="83"/>
      <c r="Z236" s="83"/>
    </row>
    <row r="237">
      <c r="A237" s="83"/>
      <c r="B237" s="112"/>
      <c r="C237" s="83"/>
      <c r="D237" s="83"/>
      <c r="E237" s="83"/>
      <c r="F237" s="83"/>
      <c r="G237" s="83"/>
      <c r="H237" s="83"/>
      <c r="I237" s="83"/>
      <c r="J237" s="83"/>
      <c r="K237" s="83"/>
      <c r="L237" s="83"/>
      <c r="M237" s="83"/>
      <c r="N237" s="83"/>
      <c r="O237" s="83"/>
      <c r="P237" s="83"/>
      <c r="Q237" s="83"/>
      <c r="R237" s="83"/>
      <c r="S237" s="83"/>
      <c r="T237" s="83"/>
      <c r="U237" s="83"/>
      <c r="V237" s="83"/>
      <c r="W237" s="83"/>
      <c r="X237" s="83"/>
      <c r="Y237" s="83"/>
      <c r="Z237" s="83"/>
    </row>
    <row r="238">
      <c r="A238" s="83"/>
      <c r="B238" s="112"/>
      <c r="C238" s="83"/>
      <c r="D238" s="83"/>
      <c r="E238" s="83"/>
      <c r="F238" s="83"/>
      <c r="G238" s="83"/>
      <c r="H238" s="83"/>
      <c r="I238" s="83"/>
      <c r="J238" s="83"/>
      <c r="K238" s="83"/>
      <c r="L238" s="83"/>
      <c r="M238" s="83"/>
      <c r="N238" s="83"/>
      <c r="O238" s="83"/>
      <c r="P238" s="83"/>
      <c r="Q238" s="83"/>
      <c r="R238" s="83"/>
      <c r="S238" s="83"/>
      <c r="T238" s="83"/>
      <c r="U238" s="83"/>
      <c r="V238" s="83"/>
      <c r="W238" s="83"/>
      <c r="X238" s="83"/>
      <c r="Y238" s="83"/>
      <c r="Z238" s="83"/>
    </row>
    <row r="239">
      <c r="A239" s="83"/>
      <c r="B239" s="112"/>
      <c r="C239" s="83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  <c r="S239" s="83"/>
      <c r="T239" s="83"/>
      <c r="U239" s="83"/>
      <c r="V239" s="83"/>
      <c r="W239" s="83"/>
      <c r="X239" s="83"/>
      <c r="Y239" s="83"/>
      <c r="Z239" s="83"/>
    </row>
    <row r="240">
      <c r="A240" s="83"/>
      <c r="B240" s="112"/>
      <c r="C240" s="83"/>
      <c r="D240" s="83"/>
      <c r="E240" s="83"/>
      <c r="F240" s="83"/>
      <c r="G240" s="83"/>
      <c r="H240" s="83"/>
      <c r="I240" s="83"/>
      <c r="J240" s="83"/>
      <c r="K240" s="83"/>
      <c r="L240" s="83"/>
      <c r="M240" s="83"/>
      <c r="N240" s="83"/>
      <c r="O240" s="83"/>
      <c r="P240" s="83"/>
      <c r="Q240" s="83"/>
      <c r="R240" s="83"/>
      <c r="S240" s="83"/>
      <c r="T240" s="83"/>
      <c r="U240" s="83"/>
      <c r="V240" s="83"/>
      <c r="W240" s="83"/>
      <c r="X240" s="83"/>
      <c r="Y240" s="83"/>
      <c r="Z240" s="83"/>
    </row>
    <row r="241">
      <c r="A241" s="83"/>
      <c r="B241" s="112"/>
      <c r="C241" s="83"/>
      <c r="D241" s="83"/>
      <c r="E241" s="83"/>
      <c r="F241" s="83"/>
      <c r="G241" s="83"/>
      <c r="H241" s="83"/>
      <c r="I241" s="83"/>
      <c r="J241" s="83"/>
      <c r="K241" s="83"/>
      <c r="L241" s="83"/>
      <c r="M241" s="83"/>
      <c r="N241" s="83"/>
      <c r="O241" s="83"/>
      <c r="P241" s="83"/>
      <c r="Q241" s="83"/>
      <c r="R241" s="83"/>
      <c r="S241" s="83"/>
      <c r="T241" s="83"/>
      <c r="U241" s="83"/>
      <c r="V241" s="83"/>
      <c r="W241" s="83"/>
      <c r="X241" s="83"/>
      <c r="Y241" s="83"/>
      <c r="Z241" s="83"/>
    </row>
    <row r="242">
      <c r="A242" s="83"/>
      <c r="B242" s="112"/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  <c r="O242" s="83"/>
      <c r="P242" s="83"/>
      <c r="Q242" s="83"/>
      <c r="R242" s="83"/>
      <c r="S242" s="83"/>
      <c r="T242" s="83"/>
      <c r="U242" s="83"/>
      <c r="V242" s="83"/>
      <c r="W242" s="83"/>
      <c r="X242" s="83"/>
      <c r="Y242" s="83"/>
      <c r="Z242" s="83"/>
    </row>
    <row r="243">
      <c r="A243" s="83"/>
      <c r="B243" s="112"/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  <c r="O243" s="83"/>
      <c r="P243" s="83"/>
      <c r="Q243" s="83"/>
      <c r="R243" s="83"/>
      <c r="S243" s="83"/>
      <c r="T243" s="83"/>
      <c r="U243" s="83"/>
      <c r="V243" s="83"/>
      <c r="W243" s="83"/>
      <c r="X243" s="83"/>
      <c r="Y243" s="83"/>
      <c r="Z243" s="83"/>
    </row>
    <row r="244">
      <c r="A244" s="83"/>
      <c r="B244" s="112"/>
      <c r="C244" s="83"/>
      <c r="D244" s="83"/>
      <c r="E244" s="83"/>
      <c r="F244" s="83"/>
      <c r="G244" s="83"/>
      <c r="H244" s="83"/>
      <c r="I244" s="83"/>
      <c r="J244" s="83"/>
      <c r="K244" s="83"/>
      <c r="L244" s="83"/>
      <c r="M244" s="83"/>
      <c r="N244" s="83"/>
      <c r="O244" s="83"/>
      <c r="P244" s="83"/>
      <c r="Q244" s="83"/>
      <c r="R244" s="83"/>
      <c r="S244" s="83"/>
      <c r="T244" s="83"/>
      <c r="U244" s="83"/>
      <c r="V244" s="83"/>
      <c r="W244" s="83"/>
      <c r="X244" s="83"/>
      <c r="Y244" s="83"/>
      <c r="Z244" s="83"/>
    </row>
    <row r="245">
      <c r="A245" s="83"/>
      <c r="B245" s="112"/>
      <c r="C245" s="83"/>
      <c r="D245" s="83"/>
      <c r="E245" s="83"/>
      <c r="F245" s="83"/>
      <c r="G245" s="83"/>
      <c r="H245" s="83"/>
      <c r="I245" s="83"/>
      <c r="J245" s="83"/>
      <c r="K245" s="83"/>
      <c r="L245" s="83"/>
      <c r="M245" s="83"/>
      <c r="N245" s="83"/>
      <c r="O245" s="83"/>
      <c r="P245" s="83"/>
      <c r="Q245" s="83"/>
      <c r="R245" s="83"/>
      <c r="S245" s="83"/>
      <c r="T245" s="83"/>
      <c r="U245" s="83"/>
      <c r="V245" s="83"/>
      <c r="W245" s="83"/>
      <c r="X245" s="83"/>
      <c r="Y245" s="83"/>
      <c r="Z245" s="83"/>
    </row>
    <row r="246">
      <c r="A246" s="83"/>
      <c r="B246" s="112"/>
      <c r="C246" s="83"/>
      <c r="D246" s="83"/>
      <c r="E246" s="83"/>
      <c r="F246" s="83"/>
      <c r="G246" s="83"/>
      <c r="H246" s="83"/>
      <c r="I246" s="83"/>
      <c r="J246" s="83"/>
      <c r="K246" s="83"/>
      <c r="L246" s="83"/>
      <c r="M246" s="83"/>
      <c r="N246" s="83"/>
      <c r="O246" s="83"/>
      <c r="P246" s="83"/>
      <c r="Q246" s="83"/>
      <c r="R246" s="83"/>
      <c r="S246" s="83"/>
      <c r="T246" s="83"/>
      <c r="U246" s="83"/>
      <c r="V246" s="83"/>
      <c r="W246" s="83"/>
      <c r="X246" s="83"/>
      <c r="Y246" s="83"/>
      <c r="Z246" s="83"/>
    </row>
    <row r="247">
      <c r="A247" s="83"/>
      <c r="B247" s="112"/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  <c r="O247" s="83"/>
      <c r="P247" s="83"/>
      <c r="Q247" s="83"/>
      <c r="R247" s="83"/>
      <c r="S247" s="83"/>
      <c r="T247" s="83"/>
      <c r="U247" s="83"/>
      <c r="V247" s="83"/>
      <c r="W247" s="83"/>
      <c r="X247" s="83"/>
      <c r="Y247" s="83"/>
      <c r="Z247" s="83"/>
    </row>
    <row r="248">
      <c r="A248" s="83"/>
      <c r="B248" s="112"/>
      <c r="C248" s="83"/>
      <c r="D248" s="83"/>
      <c r="E248" s="83"/>
      <c r="F248" s="83"/>
      <c r="G248" s="83"/>
      <c r="H248" s="83"/>
      <c r="I248" s="83"/>
      <c r="J248" s="83"/>
      <c r="K248" s="83"/>
      <c r="L248" s="83"/>
      <c r="M248" s="83"/>
      <c r="N248" s="83"/>
      <c r="O248" s="83"/>
      <c r="P248" s="83"/>
      <c r="Q248" s="83"/>
      <c r="R248" s="83"/>
      <c r="S248" s="83"/>
      <c r="T248" s="83"/>
      <c r="U248" s="83"/>
      <c r="V248" s="83"/>
      <c r="W248" s="83"/>
      <c r="X248" s="83"/>
      <c r="Y248" s="83"/>
      <c r="Z248" s="83"/>
    </row>
    <row r="249">
      <c r="A249" s="83"/>
      <c r="B249" s="112"/>
      <c r="C249" s="83"/>
      <c r="D249" s="83"/>
      <c r="E249" s="83"/>
      <c r="F249" s="83"/>
      <c r="G249" s="83"/>
      <c r="H249" s="83"/>
      <c r="I249" s="83"/>
      <c r="J249" s="83"/>
      <c r="K249" s="83"/>
      <c r="L249" s="83"/>
      <c r="M249" s="83"/>
      <c r="N249" s="83"/>
      <c r="O249" s="83"/>
      <c r="P249" s="83"/>
      <c r="Q249" s="83"/>
      <c r="R249" s="83"/>
      <c r="S249" s="83"/>
      <c r="T249" s="83"/>
      <c r="U249" s="83"/>
      <c r="V249" s="83"/>
      <c r="W249" s="83"/>
      <c r="X249" s="83"/>
      <c r="Y249" s="83"/>
      <c r="Z249" s="83"/>
    </row>
    <row r="250">
      <c r="A250" s="83"/>
      <c r="B250" s="112"/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  <c r="O250" s="83"/>
      <c r="P250" s="83"/>
      <c r="Q250" s="83"/>
      <c r="R250" s="83"/>
      <c r="S250" s="83"/>
      <c r="T250" s="83"/>
      <c r="U250" s="83"/>
      <c r="V250" s="83"/>
      <c r="W250" s="83"/>
      <c r="X250" s="83"/>
      <c r="Y250" s="83"/>
      <c r="Z250" s="83"/>
    </row>
    <row r="251">
      <c r="A251" s="83"/>
      <c r="B251" s="112"/>
      <c r="C251" s="83"/>
      <c r="D251" s="83"/>
      <c r="E251" s="83"/>
      <c r="F251" s="83"/>
      <c r="G251" s="83"/>
      <c r="H251" s="83"/>
      <c r="I251" s="83"/>
      <c r="J251" s="83"/>
      <c r="K251" s="83"/>
      <c r="L251" s="83"/>
      <c r="M251" s="83"/>
      <c r="N251" s="83"/>
      <c r="O251" s="83"/>
      <c r="P251" s="83"/>
      <c r="Q251" s="83"/>
      <c r="R251" s="83"/>
      <c r="S251" s="83"/>
      <c r="T251" s="83"/>
      <c r="U251" s="83"/>
      <c r="V251" s="83"/>
      <c r="W251" s="83"/>
      <c r="X251" s="83"/>
      <c r="Y251" s="83"/>
      <c r="Z251" s="83"/>
    </row>
    <row r="252">
      <c r="A252" s="83"/>
      <c r="B252" s="112"/>
      <c r="C252" s="83"/>
      <c r="D252" s="83"/>
      <c r="E252" s="83"/>
      <c r="F252" s="83"/>
      <c r="G252" s="83"/>
      <c r="H252" s="83"/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</row>
    <row r="253">
      <c r="A253" s="83"/>
      <c r="B253" s="112"/>
      <c r="C253" s="83"/>
      <c r="D253" s="83"/>
      <c r="E253" s="83"/>
      <c r="F253" s="83"/>
      <c r="G253" s="83"/>
      <c r="H253" s="83"/>
      <c r="I253" s="83"/>
      <c r="J253" s="83"/>
      <c r="K253" s="83"/>
      <c r="L253" s="83"/>
      <c r="M253" s="83"/>
      <c r="N253" s="83"/>
      <c r="O253" s="83"/>
      <c r="P253" s="83"/>
      <c r="Q253" s="83"/>
      <c r="R253" s="83"/>
      <c r="S253" s="83"/>
      <c r="T253" s="83"/>
      <c r="U253" s="83"/>
      <c r="V253" s="83"/>
      <c r="W253" s="83"/>
      <c r="X253" s="83"/>
      <c r="Y253" s="83"/>
      <c r="Z253" s="83"/>
    </row>
    <row r="254">
      <c r="A254" s="83"/>
      <c r="B254" s="112"/>
      <c r="C254" s="83"/>
      <c r="D254" s="83"/>
      <c r="E254" s="83"/>
      <c r="F254" s="83"/>
      <c r="G254" s="83"/>
      <c r="H254" s="83"/>
      <c r="I254" s="83"/>
      <c r="J254" s="83"/>
      <c r="K254" s="83"/>
      <c r="L254" s="83"/>
      <c r="M254" s="83"/>
      <c r="N254" s="83"/>
      <c r="O254" s="83"/>
      <c r="P254" s="83"/>
      <c r="Q254" s="83"/>
      <c r="R254" s="83"/>
      <c r="S254" s="83"/>
      <c r="T254" s="83"/>
      <c r="U254" s="83"/>
      <c r="V254" s="83"/>
      <c r="W254" s="83"/>
      <c r="X254" s="83"/>
      <c r="Y254" s="83"/>
      <c r="Z254" s="83"/>
    </row>
    <row r="255">
      <c r="A255" s="83"/>
      <c r="B255" s="112"/>
      <c r="C255" s="83"/>
      <c r="D255" s="83"/>
      <c r="E255" s="83"/>
      <c r="F255" s="83"/>
      <c r="G255" s="83"/>
      <c r="H255" s="83"/>
      <c r="I255" s="83"/>
      <c r="J255" s="83"/>
      <c r="K255" s="83"/>
      <c r="L255" s="83"/>
      <c r="M255" s="83"/>
      <c r="N255" s="83"/>
      <c r="O255" s="83"/>
      <c r="P255" s="83"/>
      <c r="Q255" s="83"/>
      <c r="R255" s="83"/>
      <c r="S255" s="83"/>
      <c r="T255" s="83"/>
      <c r="U255" s="83"/>
      <c r="V255" s="83"/>
      <c r="W255" s="83"/>
      <c r="X255" s="83"/>
      <c r="Y255" s="83"/>
      <c r="Z255" s="83"/>
    </row>
    <row r="256">
      <c r="A256" s="83"/>
      <c r="B256" s="112"/>
      <c r="C256" s="83"/>
      <c r="D256" s="83"/>
      <c r="E256" s="83"/>
      <c r="F256" s="83"/>
      <c r="G256" s="83"/>
      <c r="H256" s="83"/>
      <c r="I256" s="83"/>
      <c r="J256" s="83"/>
      <c r="K256" s="83"/>
      <c r="L256" s="83"/>
      <c r="M256" s="83"/>
      <c r="N256" s="83"/>
      <c r="O256" s="83"/>
      <c r="P256" s="83"/>
      <c r="Q256" s="83"/>
      <c r="R256" s="83"/>
      <c r="S256" s="83"/>
      <c r="T256" s="83"/>
      <c r="U256" s="83"/>
      <c r="V256" s="83"/>
      <c r="W256" s="83"/>
      <c r="X256" s="83"/>
      <c r="Y256" s="83"/>
      <c r="Z256" s="83"/>
    </row>
    <row r="257">
      <c r="A257" s="83"/>
      <c r="B257" s="112"/>
      <c r="C257" s="83"/>
      <c r="D257" s="83"/>
      <c r="E257" s="83"/>
      <c r="F257" s="83"/>
      <c r="G257" s="83"/>
      <c r="H257" s="83"/>
      <c r="I257" s="83"/>
      <c r="J257" s="83"/>
      <c r="K257" s="83"/>
      <c r="L257" s="83"/>
      <c r="M257" s="83"/>
      <c r="N257" s="83"/>
      <c r="O257" s="83"/>
      <c r="P257" s="83"/>
      <c r="Q257" s="83"/>
      <c r="R257" s="83"/>
      <c r="S257" s="83"/>
      <c r="T257" s="83"/>
      <c r="U257" s="83"/>
      <c r="V257" s="83"/>
      <c r="W257" s="83"/>
      <c r="X257" s="83"/>
      <c r="Y257" s="83"/>
      <c r="Z257" s="83"/>
    </row>
    <row r="258">
      <c r="A258" s="83"/>
      <c r="B258" s="112"/>
      <c r="C258" s="83"/>
      <c r="D258" s="83"/>
      <c r="E258" s="83"/>
      <c r="F258" s="83"/>
      <c r="G258" s="83"/>
      <c r="H258" s="83"/>
      <c r="I258" s="83"/>
      <c r="J258" s="83"/>
      <c r="K258" s="83"/>
      <c r="L258" s="83"/>
      <c r="M258" s="83"/>
      <c r="N258" s="83"/>
      <c r="O258" s="83"/>
      <c r="P258" s="83"/>
      <c r="Q258" s="83"/>
      <c r="R258" s="83"/>
      <c r="S258" s="83"/>
      <c r="T258" s="83"/>
      <c r="U258" s="83"/>
      <c r="V258" s="83"/>
      <c r="W258" s="83"/>
      <c r="X258" s="83"/>
      <c r="Y258" s="83"/>
      <c r="Z258" s="83"/>
    </row>
    <row r="259">
      <c r="A259" s="83"/>
      <c r="B259" s="112"/>
      <c r="C259" s="83"/>
      <c r="D259" s="83"/>
      <c r="E259" s="83"/>
      <c r="F259" s="83"/>
      <c r="G259" s="83"/>
      <c r="H259" s="83"/>
      <c r="I259" s="83"/>
      <c r="J259" s="83"/>
      <c r="K259" s="83"/>
      <c r="L259" s="83"/>
      <c r="M259" s="83"/>
      <c r="N259" s="83"/>
      <c r="O259" s="83"/>
      <c r="P259" s="83"/>
      <c r="Q259" s="83"/>
      <c r="R259" s="83"/>
      <c r="S259" s="83"/>
      <c r="T259" s="83"/>
      <c r="U259" s="83"/>
      <c r="V259" s="83"/>
      <c r="W259" s="83"/>
      <c r="X259" s="83"/>
      <c r="Y259" s="83"/>
      <c r="Z259" s="83"/>
    </row>
    <row r="260">
      <c r="A260" s="83"/>
      <c r="B260" s="112"/>
      <c r="C260" s="83"/>
      <c r="D260" s="83"/>
      <c r="E260" s="83"/>
      <c r="F260" s="83"/>
      <c r="G260" s="83"/>
      <c r="H260" s="83"/>
      <c r="I260" s="83"/>
      <c r="J260" s="83"/>
      <c r="K260" s="83"/>
      <c r="L260" s="83"/>
      <c r="M260" s="83"/>
      <c r="N260" s="83"/>
      <c r="O260" s="83"/>
      <c r="P260" s="83"/>
      <c r="Q260" s="83"/>
      <c r="R260" s="83"/>
      <c r="S260" s="83"/>
      <c r="T260" s="83"/>
      <c r="U260" s="83"/>
      <c r="V260" s="83"/>
      <c r="W260" s="83"/>
      <c r="X260" s="83"/>
      <c r="Y260" s="83"/>
      <c r="Z260" s="83"/>
    </row>
    <row r="261">
      <c r="A261" s="83"/>
      <c r="B261" s="112"/>
      <c r="C261" s="83"/>
      <c r="D261" s="83"/>
      <c r="E261" s="83"/>
      <c r="F261" s="83"/>
      <c r="G261" s="83"/>
      <c r="H261" s="83"/>
      <c r="I261" s="83"/>
      <c r="J261" s="83"/>
      <c r="K261" s="83"/>
      <c r="L261" s="83"/>
      <c r="M261" s="83"/>
      <c r="N261" s="83"/>
      <c r="O261" s="83"/>
      <c r="P261" s="83"/>
      <c r="Q261" s="83"/>
      <c r="R261" s="83"/>
      <c r="S261" s="83"/>
      <c r="T261" s="83"/>
      <c r="U261" s="83"/>
      <c r="V261" s="83"/>
      <c r="W261" s="83"/>
      <c r="X261" s="83"/>
      <c r="Y261" s="83"/>
      <c r="Z261" s="83"/>
    </row>
    <row r="262">
      <c r="A262" s="83"/>
      <c r="B262" s="112"/>
      <c r="C262" s="83"/>
      <c r="D262" s="83"/>
      <c r="E262" s="83"/>
      <c r="F262" s="83"/>
      <c r="G262" s="83"/>
      <c r="H262" s="83"/>
      <c r="I262" s="83"/>
      <c r="J262" s="83"/>
      <c r="K262" s="83"/>
      <c r="L262" s="83"/>
      <c r="M262" s="83"/>
      <c r="N262" s="83"/>
      <c r="O262" s="83"/>
      <c r="P262" s="83"/>
      <c r="Q262" s="83"/>
      <c r="R262" s="83"/>
      <c r="S262" s="83"/>
      <c r="T262" s="83"/>
      <c r="U262" s="83"/>
      <c r="V262" s="83"/>
      <c r="W262" s="83"/>
      <c r="X262" s="83"/>
      <c r="Y262" s="83"/>
      <c r="Z262" s="83"/>
    </row>
    <row r="263">
      <c r="A263" s="83"/>
      <c r="B263" s="112"/>
      <c r="C263" s="83"/>
      <c r="D263" s="83"/>
      <c r="E263" s="83"/>
      <c r="F263" s="83"/>
      <c r="G263" s="83"/>
      <c r="H263" s="83"/>
      <c r="I263" s="83"/>
      <c r="J263" s="83"/>
      <c r="K263" s="83"/>
      <c r="L263" s="83"/>
      <c r="M263" s="83"/>
      <c r="N263" s="83"/>
      <c r="O263" s="83"/>
      <c r="P263" s="83"/>
      <c r="Q263" s="83"/>
      <c r="R263" s="83"/>
      <c r="S263" s="83"/>
      <c r="T263" s="83"/>
      <c r="U263" s="83"/>
      <c r="V263" s="83"/>
      <c r="W263" s="83"/>
      <c r="X263" s="83"/>
      <c r="Y263" s="83"/>
      <c r="Z263" s="83"/>
    </row>
    <row r="264">
      <c r="A264" s="83"/>
      <c r="B264" s="112"/>
      <c r="C264" s="83"/>
      <c r="D264" s="83"/>
      <c r="E264" s="83"/>
      <c r="F264" s="83"/>
      <c r="G264" s="83"/>
      <c r="H264" s="83"/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</row>
    <row r="265">
      <c r="A265" s="83"/>
      <c r="B265" s="112"/>
      <c r="C265" s="83"/>
      <c r="D265" s="83"/>
      <c r="E265" s="83"/>
      <c r="F265" s="83"/>
      <c r="G265" s="83"/>
      <c r="H265" s="83"/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</row>
    <row r="266">
      <c r="A266" s="83"/>
      <c r="B266" s="112"/>
      <c r="C266" s="83"/>
      <c r="D266" s="83"/>
      <c r="E266" s="83"/>
      <c r="F266" s="83"/>
      <c r="G266" s="83"/>
      <c r="H266" s="83"/>
      <c r="I266" s="83"/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</row>
    <row r="267">
      <c r="A267" s="83"/>
      <c r="B267" s="112"/>
      <c r="C267" s="83"/>
      <c r="D267" s="83"/>
      <c r="E267" s="83"/>
      <c r="F267" s="83"/>
      <c r="G267" s="83"/>
      <c r="H267" s="83"/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</row>
    <row r="268">
      <c r="A268" s="83"/>
      <c r="B268" s="112"/>
      <c r="C268" s="83"/>
      <c r="D268" s="83"/>
      <c r="E268" s="83"/>
      <c r="F268" s="83"/>
      <c r="G268" s="83"/>
      <c r="H268" s="83"/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</row>
    <row r="269">
      <c r="A269" s="83"/>
      <c r="B269" s="112"/>
      <c r="C269" s="83"/>
      <c r="D269" s="83"/>
      <c r="E269" s="83"/>
      <c r="F269" s="83"/>
      <c r="G269" s="83"/>
      <c r="H269" s="83"/>
      <c r="I269" s="83"/>
      <c r="J269" s="83"/>
      <c r="K269" s="83"/>
      <c r="L269" s="83"/>
      <c r="M269" s="83"/>
      <c r="N269" s="83"/>
      <c r="O269" s="83"/>
      <c r="P269" s="83"/>
      <c r="Q269" s="83"/>
      <c r="R269" s="83"/>
      <c r="S269" s="83"/>
      <c r="T269" s="83"/>
      <c r="U269" s="83"/>
      <c r="V269" s="83"/>
      <c r="W269" s="83"/>
      <c r="X269" s="83"/>
      <c r="Y269" s="83"/>
      <c r="Z269" s="83"/>
    </row>
    <row r="270">
      <c r="A270" s="83"/>
      <c r="B270" s="112"/>
      <c r="C270" s="83"/>
      <c r="D270" s="83"/>
      <c r="E270" s="83"/>
      <c r="F270" s="83"/>
      <c r="G270" s="83"/>
      <c r="H270" s="83"/>
      <c r="I270" s="83"/>
      <c r="J270" s="83"/>
      <c r="K270" s="83"/>
      <c r="L270" s="83"/>
      <c r="M270" s="83"/>
      <c r="N270" s="83"/>
      <c r="O270" s="83"/>
      <c r="P270" s="83"/>
      <c r="Q270" s="83"/>
      <c r="R270" s="83"/>
      <c r="S270" s="83"/>
      <c r="T270" s="83"/>
      <c r="U270" s="83"/>
      <c r="V270" s="83"/>
      <c r="W270" s="83"/>
      <c r="X270" s="83"/>
      <c r="Y270" s="83"/>
      <c r="Z270" s="83"/>
    </row>
    <row r="271">
      <c r="A271" s="83"/>
      <c r="B271" s="112"/>
      <c r="C271" s="83"/>
      <c r="D271" s="83"/>
      <c r="E271" s="83"/>
      <c r="F271" s="83"/>
      <c r="G271" s="83"/>
      <c r="H271" s="83"/>
      <c r="I271" s="83"/>
      <c r="J271" s="83"/>
      <c r="K271" s="83"/>
      <c r="L271" s="83"/>
      <c r="M271" s="83"/>
      <c r="N271" s="83"/>
      <c r="O271" s="83"/>
      <c r="P271" s="83"/>
      <c r="Q271" s="83"/>
      <c r="R271" s="83"/>
      <c r="S271" s="83"/>
      <c r="T271" s="83"/>
      <c r="U271" s="83"/>
      <c r="V271" s="83"/>
      <c r="W271" s="83"/>
      <c r="X271" s="83"/>
      <c r="Y271" s="83"/>
      <c r="Z271" s="83"/>
    </row>
    <row r="272">
      <c r="A272" s="83"/>
      <c r="B272" s="112"/>
      <c r="C272" s="83"/>
      <c r="D272" s="83"/>
      <c r="E272" s="83"/>
      <c r="F272" s="83"/>
      <c r="G272" s="83"/>
      <c r="H272" s="83"/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</row>
    <row r="273">
      <c r="A273" s="83"/>
      <c r="B273" s="112"/>
      <c r="C273" s="83"/>
      <c r="D273" s="83"/>
      <c r="E273" s="83"/>
      <c r="F273" s="83"/>
      <c r="G273" s="83"/>
      <c r="H273" s="83"/>
      <c r="I273" s="83"/>
      <c r="J273" s="83"/>
      <c r="K273" s="83"/>
      <c r="L273" s="83"/>
      <c r="M273" s="83"/>
      <c r="N273" s="83"/>
      <c r="O273" s="83"/>
      <c r="P273" s="83"/>
      <c r="Q273" s="83"/>
      <c r="R273" s="83"/>
      <c r="S273" s="83"/>
      <c r="T273" s="83"/>
      <c r="U273" s="83"/>
      <c r="V273" s="83"/>
      <c r="W273" s="83"/>
      <c r="X273" s="83"/>
      <c r="Y273" s="83"/>
      <c r="Z273" s="83"/>
    </row>
    <row r="274">
      <c r="A274" s="83"/>
      <c r="B274" s="112"/>
      <c r="C274" s="83"/>
      <c r="D274" s="83"/>
      <c r="E274" s="83"/>
      <c r="F274" s="83"/>
      <c r="G274" s="83"/>
      <c r="H274" s="83"/>
      <c r="I274" s="83"/>
      <c r="J274" s="83"/>
      <c r="K274" s="83"/>
      <c r="L274" s="83"/>
      <c r="M274" s="83"/>
      <c r="N274" s="83"/>
      <c r="O274" s="83"/>
      <c r="P274" s="83"/>
      <c r="Q274" s="83"/>
      <c r="R274" s="83"/>
      <c r="S274" s="83"/>
      <c r="T274" s="83"/>
      <c r="U274" s="83"/>
      <c r="V274" s="83"/>
      <c r="W274" s="83"/>
      <c r="X274" s="83"/>
      <c r="Y274" s="83"/>
      <c r="Z274" s="83"/>
    </row>
    <row r="275">
      <c r="A275" s="83"/>
      <c r="B275" s="112"/>
      <c r="C275" s="83"/>
      <c r="D275" s="83"/>
      <c r="E275" s="83"/>
      <c r="F275" s="83"/>
      <c r="G275" s="83"/>
      <c r="H275" s="83"/>
      <c r="I275" s="83"/>
      <c r="J275" s="83"/>
      <c r="K275" s="83"/>
      <c r="L275" s="83"/>
      <c r="M275" s="83"/>
      <c r="N275" s="83"/>
      <c r="O275" s="83"/>
      <c r="P275" s="83"/>
      <c r="Q275" s="83"/>
      <c r="R275" s="83"/>
      <c r="S275" s="83"/>
      <c r="T275" s="83"/>
      <c r="U275" s="83"/>
      <c r="V275" s="83"/>
      <c r="W275" s="83"/>
      <c r="X275" s="83"/>
      <c r="Y275" s="83"/>
      <c r="Z275" s="83"/>
    </row>
    <row r="276">
      <c r="A276" s="83"/>
      <c r="B276" s="112"/>
      <c r="C276" s="83"/>
      <c r="D276" s="83"/>
      <c r="E276" s="83"/>
      <c r="F276" s="83"/>
      <c r="G276" s="83"/>
      <c r="H276" s="83"/>
      <c r="I276" s="83"/>
      <c r="J276" s="83"/>
      <c r="K276" s="83"/>
      <c r="L276" s="83"/>
      <c r="M276" s="83"/>
      <c r="N276" s="83"/>
      <c r="O276" s="83"/>
      <c r="P276" s="83"/>
      <c r="Q276" s="83"/>
      <c r="R276" s="83"/>
      <c r="S276" s="83"/>
      <c r="T276" s="83"/>
      <c r="U276" s="83"/>
      <c r="V276" s="83"/>
      <c r="W276" s="83"/>
      <c r="X276" s="83"/>
      <c r="Y276" s="83"/>
      <c r="Z276" s="83"/>
    </row>
    <row r="277">
      <c r="A277" s="83"/>
      <c r="B277" s="112"/>
      <c r="C277" s="83"/>
      <c r="D277" s="83"/>
      <c r="E277" s="83"/>
      <c r="F277" s="83"/>
      <c r="G277" s="83"/>
      <c r="H277" s="83"/>
      <c r="I277" s="83"/>
      <c r="J277" s="83"/>
      <c r="K277" s="83"/>
      <c r="L277" s="83"/>
      <c r="M277" s="83"/>
      <c r="N277" s="83"/>
      <c r="O277" s="83"/>
      <c r="P277" s="83"/>
      <c r="Q277" s="83"/>
      <c r="R277" s="83"/>
      <c r="S277" s="83"/>
      <c r="T277" s="83"/>
      <c r="U277" s="83"/>
      <c r="V277" s="83"/>
      <c r="W277" s="83"/>
      <c r="X277" s="83"/>
      <c r="Y277" s="83"/>
      <c r="Z277" s="83"/>
    </row>
    <row r="278">
      <c r="A278" s="83"/>
      <c r="B278" s="112"/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  <c r="O278" s="83"/>
      <c r="P278" s="83"/>
      <c r="Q278" s="83"/>
      <c r="R278" s="83"/>
      <c r="S278" s="83"/>
      <c r="T278" s="83"/>
      <c r="U278" s="83"/>
      <c r="V278" s="83"/>
      <c r="W278" s="83"/>
      <c r="X278" s="83"/>
      <c r="Y278" s="83"/>
      <c r="Z278" s="83"/>
    </row>
    <row r="279">
      <c r="A279" s="83"/>
      <c r="B279" s="112"/>
      <c r="C279" s="83"/>
      <c r="D279" s="83"/>
      <c r="E279" s="83"/>
      <c r="F279" s="83"/>
      <c r="G279" s="83"/>
      <c r="H279" s="83"/>
      <c r="I279" s="83"/>
      <c r="J279" s="83"/>
      <c r="K279" s="83"/>
      <c r="L279" s="83"/>
      <c r="M279" s="83"/>
      <c r="N279" s="83"/>
      <c r="O279" s="83"/>
      <c r="P279" s="83"/>
      <c r="Q279" s="83"/>
      <c r="R279" s="83"/>
      <c r="S279" s="83"/>
      <c r="T279" s="83"/>
      <c r="U279" s="83"/>
      <c r="V279" s="83"/>
      <c r="W279" s="83"/>
      <c r="X279" s="83"/>
      <c r="Y279" s="83"/>
      <c r="Z279" s="83"/>
    </row>
    <row r="280">
      <c r="A280" s="83"/>
      <c r="B280" s="112"/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  <c r="O280" s="83"/>
      <c r="P280" s="83"/>
      <c r="Q280" s="83"/>
      <c r="R280" s="83"/>
      <c r="S280" s="83"/>
      <c r="T280" s="83"/>
      <c r="U280" s="83"/>
      <c r="V280" s="83"/>
      <c r="W280" s="83"/>
      <c r="X280" s="83"/>
      <c r="Y280" s="83"/>
      <c r="Z280" s="83"/>
    </row>
    <row r="281">
      <c r="A281" s="83"/>
      <c r="B281" s="112"/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  <c r="O281" s="83"/>
      <c r="P281" s="83"/>
      <c r="Q281" s="83"/>
      <c r="R281" s="83"/>
      <c r="S281" s="83"/>
      <c r="T281" s="83"/>
      <c r="U281" s="83"/>
      <c r="V281" s="83"/>
      <c r="W281" s="83"/>
      <c r="X281" s="83"/>
      <c r="Y281" s="83"/>
      <c r="Z281" s="83"/>
    </row>
    <row r="282">
      <c r="A282" s="83"/>
      <c r="B282" s="112"/>
      <c r="C282" s="83"/>
      <c r="D282" s="83"/>
      <c r="E282" s="83"/>
      <c r="F282" s="83"/>
      <c r="G282" s="83"/>
      <c r="H282" s="83"/>
      <c r="I282" s="83"/>
      <c r="J282" s="83"/>
      <c r="K282" s="83"/>
      <c r="L282" s="83"/>
      <c r="M282" s="83"/>
      <c r="N282" s="83"/>
      <c r="O282" s="83"/>
      <c r="P282" s="83"/>
      <c r="Q282" s="83"/>
      <c r="R282" s="83"/>
      <c r="S282" s="83"/>
      <c r="T282" s="83"/>
      <c r="U282" s="83"/>
      <c r="V282" s="83"/>
      <c r="W282" s="83"/>
      <c r="X282" s="83"/>
      <c r="Y282" s="83"/>
      <c r="Z282" s="83"/>
    </row>
    <row r="283">
      <c r="A283" s="83"/>
      <c r="B283" s="112"/>
      <c r="C283" s="83"/>
      <c r="D283" s="83"/>
      <c r="E283" s="83"/>
      <c r="F283" s="83"/>
      <c r="G283" s="83"/>
      <c r="H283" s="83"/>
      <c r="I283" s="83"/>
      <c r="J283" s="83"/>
      <c r="K283" s="83"/>
      <c r="L283" s="83"/>
      <c r="M283" s="83"/>
      <c r="N283" s="83"/>
      <c r="O283" s="83"/>
      <c r="P283" s="83"/>
      <c r="Q283" s="83"/>
      <c r="R283" s="83"/>
      <c r="S283" s="83"/>
      <c r="T283" s="83"/>
      <c r="U283" s="83"/>
      <c r="V283" s="83"/>
      <c r="W283" s="83"/>
      <c r="X283" s="83"/>
      <c r="Y283" s="83"/>
      <c r="Z283" s="83"/>
    </row>
    <row r="284">
      <c r="A284" s="83"/>
      <c r="B284" s="112"/>
      <c r="C284" s="83"/>
      <c r="D284" s="83"/>
      <c r="E284" s="83"/>
      <c r="F284" s="83"/>
      <c r="G284" s="83"/>
      <c r="H284" s="83"/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</row>
    <row r="285">
      <c r="A285" s="83"/>
      <c r="B285" s="112"/>
      <c r="C285" s="83"/>
      <c r="D285" s="83"/>
      <c r="E285" s="83"/>
      <c r="F285" s="83"/>
      <c r="G285" s="83"/>
      <c r="H285" s="83"/>
      <c r="I285" s="83"/>
      <c r="J285" s="83"/>
      <c r="K285" s="83"/>
      <c r="L285" s="83"/>
      <c r="M285" s="83"/>
      <c r="N285" s="83"/>
      <c r="O285" s="83"/>
      <c r="P285" s="83"/>
      <c r="Q285" s="83"/>
      <c r="R285" s="83"/>
      <c r="S285" s="83"/>
      <c r="T285" s="83"/>
      <c r="U285" s="83"/>
      <c r="V285" s="83"/>
      <c r="W285" s="83"/>
      <c r="X285" s="83"/>
      <c r="Y285" s="83"/>
      <c r="Z285" s="83"/>
    </row>
    <row r="286">
      <c r="A286" s="83"/>
      <c r="B286" s="112"/>
      <c r="C286" s="83"/>
      <c r="D286" s="83"/>
      <c r="E286" s="83"/>
      <c r="F286" s="83"/>
      <c r="G286" s="83"/>
      <c r="H286" s="83"/>
      <c r="I286" s="83"/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</row>
    <row r="287">
      <c r="A287" s="83"/>
      <c r="B287" s="112"/>
      <c r="C287" s="83"/>
      <c r="D287" s="83"/>
      <c r="E287" s="83"/>
      <c r="F287" s="83"/>
      <c r="G287" s="83"/>
      <c r="H287" s="83"/>
      <c r="I287" s="83"/>
      <c r="J287" s="83"/>
      <c r="K287" s="83"/>
      <c r="L287" s="83"/>
      <c r="M287" s="83"/>
      <c r="N287" s="83"/>
      <c r="O287" s="83"/>
      <c r="P287" s="83"/>
      <c r="Q287" s="83"/>
      <c r="R287" s="83"/>
      <c r="S287" s="83"/>
      <c r="T287" s="83"/>
      <c r="U287" s="83"/>
      <c r="V287" s="83"/>
      <c r="W287" s="83"/>
      <c r="X287" s="83"/>
      <c r="Y287" s="83"/>
      <c r="Z287" s="83"/>
    </row>
    <row r="288">
      <c r="A288" s="83"/>
      <c r="B288" s="112"/>
      <c r="C288" s="83"/>
      <c r="D288" s="83"/>
      <c r="E288" s="83"/>
      <c r="F288" s="83"/>
      <c r="G288" s="83"/>
      <c r="H288" s="83"/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</row>
    <row r="289">
      <c r="A289" s="83"/>
      <c r="B289" s="112"/>
      <c r="C289" s="83"/>
      <c r="D289" s="83"/>
      <c r="E289" s="83"/>
      <c r="F289" s="83"/>
      <c r="G289" s="83"/>
      <c r="H289" s="83"/>
      <c r="I289" s="83"/>
      <c r="J289" s="83"/>
      <c r="K289" s="83"/>
      <c r="L289" s="83"/>
      <c r="M289" s="83"/>
      <c r="N289" s="83"/>
      <c r="O289" s="83"/>
      <c r="P289" s="83"/>
      <c r="Q289" s="83"/>
      <c r="R289" s="83"/>
      <c r="S289" s="83"/>
      <c r="T289" s="83"/>
      <c r="U289" s="83"/>
      <c r="V289" s="83"/>
      <c r="W289" s="83"/>
      <c r="X289" s="83"/>
      <c r="Y289" s="83"/>
      <c r="Z289" s="83"/>
    </row>
    <row r="290">
      <c r="A290" s="83"/>
      <c r="B290" s="112"/>
      <c r="C290" s="83"/>
      <c r="D290" s="83"/>
      <c r="E290" s="83"/>
      <c r="F290" s="83"/>
      <c r="G290" s="83"/>
      <c r="H290" s="83"/>
      <c r="I290" s="83"/>
      <c r="J290" s="83"/>
      <c r="K290" s="83"/>
      <c r="L290" s="83"/>
      <c r="M290" s="83"/>
      <c r="N290" s="83"/>
      <c r="O290" s="83"/>
      <c r="P290" s="83"/>
      <c r="Q290" s="83"/>
      <c r="R290" s="83"/>
      <c r="S290" s="83"/>
      <c r="T290" s="83"/>
      <c r="U290" s="83"/>
      <c r="V290" s="83"/>
      <c r="W290" s="83"/>
      <c r="X290" s="83"/>
      <c r="Y290" s="83"/>
      <c r="Z290" s="83"/>
    </row>
    <row r="291">
      <c r="A291" s="83"/>
      <c r="B291" s="112"/>
      <c r="C291" s="83"/>
      <c r="D291" s="83"/>
      <c r="E291" s="83"/>
      <c r="F291" s="83"/>
      <c r="G291" s="83"/>
      <c r="H291" s="83"/>
      <c r="I291" s="83"/>
      <c r="J291" s="83"/>
      <c r="K291" s="83"/>
      <c r="L291" s="83"/>
      <c r="M291" s="83"/>
      <c r="N291" s="83"/>
      <c r="O291" s="83"/>
      <c r="P291" s="83"/>
      <c r="Q291" s="83"/>
      <c r="R291" s="83"/>
      <c r="S291" s="83"/>
      <c r="T291" s="83"/>
      <c r="U291" s="83"/>
      <c r="V291" s="83"/>
      <c r="W291" s="83"/>
      <c r="X291" s="83"/>
      <c r="Y291" s="83"/>
      <c r="Z291" s="83"/>
    </row>
    <row r="292">
      <c r="A292" s="83"/>
      <c r="B292" s="112"/>
      <c r="C292" s="83"/>
      <c r="D292" s="83"/>
      <c r="E292" s="83"/>
      <c r="F292" s="83"/>
      <c r="G292" s="83"/>
      <c r="H292" s="83"/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</row>
    <row r="293">
      <c r="A293" s="83"/>
      <c r="B293" s="112"/>
      <c r="C293" s="83"/>
      <c r="D293" s="83"/>
      <c r="E293" s="83"/>
      <c r="F293" s="83"/>
      <c r="G293" s="83"/>
      <c r="H293" s="83"/>
      <c r="I293" s="83"/>
      <c r="J293" s="83"/>
      <c r="K293" s="83"/>
      <c r="L293" s="83"/>
      <c r="M293" s="83"/>
      <c r="N293" s="83"/>
      <c r="O293" s="83"/>
      <c r="P293" s="83"/>
      <c r="Q293" s="83"/>
      <c r="R293" s="83"/>
      <c r="S293" s="83"/>
      <c r="T293" s="83"/>
      <c r="U293" s="83"/>
      <c r="V293" s="83"/>
      <c r="W293" s="83"/>
      <c r="X293" s="83"/>
      <c r="Y293" s="83"/>
      <c r="Z293" s="83"/>
    </row>
    <row r="294">
      <c r="A294" s="83"/>
      <c r="B294" s="112"/>
      <c r="C294" s="83"/>
      <c r="D294" s="83"/>
      <c r="E294" s="83"/>
      <c r="F294" s="83"/>
      <c r="G294" s="83"/>
      <c r="H294" s="83"/>
      <c r="I294" s="83"/>
      <c r="J294" s="83"/>
      <c r="K294" s="83"/>
      <c r="L294" s="83"/>
      <c r="M294" s="83"/>
      <c r="N294" s="83"/>
      <c r="O294" s="83"/>
      <c r="P294" s="83"/>
      <c r="Q294" s="83"/>
      <c r="R294" s="83"/>
      <c r="S294" s="83"/>
      <c r="T294" s="83"/>
      <c r="U294" s="83"/>
      <c r="V294" s="83"/>
      <c r="W294" s="83"/>
      <c r="X294" s="83"/>
      <c r="Y294" s="83"/>
      <c r="Z294" s="83"/>
    </row>
    <row r="295">
      <c r="A295" s="83"/>
      <c r="B295" s="112"/>
      <c r="C295" s="83"/>
      <c r="D295" s="83"/>
      <c r="E295" s="83"/>
      <c r="F295" s="83"/>
      <c r="G295" s="83"/>
      <c r="H295" s="83"/>
      <c r="I295" s="83"/>
      <c r="J295" s="83"/>
      <c r="K295" s="83"/>
      <c r="L295" s="83"/>
      <c r="M295" s="83"/>
      <c r="N295" s="83"/>
      <c r="O295" s="83"/>
      <c r="P295" s="83"/>
      <c r="Q295" s="83"/>
      <c r="R295" s="83"/>
      <c r="S295" s="83"/>
      <c r="T295" s="83"/>
      <c r="U295" s="83"/>
      <c r="V295" s="83"/>
      <c r="W295" s="83"/>
      <c r="X295" s="83"/>
      <c r="Y295" s="83"/>
      <c r="Z295" s="83"/>
    </row>
    <row r="296">
      <c r="A296" s="83"/>
      <c r="B296" s="112"/>
      <c r="C296" s="83"/>
      <c r="D296" s="83"/>
      <c r="E296" s="83"/>
      <c r="F296" s="83"/>
      <c r="G296" s="83"/>
      <c r="H296" s="83"/>
      <c r="I296" s="83"/>
      <c r="J296" s="83"/>
      <c r="K296" s="83"/>
      <c r="L296" s="83"/>
      <c r="M296" s="83"/>
      <c r="N296" s="83"/>
      <c r="O296" s="83"/>
      <c r="P296" s="83"/>
      <c r="Q296" s="83"/>
      <c r="R296" s="83"/>
      <c r="S296" s="83"/>
      <c r="T296" s="83"/>
      <c r="U296" s="83"/>
      <c r="V296" s="83"/>
      <c r="W296" s="83"/>
      <c r="X296" s="83"/>
      <c r="Y296" s="83"/>
      <c r="Z296" s="83"/>
    </row>
    <row r="297">
      <c r="A297" s="83"/>
      <c r="B297" s="112"/>
      <c r="C297" s="83"/>
      <c r="D297" s="83"/>
      <c r="E297" s="83"/>
      <c r="F297" s="83"/>
      <c r="G297" s="83"/>
      <c r="H297" s="83"/>
      <c r="I297" s="83"/>
      <c r="J297" s="83"/>
      <c r="K297" s="83"/>
      <c r="L297" s="83"/>
      <c r="M297" s="83"/>
      <c r="N297" s="83"/>
      <c r="O297" s="83"/>
      <c r="P297" s="83"/>
      <c r="Q297" s="83"/>
      <c r="R297" s="83"/>
      <c r="S297" s="83"/>
      <c r="T297" s="83"/>
      <c r="U297" s="83"/>
      <c r="V297" s="83"/>
      <c r="W297" s="83"/>
      <c r="X297" s="83"/>
      <c r="Y297" s="83"/>
      <c r="Z297" s="83"/>
    </row>
    <row r="298">
      <c r="A298" s="83"/>
      <c r="B298" s="112"/>
      <c r="C298" s="83"/>
      <c r="D298" s="83"/>
      <c r="E298" s="83"/>
      <c r="F298" s="83"/>
      <c r="G298" s="83"/>
      <c r="H298" s="83"/>
      <c r="I298" s="83"/>
      <c r="J298" s="83"/>
      <c r="K298" s="83"/>
      <c r="L298" s="83"/>
      <c r="M298" s="83"/>
      <c r="N298" s="83"/>
      <c r="O298" s="83"/>
      <c r="P298" s="83"/>
      <c r="Q298" s="83"/>
      <c r="R298" s="83"/>
      <c r="S298" s="83"/>
      <c r="T298" s="83"/>
      <c r="U298" s="83"/>
      <c r="V298" s="83"/>
      <c r="W298" s="83"/>
      <c r="X298" s="83"/>
      <c r="Y298" s="83"/>
      <c r="Z298" s="83"/>
    </row>
    <row r="299">
      <c r="A299" s="83"/>
      <c r="B299" s="112"/>
      <c r="C299" s="83"/>
      <c r="D299" s="83"/>
      <c r="E299" s="83"/>
      <c r="F299" s="83"/>
      <c r="G299" s="83"/>
      <c r="H299" s="83"/>
      <c r="I299" s="83"/>
      <c r="J299" s="83"/>
      <c r="K299" s="83"/>
      <c r="L299" s="83"/>
      <c r="M299" s="83"/>
      <c r="N299" s="83"/>
      <c r="O299" s="83"/>
      <c r="P299" s="83"/>
      <c r="Q299" s="83"/>
      <c r="R299" s="83"/>
      <c r="S299" s="83"/>
      <c r="T299" s="83"/>
      <c r="U299" s="83"/>
      <c r="V299" s="83"/>
      <c r="W299" s="83"/>
      <c r="X299" s="83"/>
      <c r="Y299" s="83"/>
      <c r="Z299" s="83"/>
    </row>
    <row r="300">
      <c r="A300" s="83"/>
      <c r="B300" s="112"/>
      <c r="C300" s="83"/>
      <c r="D300" s="83"/>
      <c r="E300" s="83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83"/>
      <c r="Y300" s="83"/>
      <c r="Z300" s="83"/>
    </row>
    <row r="301">
      <c r="A301" s="83"/>
      <c r="B301" s="112"/>
      <c r="C301" s="83"/>
      <c r="D301" s="83"/>
      <c r="E301" s="83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83"/>
      <c r="Y301" s="83"/>
      <c r="Z301" s="83"/>
    </row>
    <row r="302">
      <c r="A302" s="83"/>
      <c r="B302" s="112"/>
      <c r="C302" s="83"/>
      <c r="D302" s="83"/>
      <c r="E302" s="83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83"/>
      <c r="Y302" s="83"/>
      <c r="Z302" s="83"/>
    </row>
    <row r="303">
      <c r="A303" s="83"/>
      <c r="B303" s="112"/>
      <c r="C303" s="83"/>
      <c r="D303" s="83"/>
      <c r="E303" s="83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83"/>
      <c r="Y303" s="83"/>
      <c r="Z303" s="83"/>
    </row>
    <row r="304">
      <c r="A304" s="83"/>
      <c r="B304" s="112"/>
      <c r="C304" s="83"/>
      <c r="D304" s="83"/>
      <c r="E304" s="83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</row>
    <row r="305">
      <c r="A305" s="83"/>
      <c r="B305" s="112"/>
      <c r="C305" s="83"/>
      <c r="D305" s="83"/>
      <c r="E305" s="83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83"/>
      <c r="Y305" s="83"/>
      <c r="Z305" s="83"/>
    </row>
    <row r="306">
      <c r="A306" s="83"/>
      <c r="B306" s="112"/>
      <c r="C306" s="83"/>
      <c r="D306" s="83"/>
      <c r="E306" s="83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</row>
    <row r="307">
      <c r="A307" s="83"/>
      <c r="B307" s="112"/>
      <c r="C307" s="83"/>
      <c r="D307" s="83"/>
      <c r="E307" s="83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83"/>
      <c r="Y307" s="83"/>
      <c r="Z307" s="83"/>
    </row>
    <row r="308">
      <c r="A308" s="83"/>
      <c r="B308" s="112"/>
      <c r="C308" s="83"/>
      <c r="D308" s="83"/>
      <c r="E308" s="83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</row>
    <row r="309">
      <c r="A309" s="83"/>
      <c r="B309" s="112"/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83"/>
      <c r="Y309" s="83"/>
      <c r="Z309" s="83"/>
    </row>
    <row r="310">
      <c r="A310" s="83"/>
      <c r="B310" s="112"/>
      <c r="C310" s="83"/>
      <c r="D310" s="83"/>
      <c r="E310" s="83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83"/>
      <c r="Y310" s="83"/>
      <c r="Z310" s="83"/>
    </row>
    <row r="311">
      <c r="A311" s="83"/>
      <c r="B311" s="112"/>
      <c r="C311" s="83"/>
      <c r="D311" s="83"/>
      <c r="E311" s="83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83"/>
      <c r="Y311" s="83"/>
      <c r="Z311" s="83"/>
    </row>
    <row r="312">
      <c r="A312" s="83"/>
      <c r="B312" s="112"/>
      <c r="C312" s="83"/>
      <c r="D312" s="83"/>
      <c r="E312" s="83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</row>
    <row r="313">
      <c r="A313" s="83"/>
      <c r="B313" s="112"/>
      <c r="C313" s="83"/>
      <c r="D313" s="83"/>
      <c r="E313" s="83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>
      <c r="A314" s="83"/>
      <c r="B314" s="112"/>
      <c r="C314" s="83"/>
      <c r="D314" s="83"/>
      <c r="E314" s="83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83"/>
      <c r="Y314" s="83"/>
      <c r="Z314" s="83"/>
    </row>
    <row r="315">
      <c r="A315" s="83"/>
      <c r="B315" s="112"/>
      <c r="C315" s="83"/>
      <c r="D315" s="83"/>
      <c r="E315" s="83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83"/>
      <c r="Y315" s="83"/>
      <c r="Z315" s="83"/>
    </row>
    <row r="316">
      <c r="A316" s="83"/>
      <c r="B316" s="112"/>
      <c r="C316" s="83"/>
      <c r="D316" s="83"/>
      <c r="E316" s="83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83"/>
      <c r="Y316" s="83"/>
      <c r="Z316" s="83"/>
    </row>
    <row r="317">
      <c r="A317" s="83"/>
      <c r="B317" s="112"/>
      <c r="C317" s="83"/>
      <c r="D317" s="83"/>
      <c r="E317" s="83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83"/>
      <c r="Y317" s="83"/>
      <c r="Z317" s="83"/>
    </row>
    <row r="318">
      <c r="A318" s="83"/>
      <c r="B318" s="112"/>
      <c r="C318" s="83"/>
      <c r="D318" s="83"/>
      <c r="E318" s="83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83"/>
      <c r="Y318" s="83"/>
      <c r="Z318" s="83"/>
    </row>
    <row r="319">
      <c r="A319" s="83"/>
      <c r="B319" s="112"/>
      <c r="C319" s="83"/>
      <c r="D319" s="83"/>
      <c r="E319" s="83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83"/>
      <c r="Y319" s="83"/>
      <c r="Z319" s="83"/>
    </row>
    <row r="320">
      <c r="A320" s="83"/>
      <c r="B320" s="112"/>
      <c r="C320" s="83"/>
      <c r="D320" s="83"/>
      <c r="E320" s="83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83"/>
      <c r="Y320" s="83"/>
      <c r="Z320" s="83"/>
    </row>
    <row r="321">
      <c r="A321" s="83"/>
      <c r="B321" s="112"/>
      <c r="C321" s="83"/>
      <c r="D321" s="83"/>
      <c r="E321" s="83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83"/>
      <c r="Y321" s="83"/>
      <c r="Z321" s="83"/>
    </row>
    <row r="322">
      <c r="A322" s="83"/>
      <c r="B322" s="112"/>
      <c r="C322" s="83"/>
      <c r="D322" s="83"/>
      <c r="E322" s="83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83"/>
      <c r="Y322" s="83"/>
      <c r="Z322" s="83"/>
    </row>
    <row r="323">
      <c r="A323" s="83"/>
      <c r="B323" s="112"/>
      <c r="C323" s="83"/>
      <c r="D323" s="83"/>
      <c r="E323" s="83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83"/>
      <c r="Y323" s="83"/>
      <c r="Z323" s="83"/>
    </row>
    <row r="324">
      <c r="A324" s="83"/>
      <c r="B324" s="112"/>
      <c r="C324" s="83"/>
      <c r="D324" s="83"/>
      <c r="E324" s="83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</row>
    <row r="325">
      <c r="A325" s="83"/>
      <c r="B325" s="112"/>
      <c r="C325" s="83"/>
      <c r="D325" s="83"/>
      <c r="E325" s="83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83"/>
      <c r="Y325" s="83"/>
      <c r="Z325" s="83"/>
    </row>
    <row r="326">
      <c r="A326" s="83"/>
      <c r="B326" s="112"/>
      <c r="C326" s="83"/>
      <c r="D326" s="83"/>
      <c r="E326" s="83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</row>
    <row r="327">
      <c r="A327" s="83"/>
      <c r="B327" s="112"/>
      <c r="C327" s="83"/>
      <c r="D327" s="83"/>
      <c r="E327" s="83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83"/>
      <c r="Y327" s="83"/>
      <c r="Z327" s="83"/>
    </row>
    <row r="328">
      <c r="A328" s="83"/>
      <c r="B328" s="112"/>
      <c r="C328" s="83"/>
      <c r="D328" s="83"/>
      <c r="E328" s="83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</row>
    <row r="329">
      <c r="A329" s="83"/>
      <c r="B329" s="112"/>
      <c r="C329" s="83"/>
      <c r="D329" s="83"/>
      <c r="E329" s="83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83"/>
      <c r="Y329" s="83"/>
      <c r="Z329" s="83"/>
    </row>
    <row r="330">
      <c r="A330" s="83"/>
      <c r="B330" s="112"/>
      <c r="C330" s="83"/>
      <c r="D330" s="83"/>
      <c r="E330" s="83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83"/>
      <c r="Y330" s="83"/>
      <c r="Z330" s="83"/>
    </row>
    <row r="331">
      <c r="A331" s="83"/>
      <c r="B331" s="112"/>
      <c r="C331" s="83"/>
      <c r="D331" s="83"/>
      <c r="E331" s="83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83"/>
      <c r="Y331" s="83"/>
      <c r="Z331" s="83"/>
    </row>
    <row r="332">
      <c r="A332" s="83"/>
      <c r="B332" s="112"/>
      <c r="C332" s="83"/>
      <c r="D332" s="83"/>
      <c r="E332" s="83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</row>
    <row r="333">
      <c r="A333" s="83"/>
      <c r="B333" s="112"/>
      <c r="C333" s="83"/>
      <c r="D333" s="83"/>
      <c r="E333" s="83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83"/>
      <c r="Y333" s="83"/>
      <c r="Z333" s="83"/>
    </row>
    <row r="334">
      <c r="A334" s="83"/>
      <c r="B334" s="112"/>
      <c r="C334" s="83"/>
      <c r="D334" s="83"/>
      <c r="E334" s="83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83"/>
      <c r="Y334" s="83"/>
      <c r="Z334" s="83"/>
    </row>
    <row r="335">
      <c r="A335" s="83"/>
      <c r="B335" s="112"/>
      <c r="C335" s="83"/>
      <c r="D335" s="83"/>
      <c r="E335" s="83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83"/>
      <c r="Y335" s="83"/>
      <c r="Z335" s="83"/>
    </row>
    <row r="336">
      <c r="A336" s="83"/>
      <c r="B336" s="112"/>
      <c r="C336" s="83"/>
      <c r="D336" s="83"/>
      <c r="E336" s="83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83"/>
      <c r="Y336" s="83"/>
      <c r="Z336" s="83"/>
    </row>
    <row r="337">
      <c r="A337" s="83"/>
      <c r="B337" s="112"/>
      <c r="C337" s="83"/>
      <c r="D337" s="83"/>
      <c r="E337" s="83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83"/>
      <c r="Y337" s="83"/>
      <c r="Z337" s="83"/>
    </row>
    <row r="338">
      <c r="A338" s="83"/>
      <c r="B338" s="112"/>
      <c r="C338" s="83"/>
      <c r="D338" s="83"/>
      <c r="E338" s="83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83"/>
      <c r="Y338" s="83"/>
      <c r="Z338" s="83"/>
    </row>
    <row r="339">
      <c r="A339" s="83"/>
      <c r="B339" s="112"/>
      <c r="C339" s="83"/>
      <c r="D339" s="83"/>
      <c r="E339" s="83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83"/>
      <c r="Y339" s="83"/>
      <c r="Z339" s="83"/>
    </row>
    <row r="340">
      <c r="A340" s="83"/>
      <c r="B340" s="112"/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83"/>
      <c r="Y340" s="83"/>
      <c r="Z340" s="83"/>
    </row>
    <row r="341">
      <c r="A341" s="83"/>
      <c r="B341" s="112"/>
      <c r="C341" s="83"/>
      <c r="D341" s="83"/>
      <c r="E341" s="83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83"/>
      <c r="Y341" s="83"/>
      <c r="Z341" s="83"/>
    </row>
    <row r="342">
      <c r="A342" s="83"/>
      <c r="B342" s="112"/>
      <c r="C342" s="83"/>
      <c r="D342" s="83"/>
      <c r="E342" s="83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83"/>
      <c r="Y342" s="83"/>
      <c r="Z342" s="83"/>
    </row>
    <row r="343">
      <c r="A343" s="83"/>
      <c r="B343" s="112"/>
      <c r="C343" s="83"/>
      <c r="D343" s="83"/>
      <c r="E343" s="83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83"/>
      <c r="Y343" s="83"/>
      <c r="Z343" s="83"/>
    </row>
    <row r="344">
      <c r="A344" s="83"/>
      <c r="B344" s="112"/>
      <c r="C344" s="83"/>
      <c r="D344" s="83"/>
      <c r="E344" s="83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</row>
    <row r="345">
      <c r="A345" s="83"/>
      <c r="B345" s="112"/>
      <c r="C345" s="83"/>
      <c r="D345" s="83"/>
      <c r="E345" s="83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83"/>
      <c r="Y345" s="83"/>
      <c r="Z345" s="83"/>
    </row>
    <row r="346">
      <c r="A346" s="83"/>
      <c r="B346" s="112"/>
      <c r="C346" s="83"/>
      <c r="D346" s="83"/>
      <c r="E346" s="83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</row>
    <row r="347">
      <c r="A347" s="83"/>
      <c r="B347" s="112"/>
      <c r="C347" s="83"/>
      <c r="D347" s="83"/>
      <c r="E347" s="83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83"/>
      <c r="Y347" s="83"/>
      <c r="Z347" s="83"/>
    </row>
    <row r="348">
      <c r="A348" s="83"/>
      <c r="B348" s="112"/>
      <c r="C348" s="83"/>
      <c r="D348" s="83"/>
      <c r="E348" s="83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</row>
    <row r="349">
      <c r="A349" s="83"/>
      <c r="B349" s="112"/>
      <c r="C349" s="83"/>
      <c r="D349" s="83"/>
      <c r="E349" s="83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83"/>
      <c r="Y349" s="83"/>
      <c r="Z349" s="83"/>
    </row>
    <row r="350">
      <c r="A350" s="83"/>
      <c r="B350" s="112"/>
      <c r="C350" s="83"/>
      <c r="D350" s="83"/>
      <c r="E350" s="83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83"/>
      <c r="Y350" s="83"/>
      <c r="Z350" s="83"/>
    </row>
    <row r="351">
      <c r="A351" s="83"/>
      <c r="B351" s="112"/>
      <c r="C351" s="83"/>
      <c r="D351" s="83"/>
      <c r="E351" s="83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83"/>
      <c r="Y351" s="83"/>
      <c r="Z351" s="83"/>
    </row>
    <row r="352">
      <c r="A352" s="83"/>
      <c r="B352" s="112"/>
      <c r="C352" s="83"/>
      <c r="D352" s="83"/>
      <c r="E352" s="83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</row>
    <row r="353">
      <c r="A353" s="83"/>
      <c r="B353" s="112"/>
      <c r="C353" s="83"/>
      <c r="D353" s="83"/>
      <c r="E353" s="83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83"/>
      <c r="Y353" s="83"/>
      <c r="Z353" s="83"/>
    </row>
    <row r="354">
      <c r="A354" s="83"/>
      <c r="B354" s="112"/>
      <c r="C354" s="83"/>
      <c r="D354" s="83"/>
      <c r="E354" s="83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83"/>
      <c r="Y354" s="83"/>
      <c r="Z354" s="83"/>
    </row>
    <row r="355">
      <c r="A355" s="83"/>
      <c r="B355" s="112"/>
      <c r="C355" s="83"/>
      <c r="D355" s="83"/>
      <c r="E355" s="83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83"/>
      <c r="Y355" s="83"/>
      <c r="Z355" s="83"/>
    </row>
    <row r="356">
      <c r="A356" s="83"/>
      <c r="B356" s="112"/>
      <c r="C356" s="83"/>
      <c r="D356" s="83"/>
      <c r="E356" s="83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83"/>
      <c r="Y356" s="83"/>
      <c r="Z356" s="83"/>
    </row>
    <row r="357">
      <c r="A357" s="83"/>
      <c r="B357" s="112"/>
      <c r="C357" s="83"/>
      <c r="D357" s="83"/>
      <c r="E357" s="83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83"/>
      <c r="Y357" s="83"/>
      <c r="Z357" s="83"/>
    </row>
    <row r="358">
      <c r="A358" s="83"/>
      <c r="B358" s="112"/>
      <c r="C358" s="83"/>
      <c r="D358" s="83"/>
      <c r="E358" s="83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83"/>
      <c r="Y358" s="83"/>
      <c r="Z358" s="83"/>
    </row>
    <row r="359">
      <c r="A359" s="83"/>
      <c r="B359" s="112"/>
      <c r="C359" s="83"/>
      <c r="D359" s="83"/>
      <c r="E359" s="83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83"/>
      <c r="Y359" s="83"/>
      <c r="Z359" s="83"/>
    </row>
    <row r="360">
      <c r="A360" s="83"/>
      <c r="B360" s="112"/>
      <c r="C360" s="83"/>
      <c r="D360" s="83"/>
      <c r="E360" s="83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83"/>
      <c r="Y360" s="83"/>
      <c r="Z360" s="83"/>
    </row>
    <row r="361">
      <c r="A361" s="83"/>
      <c r="B361" s="112"/>
      <c r="C361" s="83"/>
      <c r="D361" s="83"/>
      <c r="E361" s="83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83"/>
      <c r="Y361" s="83"/>
      <c r="Z361" s="83"/>
    </row>
    <row r="362">
      <c r="A362" s="83"/>
      <c r="B362" s="112"/>
      <c r="C362" s="83"/>
      <c r="D362" s="83"/>
      <c r="E362" s="83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83"/>
      <c r="Y362" s="83"/>
      <c r="Z362" s="83"/>
    </row>
    <row r="363">
      <c r="A363" s="83"/>
      <c r="B363" s="112"/>
      <c r="C363" s="83"/>
      <c r="D363" s="83"/>
      <c r="E363" s="83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83"/>
      <c r="Y363" s="83"/>
      <c r="Z363" s="83"/>
    </row>
    <row r="364">
      <c r="A364" s="83"/>
      <c r="B364" s="112"/>
      <c r="C364" s="83"/>
      <c r="D364" s="83"/>
      <c r="E364" s="83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</row>
    <row r="365">
      <c r="A365" s="83"/>
      <c r="B365" s="112"/>
      <c r="C365" s="83"/>
      <c r="D365" s="83"/>
      <c r="E365" s="83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83"/>
      <c r="Y365" s="83"/>
      <c r="Z365" s="83"/>
    </row>
    <row r="366">
      <c r="A366" s="83"/>
      <c r="B366" s="112"/>
      <c r="C366" s="83"/>
      <c r="D366" s="83"/>
      <c r="E366" s="83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</row>
    <row r="367">
      <c r="A367" s="83"/>
      <c r="B367" s="112"/>
      <c r="C367" s="83"/>
      <c r="D367" s="83"/>
      <c r="E367" s="83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83"/>
      <c r="Y367" s="83"/>
      <c r="Z367" s="83"/>
    </row>
    <row r="368">
      <c r="A368" s="83"/>
      <c r="B368" s="112"/>
      <c r="C368" s="83"/>
      <c r="D368" s="83"/>
      <c r="E368" s="83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</row>
    <row r="369">
      <c r="A369" s="83"/>
      <c r="B369" s="112"/>
      <c r="C369" s="83"/>
      <c r="D369" s="83"/>
      <c r="E369" s="83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83"/>
      <c r="Y369" s="83"/>
      <c r="Z369" s="83"/>
    </row>
    <row r="370">
      <c r="A370" s="83"/>
      <c r="B370" s="112"/>
      <c r="C370" s="83"/>
      <c r="D370" s="83"/>
      <c r="E370" s="83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83"/>
      <c r="Y370" s="83"/>
      <c r="Z370" s="83"/>
    </row>
    <row r="371">
      <c r="A371" s="83"/>
      <c r="B371" s="112"/>
      <c r="C371" s="83"/>
      <c r="D371" s="83"/>
      <c r="E371" s="83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83"/>
      <c r="Y371" s="83"/>
      <c r="Z371" s="83"/>
    </row>
    <row r="372">
      <c r="A372" s="83"/>
      <c r="B372" s="112"/>
      <c r="C372" s="83"/>
      <c r="D372" s="83"/>
      <c r="E372" s="83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</row>
    <row r="373">
      <c r="A373" s="83"/>
      <c r="B373" s="112"/>
      <c r="C373" s="83"/>
      <c r="D373" s="83"/>
      <c r="E373" s="83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83"/>
      <c r="Y373" s="83"/>
      <c r="Z373" s="83"/>
    </row>
    <row r="374">
      <c r="A374" s="83"/>
      <c r="B374" s="112"/>
      <c r="C374" s="83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</row>
    <row r="375">
      <c r="A375" s="83"/>
      <c r="B375" s="112"/>
      <c r="C375" s="83"/>
      <c r="D375" s="83"/>
      <c r="E375" s="83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83"/>
      <c r="Y375" s="83"/>
      <c r="Z375" s="83"/>
    </row>
    <row r="376">
      <c r="A376" s="83"/>
      <c r="B376" s="112"/>
      <c r="C376" s="83"/>
      <c r="D376" s="83"/>
      <c r="E376" s="83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83"/>
      <c r="Y376" s="83"/>
      <c r="Z376" s="83"/>
    </row>
    <row r="377">
      <c r="A377" s="83"/>
      <c r="B377" s="112"/>
      <c r="C377" s="83"/>
      <c r="D377" s="83"/>
      <c r="E377" s="83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83"/>
      <c r="Y377" s="83"/>
      <c r="Z377" s="83"/>
    </row>
    <row r="378">
      <c r="A378" s="83"/>
      <c r="B378" s="112"/>
      <c r="C378" s="83"/>
      <c r="D378" s="83"/>
      <c r="E378" s="83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83"/>
      <c r="Y378" s="83"/>
      <c r="Z378" s="83"/>
    </row>
    <row r="379">
      <c r="A379" s="83"/>
      <c r="B379" s="112"/>
      <c r="C379" s="83"/>
      <c r="D379" s="83"/>
      <c r="E379" s="83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83"/>
      <c r="Y379" s="83"/>
      <c r="Z379" s="83"/>
    </row>
    <row r="380">
      <c r="A380" s="83"/>
      <c r="B380" s="112"/>
      <c r="C380" s="83"/>
      <c r="D380" s="83"/>
      <c r="E380" s="83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83"/>
      <c r="Y380" s="83"/>
      <c r="Z380" s="83"/>
    </row>
    <row r="381">
      <c r="A381" s="83"/>
      <c r="B381" s="112"/>
      <c r="C381" s="83"/>
      <c r="D381" s="83"/>
      <c r="E381" s="83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83"/>
      <c r="Y381" s="83"/>
      <c r="Z381" s="83"/>
    </row>
    <row r="382">
      <c r="A382" s="83"/>
      <c r="B382" s="112"/>
      <c r="C382" s="83"/>
      <c r="D382" s="83"/>
      <c r="E382" s="83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83"/>
      <c r="Y382" s="83"/>
      <c r="Z382" s="83"/>
    </row>
    <row r="383">
      <c r="A383" s="83"/>
      <c r="B383" s="112"/>
      <c r="C383" s="83"/>
      <c r="D383" s="83"/>
      <c r="E383" s="83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83"/>
      <c r="Y383" s="83"/>
      <c r="Z383" s="83"/>
    </row>
    <row r="384">
      <c r="A384" s="83"/>
      <c r="B384" s="112"/>
      <c r="C384" s="83"/>
      <c r="D384" s="83"/>
      <c r="E384" s="83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</row>
    <row r="385">
      <c r="A385" s="83"/>
      <c r="B385" s="112"/>
      <c r="C385" s="83"/>
      <c r="D385" s="83"/>
      <c r="E385" s="83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83"/>
      <c r="Y385" s="83"/>
      <c r="Z385" s="83"/>
    </row>
    <row r="386">
      <c r="A386" s="83"/>
      <c r="B386" s="112"/>
      <c r="C386" s="83"/>
      <c r="D386" s="83"/>
      <c r="E386" s="83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</row>
    <row r="387">
      <c r="A387" s="83"/>
      <c r="B387" s="112"/>
      <c r="C387" s="83"/>
      <c r="D387" s="83"/>
      <c r="E387" s="83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83"/>
      <c r="Y387" s="83"/>
      <c r="Z387" s="83"/>
    </row>
    <row r="388">
      <c r="A388" s="83"/>
      <c r="B388" s="112"/>
      <c r="C388" s="83"/>
      <c r="D388" s="83"/>
      <c r="E388" s="83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</row>
    <row r="389">
      <c r="A389" s="83"/>
      <c r="B389" s="112"/>
      <c r="C389" s="83"/>
      <c r="D389" s="83"/>
      <c r="E389" s="83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83"/>
      <c r="Y389" s="83"/>
      <c r="Z389" s="83"/>
    </row>
    <row r="390">
      <c r="A390" s="83"/>
      <c r="B390" s="112"/>
      <c r="C390" s="83"/>
      <c r="D390" s="83"/>
      <c r="E390" s="83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83"/>
      <c r="Y390" s="83"/>
      <c r="Z390" s="83"/>
    </row>
    <row r="391">
      <c r="A391" s="83"/>
      <c r="B391" s="112"/>
      <c r="C391" s="83"/>
      <c r="D391" s="83"/>
      <c r="E391" s="83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83"/>
      <c r="Y391" s="83"/>
      <c r="Z391" s="83"/>
    </row>
    <row r="392">
      <c r="A392" s="83"/>
      <c r="B392" s="112"/>
      <c r="C392" s="83"/>
      <c r="D392" s="83"/>
      <c r="E392" s="83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</row>
    <row r="393">
      <c r="A393" s="83"/>
      <c r="B393" s="112"/>
      <c r="C393" s="83"/>
      <c r="D393" s="83"/>
      <c r="E393" s="83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83"/>
      <c r="Y393" s="83"/>
      <c r="Z393" s="83"/>
    </row>
    <row r="394">
      <c r="A394" s="83"/>
      <c r="B394" s="112"/>
      <c r="C394" s="83"/>
      <c r="D394" s="83"/>
      <c r="E394" s="83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83"/>
      <c r="Y394" s="83"/>
      <c r="Z394" s="83"/>
    </row>
    <row r="395">
      <c r="A395" s="83"/>
      <c r="B395" s="112"/>
      <c r="C395" s="83"/>
      <c r="D395" s="83"/>
      <c r="E395" s="83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83"/>
      <c r="Y395" s="83"/>
      <c r="Z395" s="83"/>
    </row>
    <row r="396">
      <c r="A396" s="83"/>
      <c r="B396" s="112"/>
      <c r="C396" s="83"/>
      <c r="D396" s="83"/>
      <c r="E396" s="83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83"/>
      <c r="Y396" s="83"/>
      <c r="Z396" s="83"/>
    </row>
    <row r="397">
      <c r="A397" s="83"/>
      <c r="B397" s="112"/>
      <c r="C397" s="83"/>
      <c r="D397" s="83"/>
      <c r="E397" s="83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83"/>
      <c r="Y397" s="83"/>
      <c r="Z397" s="83"/>
    </row>
    <row r="398">
      <c r="A398" s="83"/>
      <c r="B398" s="112"/>
      <c r="C398" s="83"/>
      <c r="D398" s="83"/>
      <c r="E398" s="83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83"/>
      <c r="Y398" s="83"/>
      <c r="Z398" s="83"/>
    </row>
    <row r="399">
      <c r="A399" s="83"/>
      <c r="B399" s="112"/>
      <c r="C399" s="83"/>
      <c r="D399" s="83"/>
      <c r="E399" s="83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83"/>
      <c r="Y399" s="83"/>
      <c r="Z399" s="83"/>
    </row>
    <row r="400">
      <c r="A400" s="83"/>
      <c r="B400" s="112"/>
      <c r="C400" s="83"/>
      <c r="D400" s="83"/>
      <c r="E400" s="83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83"/>
      <c r="Y400" s="83"/>
      <c r="Z400" s="83"/>
    </row>
    <row r="401">
      <c r="A401" s="83"/>
      <c r="B401" s="112"/>
      <c r="C401" s="83"/>
      <c r="D401" s="83"/>
      <c r="E401" s="83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83"/>
      <c r="Y401" s="83"/>
      <c r="Z401" s="83"/>
    </row>
    <row r="402">
      <c r="A402" s="83"/>
      <c r="B402" s="112"/>
      <c r="C402" s="83"/>
      <c r="D402" s="83"/>
      <c r="E402" s="83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83"/>
      <c r="Y402" s="83"/>
      <c r="Z402" s="83"/>
    </row>
    <row r="403">
      <c r="A403" s="83"/>
      <c r="B403" s="112"/>
      <c r="C403" s="83"/>
      <c r="D403" s="83"/>
      <c r="E403" s="83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83"/>
      <c r="Y403" s="83"/>
      <c r="Z403" s="83"/>
    </row>
    <row r="404">
      <c r="A404" s="83"/>
      <c r="B404" s="112"/>
      <c r="C404" s="83"/>
      <c r="D404" s="83"/>
      <c r="E404" s="83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</row>
    <row r="405">
      <c r="A405" s="83"/>
      <c r="B405" s="112"/>
      <c r="C405" s="83"/>
      <c r="D405" s="83"/>
      <c r="E405" s="83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83"/>
      <c r="Y405" s="83"/>
      <c r="Z405" s="83"/>
    </row>
    <row r="406">
      <c r="A406" s="83"/>
      <c r="B406" s="112"/>
      <c r="C406" s="83"/>
      <c r="D406" s="83"/>
      <c r="E406" s="83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</row>
    <row r="407">
      <c r="A407" s="83"/>
      <c r="B407" s="112"/>
      <c r="C407" s="83"/>
      <c r="D407" s="83"/>
      <c r="E407" s="83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83"/>
      <c r="Y407" s="83"/>
      <c r="Z407" s="83"/>
    </row>
    <row r="408">
      <c r="A408" s="83"/>
      <c r="B408" s="112"/>
      <c r="C408" s="83"/>
      <c r="D408" s="83"/>
      <c r="E408" s="83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</row>
    <row r="409">
      <c r="A409" s="83"/>
      <c r="B409" s="112"/>
      <c r="C409" s="83"/>
      <c r="D409" s="83"/>
      <c r="E409" s="83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83"/>
      <c r="Y409" s="83"/>
      <c r="Z409" s="83"/>
    </row>
    <row r="410">
      <c r="A410" s="83"/>
      <c r="B410" s="112"/>
      <c r="C410" s="83"/>
      <c r="D410" s="83"/>
      <c r="E410" s="83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83"/>
      <c r="Y410" s="83"/>
      <c r="Z410" s="83"/>
    </row>
    <row r="411">
      <c r="A411" s="83"/>
      <c r="B411" s="112"/>
      <c r="C411" s="83"/>
      <c r="D411" s="83"/>
      <c r="E411" s="83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83"/>
      <c r="Y411" s="83"/>
      <c r="Z411" s="83"/>
    </row>
    <row r="412">
      <c r="A412" s="83"/>
      <c r="B412" s="112"/>
      <c r="C412" s="83"/>
      <c r="D412" s="83"/>
      <c r="E412" s="83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</row>
    <row r="413">
      <c r="A413" s="83"/>
      <c r="B413" s="112"/>
      <c r="C413" s="83"/>
      <c r="D413" s="83"/>
      <c r="E413" s="83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83"/>
      <c r="Y413" s="83"/>
      <c r="Z413" s="83"/>
    </row>
    <row r="414">
      <c r="A414" s="83"/>
      <c r="B414" s="112"/>
      <c r="C414" s="83"/>
      <c r="D414" s="83"/>
      <c r="E414" s="83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83"/>
      <c r="Y414" s="83"/>
      <c r="Z414" s="83"/>
    </row>
    <row r="415">
      <c r="A415" s="83"/>
      <c r="B415" s="112"/>
      <c r="C415" s="83"/>
      <c r="D415" s="83"/>
      <c r="E415" s="83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83"/>
      <c r="Y415" s="83"/>
      <c r="Z415" s="83"/>
    </row>
    <row r="416">
      <c r="A416" s="83"/>
      <c r="B416" s="112"/>
      <c r="C416" s="83"/>
      <c r="D416" s="83"/>
      <c r="E416" s="83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83"/>
      <c r="Y416" s="83"/>
      <c r="Z416" s="83"/>
    </row>
    <row r="417">
      <c r="A417" s="83"/>
      <c r="B417" s="112"/>
      <c r="C417" s="83"/>
      <c r="D417" s="83"/>
      <c r="E417" s="83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83"/>
      <c r="Y417" s="83"/>
      <c r="Z417" s="83"/>
    </row>
    <row r="418">
      <c r="A418" s="83"/>
      <c r="B418" s="112"/>
      <c r="C418" s="83"/>
      <c r="D418" s="83"/>
      <c r="E418" s="83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83"/>
      <c r="Y418" s="83"/>
      <c r="Z418" s="83"/>
    </row>
    <row r="419">
      <c r="A419" s="83"/>
      <c r="B419" s="112"/>
      <c r="C419" s="83"/>
      <c r="D419" s="83"/>
      <c r="E419" s="83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83"/>
      <c r="Y419" s="83"/>
      <c r="Z419" s="83"/>
    </row>
    <row r="420">
      <c r="A420" s="83"/>
      <c r="B420" s="112"/>
      <c r="C420" s="83"/>
      <c r="D420" s="83"/>
      <c r="E420" s="83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83"/>
      <c r="Y420" s="83"/>
      <c r="Z420" s="83"/>
    </row>
    <row r="421">
      <c r="A421" s="83"/>
      <c r="B421" s="112"/>
      <c r="C421" s="83"/>
      <c r="D421" s="83"/>
      <c r="E421" s="83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83"/>
      <c r="Y421" s="83"/>
      <c r="Z421" s="83"/>
    </row>
    <row r="422">
      <c r="A422" s="83"/>
      <c r="B422" s="112"/>
      <c r="C422" s="83"/>
      <c r="D422" s="83"/>
      <c r="E422" s="83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83"/>
      <c r="Y422" s="83"/>
      <c r="Z422" s="83"/>
    </row>
    <row r="423">
      <c r="A423" s="83"/>
      <c r="B423" s="112"/>
      <c r="C423" s="83"/>
      <c r="D423" s="83"/>
      <c r="E423" s="83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83"/>
      <c r="Y423" s="83"/>
      <c r="Z423" s="83"/>
    </row>
    <row r="424">
      <c r="A424" s="83"/>
      <c r="B424" s="112"/>
      <c r="C424" s="83"/>
      <c r="D424" s="83"/>
      <c r="E424" s="83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83"/>
      <c r="Y424" s="83"/>
      <c r="Z424" s="83"/>
    </row>
    <row r="425">
      <c r="A425" s="83"/>
      <c r="B425" s="112"/>
      <c r="C425" s="83"/>
      <c r="D425" s="83"/>
      <c r="E425" s="83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83"/>
      <c r="Y425" s="83"/>
      <c r="Z425" s="83"/>
    </row>
    <row r="426">
      <c r="A426" s="83"/>
      <c r="B426" s="112"/>
      <c r="C426" s="83"/>
      <c r="D426" s="83"/>
      <c r="E426" s="83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83"/>
      <c r="Y426" s="83"/>
      <c r="Z426" s="83"/>
    </row>
    <row r="427">
      <c r="A427" s="83"/>
      <c r="B427" s="112"/>
      <c r="C427" s="83"/>
      <c r="D427" s="83"/>
      <c r="E427" s="83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83"/>
      <c r="Y427" s="83"/>
      <c r="Z427" s="83"/>
    </row>
    <row r="428">
      <c r="A428" s="83"/>
      <c r="B428" s="112"/>
      <c r="C428" s="83"/>
      <c r="D428" s="83"/>
      <c r="E428" s="83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83"/>
      <c r="Y428" s="83"/>
      <c r="Z428" s="83"/>
    </row>
    <row r="429">
      <c r="A429" s="83"/>
      <c r="B429" s="112"/>
      <c r="C429" s="83"/>
      <c r="D429" s="83"/>
      <c r="E429" s="83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83"/>
      <c r="Y429" s="83"/>
      <c r="Z429" s="83"/>
    </row>
    <row r="430">
      <c r="A430" s="83"/>
      <c r="B430" s="112"/>
      <c r="C430" s="83"/>
      <c r="D430" s="83"/>
      <c r="E430" s="83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83"/>
      <c r="Y430" s="83"/>
      <c r="Z430" s="83"/>
    </row>
    <row r="431">
      <c r="A431" s="83"/>
      <c r="B431" s="112"/>
      <c r="C431" s="83"/>
      <c r="D431" s="83"/>
      <c r="E431" s="83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83"/>
      <c r="Y431" s="83"/>
      <c r="Z431" s="83"/>
    </row>
    <row r="432">
      <c r="A432" s="83"/>
      <c r="B432" s="112"/>
      <c r="C432" s="83"/>
      <c r="D432" s="83"/>
      <c r="E432" s="83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83"/>
      <c r="Y432" s="83"/>
      <c r="Z432" s="83"/>
    </row>
    <row r="433">
      <c r="A433" s="83"/>
      <c r="B433" s="112"/>
      <c r="C433" s="83"/>
      <c r="D433" s="83"/>
      <c r="E433" s="83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83"/>
      <c r="Y433" s="83"/>
      <c r="Z433" s="83"/>
    </row>
    <row r="434">
      <c r="A434" s="83"/>
      <c r="B434" s="112"/>
      <c r="C434" s="83"/>
      <c r="D434" s="83"/>
      <c r="E434" s="83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83"/>
      <c r="Y434" s="83"/>
      <c r="Z434" s="83"/>
    </row>
    <row r="435">
      <c r="A435" s="83"/>
      <c r="B435" s="112"/>
      <c r="C435" s="83"/>
      <c r="D435" s="83"/>
      <c r="E435" s="83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83"/>
      <c r="Y435" s="83"/>
      <c r="Z435" s="83"/>
    </row>
    <row r="436">
      <c r="A436" s="83"/>
      <c r="B436" s="112"/>
      <c r="C436" s="83"/>
      <c r="D436" s="83"/>
      <c r="E436" s="83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83"/>
      <c r="Y436" s="83"/>
      <c r="Z436" s="83"/>
    </row>
    <row r="437">
      <c r="A437" s="83"/>
      <c r="B437" s="112"/>
      <c r="C437" s="83"/>
      <c r="D437" s="83"/>
      <c r="E437" s="83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83"/>
      <c r="Y437" s="83"/>
      <c r="Z437" s="83"/>
    </row>
    <row r="438">
      <c r="A438" s="83"/>
      <c r="B438" s="112"/>
      <c r="C438" s="83"/>
      <c r="D438" s="83"/>
      <c r="E438" s="83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83"/>
      <c r="Y438" s="83"/>
      <c r="Z438" s="83"/>
    </row>
    <row r="439">
      <c r="A439" s="83"/>
      <c r="B439" s="112"/>
      <c r="C439" s="83"/>
      <c r="D439" s="83"/>
      <c r="E439" s="83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83"/>
      <c r="Y439" s="83"/>
      <c r="Z439" s="83"/>
    </row>
    <row r="440">
      <c r="A440" s="83"/>
      <c r="B440" s="112"/>
      <c r="C440" s="83"/>
      <c r="D440" s="83"/>
      <c r="E440" s="83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83"/>
      <c r="Y440" s="83"/>
      <c r="Z440" s="83"/>
    </row>
    <row r="441">
      <c r="A441" s="83"/>
      <c r="B441" s="112"/>
      <c r="C441" s="83"/>
      <c r="D441" s="83"/>
      <c r="E441" s="83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83"/>
      <c r="Y441" s="83"/>
      <c r="Z441" s="83"/>
    </row>
    <row r="442">
      <c r="A442" s="83"/>
      <c r="B442" s="112"/>
      <c r="C442" s="83"/>
      <c r="D442" s="83"/>
      <c r="E442" s="83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83"/>
      <c r="Y442" s="83"/>
      <c r="Z442" s="83"/>
    </row>
    <row r="443">
      <c r="A443" s="83"/>
      <c r="B443" s="112"/>
      <c r="C443" s="83"/>
      <c r="D443" s="83"/>
      <c r="E443" s="83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83"/>
      <c r="Y443" s="83"/>
      <c r="Z443" s="83"/>
    </row>
    <row r="444">
      <c r="A444" s="83"/>
      <c r="B444" s="112"/>
      <c r="C444" s="83"/>
      <c r="D444" s="83"/>
      <c r="E444" s="83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83"/>
      <c r="Y444" s="83"/>
      <c r="Z444" s="83"/>
    </row>
    <row r="445">
      <c r="A445" s="83"/>
      <c r="B445" s="112"/>
      <c r="C445" s="83"/>
      <c r="D445" s="83"/>
      <c r="E445" s="83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83"/>
      <c r="Y445" s="83"/>
      <c r="Z445" s="83"/>
    </row>
    <row r="446">
      <c r="A446" s="83"/>
      <c r="B446" s="112"/>
      <c r="C446" s="83"/>
      <c r="D446" s="83"/>
      <c r="E446" s="83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83"/>
      <c r="Y446" s="83"/>
      <c r="Z446" s="83"/>
    </row>
    <row r="447">
      <c r="A447" s="83"/>
      <c r="B447" s="112"/>
      <c r="C447" s="83"/>
      <c r="D447" s="83"/>
      <c r="E447" s="83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83"/>
      <c r="Y447" s="83"/>
      <c r="Z447" s="83"/>
    </row>
    <row r="448">
      <c r="A448" s="83"/>
      <c r="B448" s="112"/>
      <c r="C448" s="83"/>
      <c r="D448" s="83"/>
      <c r="E448" s="83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83"/>
      <c r="Y448" s="83"/>
      <c r="Z448" s="83"/>
    </row>
    <row r="449">
      <c r="A449" s="83"/>
      <c r="B449" s="112"/>
      <c r="C449" s="83"/>
      <c r="D449" s="83"/>
      <c r="E449" s="83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83"/>
      <c r="Y449" s="83"/>
      <c r="Z449" s="83"/>
    </row>
    <row r="450">
      <c r="A450" s="83"/>
      <c r="B450" s="112"/>
      <c r="C450" s="83"/>
      <c r="D450" s="83"/>
      <c r="E450" s="83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83"/>
      <c r="Y450" s="83"/>
      <c r="Z450" s="83"/>
    </row>
    <row r="451">
      <c r="A451" s="83"/>
      <c r="B451" s="112"/>
      <c r="C451" s="83"/>
      <c r="D451" s="83"/>
      <c r="E451" s="83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83"/>
      <c r="Y451" s="83"/>
      <c r="Z451" s="83"/>
    </row>
    <row r="452">
      <c r="A452" s="83"/>
      <c r="B452" s="112"/>
      <c r="C452" s="83"/>
      <c r="D452" s="83"/>
      <c r="E452" s="83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83"/>
      <c r="Y452" s="83"/>
      <c r="Z452" s="83"/>
    </row>
    <row r="453">
      <c r="A453" s="83"/>
      <c r="B453" s="112"/>
      <c r="C453" s="83"/>
      <c r="D453" s="83"/>
      <c r="E453" s="83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83"/>
      <c r="Y453" s="83"/>
      <c r="Z453" s="83"/>
    </row>
    <row r="454">
      <c r="A454" s="83"/>
      <c r="B454" s="112"/>
      <c r="C454" s="83"/>
      <c r="D454" s="83"/>
      <c r="E454" s="83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83"/>
      <c r="Y454" s="83"/>
      <c r="Z454" s="83"/>
    </row>
    <row r="455">
      <c r="A455" s="83"/>
      <c r="B455" s="112"/>
      <c r="C455" s="83"/>
      <c r="D455" s="83"/>
      <c r="E455" s="83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83"/>
      <c r="Y455" s="83"/>
      <c r="Z455" s="83"/>
    </row>
    <row r="456">
      <c r="A456" s="83"/>
      <c r="B456" s="112"/>
      <c r="C456" s="83"/>
      <c r="D456" s="83"/>
      <c r="E456" s="83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83"/>
      <c r="Y456" s="83"/>
      <c r="Z456" s="83"/>
    </row>
    <row r="457">
      <c r="A457" s="83"/>
      <c r="B457" s="112"/>
      <c r="C457" s="83"/>
      <c r="D457" s="83"/>
      <c r="E457" s="83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83"/>
      <c r="Y457" s="83"/>
      <c r="Z457" s="83"/>
    </row>
    <row r="458">
      <c r="A458" s="83"/>
      <c r="B458" s="112"/>
      <c r="C458" s="83"/>
      <c r="D458" s="83"/>
      <c r="E458" s="83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83"/>
      <c r="Y458" s="83"/>
      <c r="Z458" s="83"/>
    </row>
    <row r="459">
      <c r="A459" s="83"/>
      <c r="B459" s="112"/>
      <c r="C459" s="83"/>
      <c r="D459" s="83"/>
      <c r="E459" s="83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83"/>
      <c r="Y459" s="83"/>
      <c r="Z459" s="83"/>
    </row>
    <row r="460">
      <c r="A460" s="83"/>
      <c r="B460" s="112"/>
      <c r="C460" s="83"/>
      <c r="D460" s="83"/>
      <c r="E460" s="83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83"/>
      <c r="Y460" s="83"/>
      <c r="Z460" s="83"/>
    </row>
    <row r="461">
      <c r="A461" s="83"/>
      <c r="B461" s="112"/>
      <c r="C461" s="83"/>
      <c r="D461" s="83"/>
      <c r="E461" s="83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83"/>
      <c r="Y461" s="83"/>
      <c r="Z461" s="83"/>
    </row>
    <row r="462">
      <c r="A462" s="83"/>
      <c r="B462" s="112"/>
      <c r="C462" s="83"/>
      <c r="D462" s="83"/>
      <c r="E462" s="83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83"/>
      <c r="Y462" s="83"/>
      <c r="Z462" s="83"/>
    </row>
    <row r="463">
      <c r="A463" s="83"/>
      <c r="B463" s="112"/>
      <c r="C463" s="83"/>
      <c r="D463" s="83"/>
      <c r="E463" s="83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83"/>
      <c r="Y463" s="83"/>
      <c r="Z463" s="83"/>
    </row>
    <row r="464">
      <c r="A464" s="83"/>
      <c r="B464" s="112"/>
      <c r="C464" s="83"/>
      <c r="D464" s="83"/>
      <c r="E464" s="83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83"/>
      <c r="Y464" s="83"/>
      <c r="Z464" s="83"/>
    </row>
    <row r="465">
      <c r="A465" s="83"/>
      <c r="B465" s="112"/>
      <c r="C465" s="83"/>
      <c r="D465" s="83"/>
      <c r="E465" s="83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83"/>
      <c r="Y465" s="83"/>
      <c r="Z465" s="83"/>
    </row>
    <row r="466">
      <c r="A466" s="83"/>
      <c r="B466" s="112"/>
      <c r="C466" s="83"/>
      <c r="D466" s="83"/>
      <c r="E466" s="83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83"/>
      <c r="Y466" s="83"/>
      <c r="Z466" s="83"/>
    </row>
    <row r="467">
      <c r="A467" s="83"/>
      <c r="B467" s="112"/>
      <c r="C467" s="83"/>
      <c r="D467" s="83"/>
      <c r="E467" s="83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83"/>
      <c r="Y467" s="83"/>
      <c r="Z467" s="83"/>
    </row>
    <row r="468">
      <c r="A468" s="83"/>
      <c r="B468" s="112"/>
      <c r="C468" s="83"/>
      <c r="D468" s="83"/>
      <c r="E468" s="83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83"/>
      <c r="Y468" s="83"/>
      <c r="Z468" s="83"/>
    </row>
    <row r="469">
      <c r="A469" s="83"/>
      <c r="B469" s="112"/>
      <c r="C469" s="83"/>
      <c r="D469" s="83"/>
      <c r="E469" s="83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83"/>
      <c r="Y469" s="83"/>
      <c r="Z469" s="83"/>
    </row>
    <row r="470">
      <c r="A470" s="83"/>
      <c r="B470" s="112"/>
      <c r="C470" s="83"/>
      <c r="D470" s="83"/>
      <c r="E470" s="83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83"/>
      <c r="Y470" s="83"/>
      <c r="Z470" s="83"/>
    </row>
    <row r="471">
      <c r="A471" s="83"/>
      <c r="B471" s="112"/>
      <c r="C471" s="83"/>
      <c r="D471" s="83"/>
      <c r="E471" s="83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83"/>
      <c r="Y471" s="83"/>
      <c r="Z471" s="83"/>
    </row>
    <row r="472">
      <c r="A472" s="83"/>
      <c r="B472" s="112"/>
      <c r="C472" s="83"/>
      <c r="D472" s="83"/>
      <c r="E472" s="83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83"/>
      <c r="Y472" s="83"/>
      <c r="Z472" s="83"/>
    </row>
    <row r="473">
      <c r="A473" s="83"/>
      <c r="B473" s="112"/>
      <c r="C473" s="83"/>
      <c r="D473" s="83"/>
      <c r="E473" s="83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83"/>
      <c r="Y473" s="83"/>
      <c r="Z473" s="83"/>
    </row>
    <row r="474">
      <c r="A474" s="83"/>
      <c r="B474" s="112"/>
      <c r="C474" s="83"/>
      <c r="D474" s="83"/>
      <c r="E474" s="83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83"/>
      <c r="Y474" s="83"/>
      <c r="Z474" s="83"/>
    </row>
    <row r="475">
      <c r="A475" s="83"/>
      <c r="B475" s="112"/>
      <c r="C475" s="83"/>
      <c r="D475" s="83"/>
      <c r="E475" s="83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83"/>
      <c r="Y475" s="83"/>
      <c r="Z475" s="83"/>
    </row>
    <row r="476">
      <c r="A476" s="83"/>
      <c r="B476" s="112"/>
      <c r="C476" s="83"/>
      <c r="D476" s="83"/>
      <c r="E476" s="83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83"/>
      <c r="Y476" s="83"/>
      <c r="Z476" s="83"/>
    </row>
    <row r="477">
      <c r="A477" s="83"/>
      <c r="B477" s="112"/>
      <c r="C477" s="83"/>
      <c r="D477" s="83"/>
      <c r="E477" s="83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83"/>
      <c r="Y477" s="83"/>
      <c r="Z477" s="83"/>
    </row>
    <row r="478">
      <c r="A478" s="83"/>
      <c r="B478" s="112"/>
      <c r="C478" s="83"/>
      <c r="D478" s="83"/>
      <c r="E478" s="83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83"/>
      <c r="Y478" s="83"/>
      <c r="Z478" s="83"/>
    </row>
    <row r="479">
      <c r="A479" s="83"/>
      <c r="B479" s="112"/>
      <c r="C479" s="83"/>
      <c r="D479" s="83"/>
      <c r="E479" s="83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83"/>
      <c r="Y479" s="83"/>
      <c r="Z479" s="83"/>
    </row>
    <row r="480">
      <c r="A480" s="83"/>
      <c r="B480" s="112"/>
      <c r="C480" s="83"/>
      <c r="D480" s="83"/>
      <c r="E480" s="83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83"/>
      <c r="Y480" s="83"/>
      <c r="Z480" s="83"/>
    </row>
    <row r="481">
      <c r="A481" s="83"/>
      <c r="B481" s="112"/>
      <c r="C481" s="83"/>
      <c r="D481" s="83"/>
      <c r="E481" s="83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83"/>
      <c r="Y481" s="83"/>
      <c r="Z481" s="83"/>
    </row>
    <row r="482">
      <c r="A482" s="83"/>
      <c r="B482" s="112"/>
      <c r="C482" s="83"/>
      <c r="D482" s="83"/>
      <c r="E482" s="83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83"/>
      <c r="Y482" s="83"/>
      <c r="Z482" s="83"/>
    </row>
    <row r="483">
      <c r="A483" s="83"/>
      <c r="B483" s="112"/>
      <c r="C483" s="83"/>
      <c r="D483" s="83"/>
      <c r="E483" s="83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83"/>
      <c r="Y483" s="83"/>
      <c r="Z483" s="83"/>
    </row>
    <row r="484">
      <c r="A484" s="83"/>
      <c r="B484" s="112"/>
      <c r="C484" s="83"/>
      <c r="D484" s="83"/>
      <c r="E484" s="83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83"/>
      <c r="Y484" s="83"/>
      <c r="Z484" s="83"/>
    </row>
    <row r="485">
      <c r="A485" s="83"/>
      <c r="B485" s="112"/>
      <c r="C485" s="83"/>
      <c r="D485" s="83"/>
      <c r="E485" s="83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83"/>
      <c r="Y485" s="83"/>
      <c r="Z485" s="83"/>
    </row>
    <row r="486">
      <c r="A486" s="83"/>
      <c r="B486" s="112"/>
      <c r="C486" s="83"/>
      <c r="D486" s="83"/>
      <c r="E486" s="83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83"/>
      <c r="Y486" s="83"/>
      <c r="Z486" s="83"/>
    </row>
    <row r="487">
      <c r="A487" s="83"/>
      <c r="B487" s="112"/>
      <c r="C487" s="83"/>
      <c r="D487" s="83"/>
      <c r="E487" s="83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83"/>
      <c r="Y487" s="83"/>
      <c r="Z487" s="83"/>
    </row>
    <row r="488">
      <c r="A488" s="83"/>
      <c r="B488" s="112"/>
      <c r="C488" s="83"/>
      <c r="D488" s="83"/>
      <c r="E488" s="83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83"/>
      <c r="Y488" s="83"/>
      <c r="Z488" s="83"/>
    </row>
    <row r="489">
      <c r="A489" s="83"/>
      <c r="B489" s="112"/>
      <c r="C489" s="83"/>
      <c r="D489" s="83"/>
      <c r="E489" s="83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83"/>
      <c r="Y489" s="83"/>
      <c r="Z489" s="83"/>
    </row>
    <row r="490">
      <c r="A490" s="83"/>
      <c r="B490" s="112"/>
      <c r="C490" s="83"/>
      <c r="D490" s="83"/>
      <c r="E490" s="83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83"/>
      <c r="Y490" s="83"/>
      <c r="Z490" s="83"/>
    </row>
    <row r="491">
      <c r="A491" s="83"/>
      <c r="B491" s="112"/>
      <c r="C491" s="83"/>
      <c r="D491" s="83"/>
      <c r="E491" s="83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83"/>
      <c r="Y491" s="83"/>
      <c r="Z491" s="83"/>
    </row>
    <row r="492">
      <c r="A492" s="83"/>
      <c r="B492" s="112"/>
      <c r="C492" s="83"/>
      <c r="D492" s="83"/>
      <c r="E492" s="83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83"/>
      <c r="Y492" s="83"/>
      <c r="Z492" s="83"/>
    </row>
    <row r="493">
      <c r="A493" s="83"/>
      <c r="B493" s="112"/>
      <c r="C493" s="83"/>
      <c r="D493" s="83"/>
      <c r="E493" s="83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83"/>
      <c r="Y493" s="83"/>
      <c r="Z493" s="83"/>
    </row>
    <row r="494">
      <c r="A494" s="83"/>
      <c r="B494" s="112"/>
      <c r="C494" s="83"/>
      <c r="D494" s="83"/>
      <c r="E494" s="83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83"/>
      <c r="Y494" s="83"/>
      <c r="Z494" s="83"/>
    </row>
    <row r="495">
      <c r="A495" s="83"/>
      <c r="B495" s="112"/>
      <c r="C495" s="83"/>
      <c r="D495" s="83"/>
      <c r="E495" s="83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83"/>
      <c r="Y495" s="83"/>
      <c r="Z495" s="83"/>
    </row>
    <row r="496">
      <c r="A496" s="83"/>
      <c r="B496" s="112"/>
      <c r="C496" s="83"/>
      <c r="D496" s="83"/>
      <c r="E496" s="83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83"/>
      <c r="Y496" s="83"/>
      <c r="Z496" s="83"/>
    </row>
    <row r="497">
      <c r="A497" s="83"/>
      <c r="B497" s="112"/>
      <c r="C497" s="83"/>
      <c r="D497" s="83"/>
      <c r="E497" s="83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83"/>
      <c r="Y497" s="83"/>
      <c r="Z497" s="83"/>
    </row>
    <row r="498">
      <c r="A498" s="83"/>
      <c r="B498" s="112"/>
      <c r="C498" s="83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</row>
    <row r="499">
      <c r="A499" s="83"/>
      <c r="B499" s="112"/>
      <c r="C499" s="83"/>
      <c r="D499" s="83"/>
      <c r="E499" s="83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83"/>
      <c r="Y499" s="83"/>
      <c r="Z499" s="83"/>
    </row>
    <row r="500">
      <c r="A500" s="83"/>
      <c r="B500" s="112"/>
      <c r="C500" s="83"/>
      <c r="D500" s="83"/>
      <c r="E500" s="83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83"/>
      <c r="Y500" s="83"/>
      <c r="Z500" s="83"/>
    </row>
    <row r="501">
      <c r="A501" s="83"/>
      <c r="B501" s="112"/>
      <c r="C501" s="83"/>
      <c r="D501" s="83"/>
      <c r="E501" s="83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83"/>
      <c r="Y501" s="83"/>
      <c r="Z501" s="83"/>
    </row>
    <row r="502">
      <c r="A502" s="83"/>
      <c r="B502" s="112"/>
      <c r="C502" s="83"/>
      <c r="D502" s="83"/>
      <c r="E502" s="83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83"/>
      <c r="Y502" s="83"/>
      <c r="Z502" s="83"/>
    </row>
    <row r="503">
      <c r="A503" s="83"/>
      <c r="B503" s="112"/>
      <c r="C503" s="83"/>
      <c r="D503" s="83"/>
      <c r="E503" s="83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83"/>
      <c r="Y503" s="83"/>
      <c r="Z503" s="83"/>
    </row>
    <row r="504">
      <c r="A504" s="83"/>
      <c r="B504" s="112"/>
      <c r="C504" s="83"/>
      <c r="D504" s="83"/>
      <c r="E504" s="83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83"/>
      <c r="Y504" s="83"/>
      <c r="Z504" s="83"/>
    </row>
    <row r="505">
      <c r="A505" s="83"/>
      <c r="B505" s="112"/>
      <c r="C505" s="83"/>
      <c r="D505" s="83"/>
      <c r="E505" s="83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83"/>
      <c r="Y505" s="83"/>
      <c r="Z505" s="83"/>
    </row>
    <row r="506">
      <c r="A506" s="83"/>
      <c r="B506" s="112"/>
      <c r="C506" s="83"/>
      <c r="D506" s="83"/>
      <c r="E506" s="83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83"/>
      <c r="Y506" s="83"/>
      <c r="Z506" s="83"/>
    </row>
    <row r="507">
      <c r="A507" s="83"/>
      <c r="B507" s="112"/>
      <c r="C507" s="83"/>
      <c r="D507" s="83"/>
      <c r="E507" s="83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83"/>
      <c r="Y507" s="83"/>
      <c r="Z507" s="83"/>
    </row>
    <row r="508">
      <c r="A508" s="83"/>
      <c r="B508" s="112"/>
      <c r="C508" s="83"/>
      <c r="D508" s="83"/>
      <c r="E508" s="83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83"/>
      <c r="Y508" s="83"/>
      <c r="Z508" s="83"/>
    </row>
    <row r="509">
      <c r="A509" s="83"/>
      <c r="B509" s="112"/>
      <c r="C509" s="83"/>
      <c r="D509" s="83"/>
      <c r="E509" s="83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83"/>
      <c r="Y509" s="83"/>
      <c r="Z509" s="83"/>
    </row>
    <row r="510">
      <c r="A510" s="83"/>
      <c r="B510" s="112"/>
      <c r="C510" s="83"/>
      <c r="D510" s="83"/>
      <c r="E510" s="83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83"/>
      <c r="Y510" s="83"/>
      <c r="Z510" s="83"/>
    </row>
    <row r="511">
      <c r="A511" s="83"/>
      <c r="B511" s="112"/>
      <c r="C511" s="83"/>
      <c r="D511" s="83"/>
      <c r="E511" s="83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83"/>
      <c r="Y511" s="83"/>
      <c r="Z511" s="83"/>
    </row>
    <row r="512">
      <c r="A512" s="83"/>
      <c r="B512" s="112"/>
      <c r="C512" s="83"/>
      <c r="D512" s="83"/>
      <c r="E512" s="83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83"/>
      <c r="Y512" s="83"/>
      <c r="Z512" s="83"/>
    </row>
    <row r="513">
      <c r="A513" s="83"/>
      <c r="B513" s="112"/>
      <c r="C513" s="83"/>
      <c r="D513" s="83"/>
      <c r="E513" s="83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83"/>
      <c r="Y513" s="83"/>
      <c r="Z513" s="83"/>
    </row>
    <row r="514">
      <c r="A514" s="83"/>
      <c r="B514" s="112"/>
      <c r="C514" s="83"/>
      <c r="D514" s="83"/>
      <c r="E514" s="83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83"/>
      <c r="Y514" s="83"/>
      <c r="Z514" s="83"/>
    </row>
    <row r="515">
      <c r="A515" s="83"/>
      <c r="B515" s="112"/>
      <c r="C515" s="83"/>
      <c r="D515" s="83"/>
      <c r="E515" s="83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83"/>
      <c r="Y515" s="83"/>
      <c r="Z515" s="83"/>
    </row>
    <row r="516">
      <c r="A516" s="83"/>
      <c r="B516" s="112"/>
      <c r="C516" s="83"/>
      <c r="D516" s="83"/>
      <c r="E516" s="83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83"/>
      <c r="Y516" s="83"/>
      <c r="Z516" s="83"/>
    </row>
    <row r="517">
      <c r="A517" s="83"/>
      <c r="B517" s="112"/>
      <c r="C517" s="83"/>
      <c r="D517" s="83"/>
      <c r="E517" s="83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83"/>
      <c r="Y517" s="83"/>
      <c r="Z517" s="83"/>
    </row>
    <row r="518">
      <c r="A518" s="83"/>
      <c r="B518" s="112"/>
      <c r="C518" s="83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</row>
    <row r="519">
      <c r="A519" s="83"/>
      <c r="B519" s="112"/>
      <c r="C519" s="83"/>
      <c r="D519" s="83"/>
      <c r="E519" s="83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83"/>
      <c r="Y519" s="83"/>
      <c r="Z519" s="83"/>
    </row>
    <row r="520">
      <c r="A520" s="83"/>
      <c r="B520" s="112"/>
      <c r="C520" s="83"/>
      <c r="D520" s="83"/>
      <c r="E520" s="83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83"/>
      <c r="Y520" s="83"/>
      <c r="Z520" s="83"/>
    </row>
    <row r="521">
      <c r="A521" s="83"/>
      <c r="B521" s="112"/>
      <c r="C521" s="83"/>
      <c r="D521" s="83"/>
      <c r="E521" s="83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83"/>
      <c r="Y521" s="83"/>
      <c r="Z521" s="83"/>
    </row>
    <row r="522">
      <c r="A522" s="83"/>
      <c r="B522" s="112"/>
      <c r="C522" s="83"/>
      <c r="D522" s="83"/>
      <c r="E522" s="83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83"/>
      <c r="Y522" s="83"/>
      <c r="Z522" s="83"/>
    </row>
    <row r="523">
      <c r="A523" s="83"/>
      <c r="B523" s="112"/>
      <c r="C523" s="83"/>
      <c r="D523" s="83"/>
      <c r="E523" s="83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83"/>
      <c r="Y523" s="83"/>
      <c r="Z523" s="83"/>
    </row>
    <row r="524">
      <c r="A524" s="83"/>
      <c r="B524" s="112"/>
      <c r="C524" s="83"/>
      <c r="D524" s="83"/>
      <c r="E524" s="83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83"/>
      <c r="Y524" s="83"/>
      <c r="Z524" s="83"/>
    </row>
    <row r="525">
      <c r="A525" s="83"/>
      <c r="B525" s="112"/>
      <c r="C525" s="83"/>
      <c r="D525" s="83"/>
      <c r="E525" s="83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83"/>
      <c r="Y525" s="83"/>
      <c r="Z525" s="83"/>
    </row>
    <row r="526">
      <c r="A526" s="83"/>
      <c r="B526" s="112"/>
      <c r="C526" s="83"/>
      <c r="D526" s="83"/>
      <c r="E526" s="83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83"/>
      <c r="Y526" s="83"/>
      <c r="Z526" s="83"/>
    </row>
    <row r="527">
      <c r="A527" s="83"/>
      <c r="B527" s="112"/>
      <c r="C527" s="83"/>
      <c r="D527" s="83"/>
      <c r="E527" s="83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83"/>
      <c r="Y527" s="83"/>
      <c r="Z527" s="83"/>
    </row>
    <row r="528">
      <c r="A528" s="83"/>
      <c r="B528" s="112"/>
      <c r="C528" s="83"/>
      <c r="D528" s="83"/>
      <c r="E528" s="83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83"/>
      <c r="Y528" s="83"/>
      <c r="Z528" s="83"/>
    </row>
    <row r="529">
      <c r="A529" s="83"/>
      <c r="B529" s="112"/>
      <c r="C529" s="83"/>
      <c r="D529" s="83"/>
      <c r="E529" s="83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83"/>
      <c r="Y529" s="83"/>
      <c r="Z529" s="83"/>
    </row>
    <row r="530">
      <c r="A530" s="83"/>
      <c r="B530" s="112"/>
      <c r="C530" s="83"/>
      <c r="D530" s="83"/>
      <c r="E530" s="83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83"/>
      <c r="Y530" s="83"/>
      <c r="Z530" s="83"/>
    </row>
    <row r="531">
      <c r="A531" s="83"/>
      <c r="B531" s="112"/>
      <c r="C531" s="83"/>
      <c r="D531" s="83"/>
      <c r="E531" s="83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83"/>
      <c r="Y531" s="83"/>
      <c r="Z531" s="83"/>
    </row>
    <row r="532">
      <c r="A532" s="83"/>
      <c r="B532" s="112"/>
      <c r="C532" s="83"/>
      <c r="D532" s="83"/>
      <c r="E532" s="83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83"/>
      <c r="Y532" s="83"/>
      <c r="Z532" s="83"/>
    </row>
    <row r="533">
      <c r="A533" s="83"/>
      <c r="B533" s="112"/>
      <c r="C533" s="83"/>
      <c r="D533" s="83"/>
      <c r="E533" s="83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83"/>
      <c r="Y533" s="83"/>
      <c r="Z533" s="83"/>
    </row>
    <row r="534">
      <c r="A534" s="83"/>
      <c r="B534" s="112"/>
      <c r="C534" s="83"/>
      <c r="D534" s="83"/>
      <c r="E534" s="83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83"/>
      <c r="Y534" s="83"/>
      <c r="Z534" s="83"/>
    </row>
    <row r="535">
      <c r="A535" s="83"/>
      <c r="B535" s="112"/>
      <c r="C535" s="83"/>
      <c r="D535" s="83"/>
      <c r="E535" s="83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83"/>
      <c r="Y535" s="83"/>
      <c r="Z535" s="83"/>
    </row>
    <row r="536">
      <c r="A536" s="83"/>
      <c r="B536" s="112"/>
      <c r="C536" s="83"/>
      <c r="D536" s="83"/>
      <c r="E536" s="83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83"/>
      <c r="Y536" s="83"/>
      <c r="Z536" s="83"/>
    </row>
    <row r="537">
      <c r="A537" s="83"/>
      <c r="B537" s="112"/>
      <c r="C537" s="83"/>
      <c r="D537" s="83"/>
      <c r="E537" s="83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83"/>
      <c r="Y537" s="83"/>
      <c r="Z537" s="83"/>
    </row>
    <row r="538">
      <c r="A538" s="83"/>
      <c r="B538" s="112"/>
      <c r="C538" s="83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</row>
    <row r="539">
      <c r="A539" s="83"/>
      <c r="B539" s="112"/>
      <c r="C539" s="83"/>
      <c r="D539" s="83"/>
      <c r="E539" s="83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83"/>
      <c r="Y539" s="83"/>
      <c r="Z539" s="83"/>
    </row>
    <row r="540">
      <c r="A540" s="83"/>
      <c r="B540" s="112"/>
      <c r="C540" s="83"/>
      <c r="D540" s="83"/>
      <c r="E540" s="83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83"/>
      <c r="Y540" s="83"/>
      <c r="Z540" s="83"/>
    </row>
    <row r="541">
      <c r="A541" s="83"/>
      <c r="B541" s="112"/>
      <c r="C541" s="83"/>
      <c r="D541" s="83"/>
      <c r="E541" s="83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83"/>
      <c r="Y541" s="83"/>
      <c r="Z541" s="83"/>
    </row>
    <row r="542">
      <c r="A542" s="83"/>
      <c r="B542" s="112"/>
      <c r="C542" s="83"/>
      <c r="D542" s="83"/>
      <c r="E542" s="83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83"/>
      <c r="Y542" s="83"/>
      <c r="Z542" s="83"/>
    </row>
    <row r="543">
      <c r="A543" s="83"/>
      <c r="B543" s="112"/>
      <c r="C543" s="83"/>
      <c r="D543" s="83"/>
      <c r="E543" s="83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83"/>
      <c r="Y543" s="83"/>
      <c r="Z543" s="83"/>
    </row>
    <row r="544">
      <c r="A544" s="83"/>
      <c r="B544" s="112"/>
      <c r="C544" s="83"/>
      <c r="D544" s="83"/>
      <c r="E544" s="83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83"/>
      <c r="Y544" s="83"/>
      <c r="Z544" s="83"/>
    </row>
    <row r="545">
      <c r="A545" s="83"/>
      <c r="B545" s="112"/>
      <c r="C545" s="83"/>
      <c r="D545" s="83"/>
      <c r="E545" s="83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83"/>
      <c r="Y545" s="83"/>
      <c r="Z545" s="83"/>
    </row>
    <row r="546">
      <c r="A546" s="83"/>
      <c r="B546" s="112"/>
      <c r="C546" s="83"/>
      <c r="D546" s="83"/>
      <c r="E546" s="83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83"/>
      <c r="Y546" s="83"/>
      <c r="Z546" s="83"/>
    </row>
    <row r="547">
      <c r="A547" s="83"/>
      <c r="B547" s="112"/>
      <c r="C547" s="83"/>
      <c r="D547" s="83"/>
      <c r="E547" s="83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83"/>
      <c r="Y547" s="83"/>
      <c r="Z547" s="83"/>
    </row>
    <row r="548">
      <c r="A548" s="83"/>
      <c r="B548" s="112"/>
      <c r="C548" s="83"/>
      <c r="D548" s="83"/>
      <c r="E548" s="83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83"/>
      <c r="Y548" s="83"/>
      <c r="Z548" s="83"/>
    </row>
    <row r="549">
      <c r="A549" s="83"/>
      <c r="B549" s="112"/>
      <c r="C549" s="83"/>
      <c r="D549" s="83"/>
      <c r="E549" s="83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83"/>
      <c r="Y549" s="83"/>
      <c r="Z549" s="83"/>
    </row>
    <row r="550">
      <c r="A550" s="83"/>
      <c r="B550" s="112"/>
      <c r="C550" s="83"/>
      <c r="D550" s="83"/>
      <c r="E550" s="83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83"/>
      <c r="Y550" s="83"/>
      <c r="Z550" s="83"/>
    </row>
    <row r="551">
      <c r="A551" s="83"/>
      <c r="B551" s="112"/>
      <c r="C551" s="83"/>
      <c r="D551" s="83"/>
      <c r="E551" s="83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83"/>
      <c r="Y551" s="83"/>
      <c r="Z551" s="83"/>
    </row>
    <row r="552">
      <c r="A552" s="83"/>
      <c r="B552" s="112"/>
      <c r="C552" s="83"/>
      <c r="D552" s="83"/>
      <c r="E552" s="83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83"/>
      <c r="Y552" s="83"/>
      <c r="Z552" s="83"/>
    </row>
    <row r="553">
      <c r="A553" s="83"/>
      <c r="B553" s="112"/>
      <c r="C553" s="83"/>
      <c r="D553" s="83"/>
      <c r="E553" s="83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83"/>
      <c r="Y553" s="83"/>
      <c r="Z553" s="83"/>
    </row>
    <row r="554">
      <c r="A554" s="83"/>
      <c r="B554" s="112"/>
      <c r="C554" s="83"/>
      <c r="D554" s="83"/>
      <c r="E554" s="83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83"/>
      <c r="Y554" s="83"/>
      <c r="Z554" s="83"/>
    </row>
    <row r="555">
      <c r="A555" s="83"/>
      <c r="B555" s="112"/>
      <c r="C555" s="83"/>
      <c r="D555" s="83"/>
      <c r="E555" s="83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83"/>
      <c r="Y555" s="83"/>
      <c r="Z555" s="83"/>
    </row>
    <row r="556">
      <c r="A556" s="83"/>
      <c r="B556" s="112"/>
      <c r="C556" s="83"/>
      <c r="D556" s="83"/>
      <c r="E556" s="83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83"/>
      <c r="Y556" s="83"/>
      <c r="Z556" s="83"/>
    </row>
    <row r="557">
      <c r="A557" s="83"/>
      <c r="B557" s="112"/>
      <c r="C557" s="83"/>
      <c r="D557" s="83"/>
      <c r="E557" s="83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83"/>
      <c r="Y557" s="83"/>
      <c r="Z557" s="83"/>
    </row>
    <row r="558">
      <c r="A558" s="83"/>
      <c r="B558" s="112"/>
      <c r="C558" s="83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</row>
    <row r="559">
      <c r="A559" s="83"/>
      <c r="B559" s="112"/>
      <c r="C559" s="83"/>
      <c r="D559" s="83"/>
      <c r="E559" s="83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83"/>
      <c r="Y559" s="83"/>
      <c r="Z559" s="83"/>
    </row>
    <row r="560">
      <c r="A560" s="83"/>
      <c r="B560" s="112"/>
      <c r="C560" s="83"/>
      <c r="D560" s="83"/>
      <c r="E560" s="83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83"/>
      <c r="Y560" s="83"/>
      <c r="Z560" s="83"/>
    </row>
    <row r="561">
      <c r="A561" s="83"/>
      <c r="B561" s="112"/>
      <c r="C561" s="83"/>
      <c r="D561" s="83"/>
      <c r="E561" s="83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83"/>
      <c r="Y561" s="83"/>
      <c r="Z561" s="83"/>
    </row>
    <row r="562">
      <c r="A562" s="83"/>
      <c r="B562" s="112"/>
      <c r="C562" s="83"/>
      <c r="D562" s="83"/>
      <c r="E562" s="83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83"/>
      <c r="Y562" s="83"/>
      <c r="Z562" s="83"/>
    </row>
    <row r="563">
      <c r="A563" s="83"/>
      <c r="B563" s="112"/>
      <c r="C563" s="83"/>
      <c r="D563" s="83"/>
      <c r="E563" s="83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83"/>
      <c r="Y563" s="83"/>
      <c r="Z563" s="83"/>
    </row>
    <row r="564">
      <c r="A564" s="83"/>
      <c r="B564" s="112"/>
      <c r="C564" s="83"/>
      <c r="D564" s="83"/>
      <c r="E564" s="83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83"/>
      <c r="Y564" s="83"/>
      <c r="Z564" s="83"/>
    </row>
    <row r="565">
      <c r="A565" s="83"/>
      <c r="B565" s="112"/>
      <c r="C565" s="83"/>
      <c r="D565" s="83"/>
      <c r="E565" s="83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83"/>
      <c r="Y565" s="83"/>
      <c r="Z565" s="83"/>
    </row>
    <row r="566">
      <c r="A566" s="83"/>
      <c r="B566" s="112"/>
      <c r="C566" s="83"/>
      <c r="D566" s="83"/>
      <c r="E566" s="83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83"/>
      <c r="Y566" s="83"/>
      <c r="Z566" s="83"/>
    </row>
    <row r="567">
      <c r="A567" s="83"/>
      <c r="B567" s="112"/>
      <c r="C567" s="83"/>
      <c r="D567" s="83"/>
      <c r="E567" s="83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83"/>
      <c r="Y567" s="83"/>
      <c r="Z567" s="83"/>
    </row>
    <row r="568">
      <c r="A568" s="83"/>
      <c r="B568" s="112"/>
      <c r="C568" s="83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</row>
    <row r="569">
      <c r="A569" s="83"/>
      <c r="B569" s="112"/>
      <c r="C569" s="83"/>
      <c r="D569" s="83"/>
      <c r="E569" s="83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83"/>
      <c r="Y569" s="83"/>
      <c r="Z569" s="83"/>
    </row>
    <row r="570">
      <c r="A570" s="83"/>
      <c r="B570" s="112"/>
      <c r="C570" s="83"/>
      <c r="D570" s="83"/>
      <c r="E570" s="83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83"/>
      <c r="Y570" s="83"/>
      <c r="Z570" s="83"/>
    </row>
    <row r="571">
      <c r="A571" s="83"/>
      <c r="B571" s="112"/>
      <c r="C571" s="83"/>
      <c r="D571" s="83"/>
      <c r="E571" s="83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83"/>
      <c r="Y571" s="83"/>
      <c r="Z571" s="83"/>
    </row>
    <row r="572">
      <c r="A572" s="83"/>
      <c r="B572" s="112"/>
      <c r="C572" s="83"/>
      <c r="D572" s="83"/>
      <c r="E572" s="83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83"/>
      <c r="Y572" s="83"/>
      <c r="Z572" s="83"/>
    </row>
    <row r="573">
      <c r="A573" s="83"/>
      <c r="B573" s="112"/>
      <c r="C573" s="83"/>
      <c r="D573" s="83"/>
      <c r="E573" s="83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83"/>
      <c r="Y573" s="83"/>
      <c r="Z573" s="83"/>
    </row>
    <row r="574">
      <c r="A574" s="83"/>
      <c r="B574" s="112"/>
      <c r="C574" s="83"/>
      <c r="D574" s="83"/>
      <c r="E574" s="83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83"/>
      <c r="Y574" s="83"/>
      <c r="Z574" s="83"/>
    </row>
    <row r="575">
      <c r="A575" s="83"/>
      <c r="B575" s="112"/>
      <c r="C575" s="83"/>
      <c r="D575" s="83"/>
      <c r="E575" s="83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83"/>
      <c r="Y575" s="83"/>
      <c r="Z575" s="83"/>
    </row>
    <row r="576">
      <c r="A576" s="83"/>
      <c r="B576" s="112"/>
      <c r="C576" s="83"/>
      <c r="D576" s="83"/>
      <c r="E576" s="83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83"/>
      <c r="Y576" s="83"/>
      <c r="Z576" s="83"/>
    </row>
    <row r="577">
      <c r="A577" s="83"/>
      <c r="B577" s="112"/>
      <c r="C577" s="83"/>
      <c r="D577" s="83"/>
      <c r="E577" s="83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83"/>
      <c r="Y577" s="83"/>
      <c r="Z577" s="83"/>
    </row>
    <row r="578">
      <c r="A578" s="83"/>
      <c r="B578" s="112"/>
      <c r="C578" s="83"/>
      <c r="D578" s="83"/>
      <c r="E578" s="83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83"/>
      <c r="Y578" s="83"/>
      <c r="Z578" s="83"/>
    </row>
    <row r="579">
      <c r="A579" s="83"/>
      <c r="B579" s="112"/>
      <c r="C579" s="83"/>
      <c r="D579" s="83"/>
      <c r="E579" s="83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83"/>
      <c r="Y579" s="83"/>
      <c r="Z579" s="83"/>
    </row>
    <row r="580">
      <c r="A580" s="83"/>
      <c r="B580" s="112"/>
      <c r="C580" s="83"/>
      <c r="D580" s="83"/>
      <c r="E580" s="83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83"/>
      <c r="Y580" s="83"/>
      <c r="Z580" s="83"/>
    </row>
    <row r="581">
      <c r="A581" s="83"/>
      <c r="B581" s="112"/>
      <c r="C581" s="83"/>
      <c r="D581" s="83"/>
      <c r="E581" s="83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83"/>
      <c r="Y581" s="83"/>
      <c r="Z581" s="83"/>
    </row>
    <row r="582">
      <c r="A582" s="83"/>
      <c r="B582" s="112"/>
      <c r="C582" s="83"/>
      <c r="D582" s="83"/>
      <c r="E582" s="83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83"/>
      <c r="Y582" s="83"/>
      <c r="Z582" s="83"/>
    </row>
    <row r="583">
      <c r="A583" s="83"/>
      <c r="B583" s="112"/>
      <c r="C583" s="83"/>
      <c r="D583" s="83"/>
      <c r="E583" s="83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83"/>
      <c r="Y583" s="83"/>
      <c r="Z583" s="83"/>
    </row>
    <row r="584">
      <c r="A584" s="83"/>
      <c r="B584" s="112"/>
      <c r="C584" s="83"/>
      <c r="D584" s="83"/>
      <c r="E584" s="83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83"/>
      <c r="Y584" s="83"/>
      <c r="Z584" s="83"/>
    </row>
    <row r="585">
      <c r="A585" s="83"/>
      <c r="B585" s="112"/>
      <c r="C585" s="83"/>
      <c r="D585" s="83"/>
      <c r="E585" s="83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83"/>
      <c r="Y585" s="83"/>
      <c r="Z585" s="83"/>
    </row>
    <row r="586">
      <c r="A586" s="83"/>
      <c r="B586" s="112"/>
      <c r="C586" s="83"/>
      <c r="D586" s="83"/>
      <c r="E586" s="83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83"/>
      <c r="Y586" s="83"/>
      <c r="Z586" s="83"/>
    </row>
    <row r="587">
      <c r="A587" s="83"/>
      <c r="B587" s="112"/>
      <c r="C587" s="83"/>
      <c r="D587" s="83"/>
      <c r="E587" s="83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83"/>
      <c r="Y587" s="83"/>
      <c r="Z587" s="83"/>
    </row>
    <row r="588">
      <c r="A588" s="83"/>
      <c r="B588" s="112"/>
      <c r="C588" s="83"/>
      <c r="D588" s="83"/>
      <c r="E588" s="83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83"/>
      <c r="Y588" s="83"/>
      <c r="Z588" s="83"/>
    </row>
    <row r="589">
      <c r="A589" s="83"/>
      <c r="B589" s="112"/>
      <c r="C589" s="83"/>
      <c r="D589" s="83"/>
      <c r="E589" s="83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83"/>
      <c r="Y589" s="83"/>
      <c r="Z589" s="83"/>
    </row>
    <row r="590">
      <c r="A590" s="83"/>
      <c r="B590" s="112"/>
      <c r="C590" s="83"/>
      <c r="D590" s="83"/>
      <c r="E590" s="83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83"/>
      <c r="Y590" s="83"/>
      <c r="Z590" s="83"/>
    </row>
    <row r="591">
      <c r="A591" s="83"/>
      <c r="B591" s="112"/>
      <c r="C591" s="83"/>
      <c r="D591" s="83"/>
      <c r="E591" s="83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83"/>
      <c r="Y591" s="83"/>
      <c r="Z591" s="83"/>
    </row>
    <row r="592">
      <c r="A592" s="83"/>
      <c r="B592" s="112"/>
      <c r="C592" s="83"/>
      <c r="D592" s="83"/>
      <c r="E592" s="83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83"/>
      <c r="Y592" s="83"/>
      <c r="Z592" s="83"/>
    </row>
    <row r="593">
      <c r="A593" s="83"/>
      <c r="B593" s="112"/>
      <c r="C593" s="83"/>
      <c r="D593" s="83"/>
      <c r="E593" s="83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83"/>
      <c r="Y593" s="83"/>
      <c r="Z593" s="83"/>
    </row>
    <row r="594">
      <c r="A594" s="83"/>
      <c r="B594" s="112"/>
      <c r="C594" s="83"/>
      <c r="D594" s="83"/>
      <c r="E594" s="83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83"/>
      <c r="Y594" s="83"/>
      <c r="Z594" s="83"/>
    </row>
    <row r="595">
      <c r="A595" s="83"/>
      <c r="B595" s="112"/>
      <c r="C595" s="83"/>
      <c r="D595" s="83"/>
      <c r="E595" s="83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83"/>
      <c r="Y595" s="83"/>
      <c r="Z595" s="83"/>
    </row>
    <row r="596">
      <c r="A596" s="83"/>
      <c r="B596" s="112"/>
      <c r="C596" s="83"/>
      <c r="D596" s="83"/>
      <c r="E596" s="83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83"/>
      <c r="Y596" s="83"/>
      <c r="Z596" s="83"/>
    </row>
    <row r="597">
      <c r="A597" s="83"/>
      <c r="B597" s="112"/>
      <c r="C597" s="83"/>
      <c r="D597" s="83"/>
      <c r="E597" s="83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83"/>
      <c r="Y597" s="83"/>
      <c r="Z597" s="83"/>
    </row>
    <row r="598">
      <c r="A598" s="83"/>
      <c r="B598" s="112"/>
      <c r="C598" s="83"/>
      <c r="D598" s="83"/>
      <c r="E598" s="83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83"/>
      <c r="Y598" s="83"/>
      <c r="Z598" s="83"/>
    </row>
    <row r="599">
      <c r="A599" s="83"/>
      <c r="B599" s="112"/>
      <c r="C599" s="83"/>
      <c r="D599" s="83"/>
      <c r="E599" s="83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83"/>
      <c r="Y599" s="83"/>
      <c r="Z599" s="83"/>
    </row>
    <row r="600">
      <c r="A600" s="83"/>
      <c r="B600" s="112"/>
      <c r="C600" s="83"/>
      <c r="D600" s="83"/>
      <c r="E600" s="83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83"/>
      <c r="Y600" s="83"/>
      <c r="Z600" s="83"/>
    </row>
    <row r="601">
      <c r="A601" s="83"/>
      <c r="B601" s="112"/>
      <c r="C601" s="83"/>
      <c r="D601" s="83"/>
      <c r="E601" s="83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83"/>
      <c r="Y601" s="83"/>
      <c r="Z601" s="83"/>
    </row>
    <row r="602">
      <c r="A602" s="83"/>
      <c r="B602" s="112"/>
      <c r="C602" s="83"/>
      <c r="D602" s="83"/>
      <c r="E602" s="83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83"/>
      <c r="Y602" s="83"/>
      <c r="Z602" s="83"/>
    </row>
    <row r="603">
      <c r="A603" s="83"/>
      <c r="B603" s="112"/>
      <c r="C603" s="83"/>
      <c r="D603" s="83"/>
      <c r="E603" s="83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83"/>
      <c r="Y603" s="83"/>
      <c r="Z603" s="83"/>
    </row>
    <row r="604">
      <c r="A604" s="83"/>
      <c r="B604" s="112"/>
      <c r="C604" s="83"/>
      <c r="D604" s="83"/>
      <c r="E604" s="83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83"/>
      <c r="Y604" s="83"/>
      <c r="Z604" s="83"/>
    </row>
    <row r="605">
      <c r="A605" s="83"/>
      <c r="B605" s="112"/>
      <c r="C605" s="83"/>
      <c r="D605" s="83"/>
      <c r="E605" s="83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83"/>
      <c r="Y605" s="83"/>
      <c r="Z605" s="83"/>
    </row>
    <row r="606">
      <c r="A606" s="83"/>
      <c r="B606" s="112"/>
      <c r="C606" s="83"/>
      <c r="D606" s="83"/>
      <c r="E606" s="83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83"/>
      <c r="Y606" s="83"/>
      <c r="Z606" s="83"/>
    </row>
    <row r="607">
      <c r="A607" s="83"/>
      <c r="B607" s="112"/>
      <c r="C607" s="83"/>
      <c r="D607" s="83"/>
      <c r="E607" s="83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83"/>
      <c r="Y607" s="83"/>
      <c r="Z607" s="83"/>
    </row>
    <row r="608">
      <c r="A608" s="83"/>
      <c r="B608" s="112"/>
      <c r="C608" s="83"/>
      <c r="D608" s="83"/>
      <c r="E608" s="83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83"/>
      <c r="Y608" s="83"/>
      <c r="Z608" s="83"/>
    </row>
    <row r="609">
      <c r="A609" s="83"/>
      <c r="B609" s="112"/>
      <c r="C609" s="83"/>
      <c r="D609" s="83"/>
      <c r="E609" s="83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83"/>
      <c r="Y609" s="83"/>
      <c r="Z609" s="83"/>
    </row>
    <row r="610">
      <c r="A610" s="83"/>
      <c r="B610" s="112"/>
      <c r="C610" s="83"/>
      <c r="D610" s="83"/>
      <c r="E610" s="83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83"/>
      <c r="Y610" s="83"/>
      <c r="Z610" s="83"/>
    </row>
    <row r="611">
      <c r="A611" s="83"/>
      <c r="B611" s="112"/>
      <c r="C611" s="83"/>
      <c r="D611" s="83"/>
      <c r="E611" s="83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83"/>
      <c r="Y611" s="83"/>
      <c r="Z611" s="83"/>
    </row>
    <row r="612">
      <c r="A612" s="83"/>
      <c r="B612" s="112"/>
      <c r="C612" s="83"/>
      <c r="D612" s="83"/>
      <c r="E612" s="83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83"/>
      <c r="Y612" s="83"/>
      <c r="Z612" s="83"/>
    </row>
    <row r="613">
      <c r="A613" s="83"/>
      <c r="B613" s="112"/>
      <c r="C613" s="83"/>
      <c r="D613" s="83"/>
      <c r="E613" s="83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83"/>
      <c r="Y613" s="83"/>
      <c r="Z613" s="83"/>
    </row>
    <row r="614">
      <c r="A614" s="83"/>
      <c r="B614" s="112"/>
      <c r="C614" s="83"/>
      <c r="D614" s="83"/>
      <c r="E614" s="83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83"/>
      <c r="Y614" s="83"/>
      <c r="Z614" s="83"/>
    </row>
    <row r="615">
      <c r="A615" s="83"/>
      <c r="B615" s="112"/>
      <c r="C615" s="83"/>
      <c r="D615" s="83"/>
      <c r="E615" s="83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83"/>
      <c r="Y615" s="83"/>
      <c r="Z615" s="83"/>
    </row>
    <row r="616">
      <c r="A616" s="83"/>
      <c r="B616" s="112"/>
      <c r="C616" s="83"/>
      <c r="D616" s="83"/>
      <c r="E616" s="83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83"/>
      <c r="Y616" s="83"/>
      <c r="Z616" s="83"/>
    </row>
    <row r="617">
      <c r="A617" s="83"/>
      <c r="B617" s="112"/>
      <c r="C617" s="83"/>
      <c r="D617" s="83"/>
      <c r="E617" s="83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83"/>
      <c r="Y617" s="83"/>
      <c r="Z617" s="83"/>
    </row>
    <row r="618">
      <c r="A618" s="83"/>
      <c r="B618" s="112"/>
      <c r="C618" s="83"/>
      <c r="D618" s="83"/>
      <c r="E618" s="83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83"/>
      <c r="Y618" s="83"/>
      <c r="Z618" s="83"/>
    </row>
    <row r="619">
      <c r="A619" s="83"/>
      <c r="B619" s="112"/>
      <c r="C619" s="83"/>
      <c r="D619" s="83"/>
      <c r="E619" s="83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83"/>
      <c r="Y619" s="83"/>
      <c r="Z619" s="83"/>
    </row>
    <row r="620">
      <c r="A620" s="83"/>
      <c r="B620" s="112"/>
      <c r="C620" s="83"/>
      <c r="D620" s="83"/>
      <c r="E620" s="83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83"/>
      <c r="Y620" s="83"/>
      <c r="Z620" s="83"/>
    </row>
    <row r="621">
      <c r="A621" s="83"/>
      <c r="B621" s="112"/>
      <c r="C621" s="83"/>
      <c r="D621" s="83"/>
      <c r="E621" s="83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83"/>
      <c r="Y621" s="83"/>
      <c r="Z621" s="83"/>
    </row>
    <row r="622">
      <c r="A622" s="83"/>
      <c r="B622" s="112"/>
      <c r="C622" s="83"/>
      <c r="D622" s="83"/>
      <c r="E622" s="83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83"/>
      <c r="Y622" s="83"/>
      <c r="Z622" s="83"/>
    </row>
    <row r="623">
      <c r="A623" s="83"/>
      <c r="B623" s="112"/>
      <c r="C623" s="83"/>
      <c r="D623" s="83"/>
      <c r="E623" s="83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83"/>
      <c r="Y623" s="83"/>
      <c r="Z623" s="83"/>
    </row>
    <row r="624">
      <c r="A624" s="83"/>
      <c r="B624" s="112"/>
      <c r="C624" s="83"/>
      <c r="D624" s="83"/>
      <c r="E624" s="83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83"/>
      <c r="Y624" s="83"/>
      <c r="Z624" s="83"/>
    </row>
    <row r="625">
      <c r="A625" s="83"/>
      <c r="B625" s="112"/>
      <c r="C625" s="83"/>
      <c r="D625" s="83"/>
      <c r="E625" s="83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83"/>
      <c r="Y625" s="83"/>
      <c r="Z625" s="83"/>
    </row>
    <row r="626">
      <c r="A626" s="83"/>
      <c r="B626" s="112"/>
      <c r="C626" s="83"/>
      <c r="D626" s="83"/>
      <c r="E626" s="83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83"/>
      <c r="Y626" s="83"/>
      <c r="Z626" s="83"/>
    </row>
    <row r="627">
      <c r="A627" s="83"/>
      <c r="B627" s="112"/>
      <c r="C627" s="83"/>
      <c r="D627" s="83"/>
      <c r="E627" s="83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83"/>
      <c r="Y627" s="83"/>
      <c r="Z627" s="83"/>
    </row>
    <row r="628">
      <c r="A628" s="83"/>
      <c r="B628" s="112"/>
      <c r="C628" s="83"/>
      <c r="D628" s="83"/>
      <c r="E628" s="83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83"/>
      <c r="Y628" s="83"/>
      <c r="Z628" s="83"/>
    </row>
    <row r="629">
      <c r="A629" s="83"/>
      <c r="B629" s="112"/>
      <c r="C629" s="83"/>
      <c r="D629" s="83"/>
      <c r="E629" s="83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83"/>
      <c r="Y629" s="83"/>
      <c r="Z629" s="83"/>
    </row>
    <row r="630">
      <c r="A630" s="83"/>
      <c r="B630" s="112"/>
      <c r="C630" s="83"/>
      <c r="D630" s="83"/>
      <c r="E630" s="83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83"/>
      <c r="Y630" s="83"/>
      <c r="Z630" s="83"/>
    </row>
    <row r="631">
      <c r="A631" s="83"/>
      <c r="B631" s="112"/>
      <c r="C631" s="83"/>
      <c r="D631" s="83"/>
      <c r="E631" s="83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83"/>
      <c r="Y631" s="83"/>
      <c r="Z631" s="83"/>
    </row>
    <row r="632">
      <c r="A632" s="83"/>
      <c r="B632" s="112"/>
      <c r="C632" s="83"/>
      <c r="D632" s="83"/>
      <c r="E632" s="83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83"/>
      <c r="Y632" s="83"/>
      <c r="Z632" s="83"/>
    </row>
    <row r="633">
      <c r="A633" s="83"/>
      <c r="B633" s="112"/>
      <c r="C633" s="83"/>
      <c r="D633" s="83"/>
      <c r="E633" s="83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83"/>
      <c r="Y633" s="83"/>
      <c r="Z633" s="83"/>
    </row>
    <row r="634">
      <c r="A634" s="83"/>
      <c r="B634" s="112"/>
      <c r="C634" s="83"/>
      <c r="D634" s="83"/>
      <c r="E634" s="83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83"/>
      <c r="Y634" s="83"/>
      <c r="Z634" s="83"/>
    </row>
    <row r="635">
      <c r="A635" s="83"/>
      <c r="B635" s="112"/>
      <c r="C635" s="83"/>
      <c r="D635" s="83"/>
      <c r="E635" s="83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83"/>
      <c r="Y635" s="83"/>
      <c r="Z635" s="83"/>
    </row>
    <row r="636">
      <c r="A636" s="83"/>
      <c r="B636" s="112"/>
      <c r="C636" s="83"/>
      <c r="D636" s="83"/>
      <c r="E636" s="83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83"/>
      <c r="Y636" s="83"/>
      <c r="Z636" s="83"/>
    </row>
    <row r="637">
      <c r="A637" s="83"/>
      <c r="B637" s="112"/>
      <c r="C637" s="83"/>
      <c r="D637" s="83"/>
      <c r="E637" s="83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83"/>
      <c r="Y637" s="83"/>
      <c r="Z637" s="83"/>
    </row>
    <row r="638">
      <c r="A638" s="83"/>
      <c r="B638" s="112"/>
      <c r="C638" s="83"/>
      <c r="D638" s="83"/>
      <c r="E638" s="83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83"/>
      <c r="Y638" s="83"/>
      <c r="Z638" s="83"/>
    </row>
    <row r="639">
      <c r="A639" s="83"/>
      <c r="B639" s="112"/>
      <c r="C639" s="83"/>
      <c r="D639" s="83"/>
      <c r="E639" s="83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83"/>
      <c r="Y639" s="83"/>
      <c r="Z639" s="83"/>
    </row>
    <row r="640">
      <c r="A640" s="83"/>
      <c r="B640" s="112"/>
      <c r="C640" s="83"/>
      <c r="D640" s="83"/>
      <c r="E640" s="83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83"/>
      <c r="Y640" s="83"/>
      <c r="Z640" s="83"/>
    </row>
    <row r="641">
      <c r="A641" s="83"/>
      <c r="B641" s="112"/>
      <c r="C641" s="83"/>
      <c r="D641" s="83"/>
      <c r="E641" s="83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83"/>
      <c r="Y641" s="83"/>
      <c r="Z641" s="83"/>
    </row>
    <row r="642">
      <c r="A642" s="83"/>
      <c r="B642" s="112"/>
      <c r="C642" s="83"/>
      <c r="D642" s="83"/>
      <c r="E642" s="83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83"/>
      <c r="Y642" s="83"/>
      <c r="Z642" s="83"/>
    </row>
    <row r="643">
      <c r="A643" s="83"/>
      <c r="B643" s="112"/>
      <c r="C643" s="83"/>
      <c r="D643" s="83"/>
      <c r="E643" s="83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83"/>
      <c r="Y643" s="83"/>
      <c r="Z643" s="83"/>
    </row>
    <row r="644">
      <c r="A644" s="83"/>
      <c r="B644" s="112"/>
      <c r="C644" s="83"/>
      <c r="D644" s="83"/>
      <c r="E644" s="83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83"/>
      <c r="Y644" s="83"/>
      <c r="Z644" s="83"/>
    </row>
    <row r="645">
      <c r="A645" s="83"/>
      <c r="B645" s="112"/>
      <c r="C645" s="83"/>
      <c r="D645" s="83"/>
      <c r="E645" s="83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83"/>
      <c r="Y645" s="83"/>
      <c r="Z645" s="83"/>
    </row>
    <row r="646">
      <c r="A646" s="83"/>
      <c r="B646" s="112"/>
      <c r="C646" s="83"/>
      <c r="D646" s="83"/>
      <c r="E646" s="83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83"/>
      <c r="Y646" s="83"/>
      <c r="Z646" s="83"/>
    </row>
    <row r="647">
      <c r="A647" s="83"/>
      <c r="B647" s="112"/>
      <c r="C647" s="83"/>
      <c r="D647" s="83"/>
      <c r="E647" s="83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83"/>
      <c r="Y647" s="83"/>
      <c r="Z647" s="83"/>
    </row>
    <row r="648">
      <c r="A648" s="83"/>
      <c r="B648" s="112"/>
      <c r="C648" s="83"/>
      <c r="D648" s="83"/>
      <c r="E648" s="83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83"/>
      <c r="Y648" s="83"/>
      <c r="Z648" s="83"/>
    </row>
    <row r="649">
      <c r="A649" s="83"/>
      <c r="B649" s="112"/>
      <c r="C649" s="83"/>
      <c r="D649" s="83"/>
      <c r="E649" s="83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83"/>
      <c r="Y649" s="83"/>
      <c r="Z649" s="83"/>
    </row>
    <row r="650">
      <c r="A650" s="83"/>
      <c r="B650" s="112"/>
      <c r="C650" s="83"/>
      <c r="D650" s="83"/>
      <c r="E650" s="83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83"/>
      <c r="Y650" s="83"/>
      <c r="Z650" s="83"/>
    </row>
    <row r="651">
      <c r="A651" s="83"/>
      <c r="B651" s="112"/>
      <c r="C651" s="83"/>
      <c r="D651" s="83"/>
      <c r="E651" s="83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83"/>
      <c r="Y651" s="83"/>
      <c r="Z651" s="83"/>
    </row>
    <row r="652">
      <c r="A652" s="83"/>
      <c r="B652" s="112"/>
      <c r="C652" s="83"/>
      <c r="D652" s="83"/>
      <c r="E652" s="83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83"/>
      <c r="Y652" s="83"/>
      <c r="Z652" s="83"/>
    </row>
    <row r="653">
      <c r="A653" s="83"/>
      <c r="B653" s="112"/>
      <c r="C653" s="83"/>
      <c r="D653" s="83"/>
      <c r="E653" s="83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83"/>
      <c r="Y653" s="83"/>
      <c r="Z653" s="83"/>
    </row>
    <row r="654">
      <c r="A654" s="83"/>
      <c r="B654" s="112"/>
      <c r="C654" s="83"/>
      <c r="D654" s="83"/>
      <c r="E654" s="83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83"/>
      <c r="Y654" s="83"/>
      <c r="Z654" s="83"/>
    </row>
    <row r="655">
      <c r="A655" s="83"/>
      <c r="B655" s="112"/>
      <c r="C655" s="83"/>
      <c r="D655" s="83"/>
      <c r="E655" s="83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83"/>
      <c r="Y655" s="83"/>
      <c r="Z655" s="83"/>
    </row>
    <row r="656">
      <c r="A656" s="83"/>
      <c r="B656" s="112"/>
      <c r="C656" s="83"/>
      <c r="D656" s="83"/>
      <c r="E656" s="83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83"/>
      <c r="Y656" s="83"/>
      <c r="Z656" s="83"/>
    </row>
    <row r="657">
      <c r="A657" s="83"/>
      <c r="B657" s="112"/>
      <c r="C657" s="83"/>
      <c r="D657" s="83"/>
      <c r="E657" s="83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83"/>
      <c r="Y657" s="83"/>
      <c r="Z657" s="83"/>
    </row>
    <row r="658">
      <c r="A658" s="83"/>
      <c r="B658" s="112"/>
      <c r="C658" s="83"/>
      <c r="D658" s="83"/>
      <c r="E658" s="83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83"/>
      <c r="Y658" s="83"/>
      <c r="Z658" s="83"/>
    </row>
    <row r="659">
      <c r="A659" s="83"/>
      <c r="B659" s="112"/>
      <c r="C659" s="83"/>
      <c r="D659" s="83"/>
      <c r="E659" s="83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83"/>
      <c r="Y659" s="83"/>
      <c r="Z659" s="83"/>
    </row>
    <row r="660">
      <c r="A660" s="83"/>
      <c r="B660" s="112"/>
      <c r="C660" s="83"/>
      <c r="D660" s="83"/>
      <c r="E660" s="83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83"/>
      <c r="Y660" s="83"/>
      <c r="Z660" s="83"/>
    </row>
    <row r="661">
      <c r="A661" s="83"/>
      <c r="B661" s="112"/>
      <c r="C661" s="83"/>
      <c r="D661" s="83"/>
      <c r="E661" s="83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83"/>
      <c r="Y661" s="83"/>
      <c r="Z661" s="83"/>
    </row>
    <row r="662">
      <c r="A662" s="83"/>
      <c r="B662" s="112"/>
      <c r="C662" s="83"/>
      <c r="D662" s="83"/>
      <c r="E662" s="83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83"/>
      <c r="Y662" s="83"/>
      <c r="Z662" s="83"/>
    </row>
    <row r="663">
      <c r="A663" s="83"/>
      <c r="B663" s="112"/>
      <c r="C663" s="83"/>
      <c r="D663" s="83"/>
      <c r="E663" s="83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83"/>
      <c r="Y663" s="83"/>
      <c r="Z663" s="83"/>
    </row>
    <row r="664">
      <c r="A664" s="83"/>
      <c r="B664" s="112"/>
      <c r="C664" s="83"/>
      <c r="D664" s="83"/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83"/>
      <c r="Y664" s="83"/>
      <c r="Z664" s="83"/>
    </row>
    <row r="665">
      <c r="A665" s="83"/>
      <c r="B665" s="112"/>
      <c r="C665" s="83"/>
      <c r="D665" s="83"/>
      <c r="E665" s="83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83"/>
      <c r="Y665" s="83"/>
      <c r="Z665" s="83"/>
    </row>
    <row r="666">
      <c r="A666" s="83"/>
      <c r="B666" s="112"/>
      <c r="C666" s="83"/>
      <c r="D666" s="83"/>
      <c r="E666" s="83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83"/>
      <c r="Y666" s="83"/>
      <c r="Z666" s="83"/>
    </row>
    <row r="667">
      <c r="A667" s="83"/>
      <c r="B667" s="112"/>
      <c r="C667" s="83"/>
      <c r="D667" s="83"/>
      <c r="E667" s="83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83"/>
      <c r="Y667" s="83"/>
      <c r="Z667" s="83"/>
    </row>
    <row r="668">
      <c r="A668" s="83"/>
      <c r="B668" s="112"/>
      <c r="C668" s="83"/>
      <c r="D668" s="83"/>
      <c r="E668" s="83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83"/>
      <c r="Y668" s="83"/>
      <c r="Z668" s="83"/>
    </row>
    <row r="669">
      <c r="A669" s="83"/>
      <c r="B669" s="112"/>
      <c r="C669" s="83"/>
      <c r="D669" s="83"/>
      <c r="E669" s="83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83"/>
      <c r="Y669" s="83"/>
      <c r="Z669" s="83"/>
    </row>
    <row r="670">
      <c r="A670" s="83"/>
      <c r="B670" s="112"/>
      <c r="C670" s="83"/>
      <c r="D670" s="83"/>
      <c r="E670" s="83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83"/>
      <c r="Y670" s="83"/>
      <c r="Z670" s="83"/>
    </row>
    <row r="671">
      <c r="A671" s="83"/>
      <c r="B671" s="112"/>
      <c r="C671" s="83"/>
      <c r="D671" s="83"/>
      <c r="E671" s="83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83"/>
      <c r="Y671" s="83"/>
      <c r="Z671" s="83"/>
    </row>
    <row r="672">
      <c r="A672" s="83"/>
      <c r="B672" s="112"/>
      <c r="C672" s="83"/>
      <c r="D672" s="83"/>
      <c r="E672" s="83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83"/>
      <c r="Y672" s="83"/>
      <c r="Z672" s="83"/>
    </row>
    <row r="673">
      <c r="A673" s="83"/>
      <c r="B673" s="112"/>
      <c r="C673" s="83"/>
      <c r="D673" s="83"/>
      <c r="E673" s="83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83"/>
      <c r="Y673" s="83"/>
      <c r="Z673" s="83"/>
    </row>
    <row r="674">
      <c r="A674" s="83"/>
      <c r="B674" s="112"/>
      <c r="C674" s="83"/>
      <c r="D674" s="83"/>
      <c r="E674" s="83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83"/>
      <c r="Y674" s="83"/>
      <c r="Z674" s="83"/>
    </row>
    <row r="675">
      <c r="A675" s="83"/>
      <c r="B675" s="112"/>
      <c r="C675" s="83"/>
      <c r="D675" s="83"/>
      <c r="E675" s="83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83"/>
      <c r="Y675" s="83"/>
      <c r="Z675" s="83"/>
    </row>
    <row r="676">
      <c r="A676" s="83"/>
      <c r="B676" s="112"/>
      <c r="C676" s="83"/>
      <c r="D676" s="83"/>
      <c r="E676" s="83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83"/>
      <c r="Y676" s="83"/>
      <c r="Z676" s="83"/>
    </row>
    <row r="677">
      <c r="A677" s="83"/>
      <c r="B677" s="112"/>
      <c r="C677" s="83"/>
      <c r="D677" s="83"/>
      <c r="E677" s="83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83"/>
      <c r="Y677" s="83"/>
      <c r="Z677" s="83"/>
    </row>
    <row r="678">
      <c r="A678" s="83"/>
      <c r="B678" s="112"/>
      <c r="C678" s="83"/>
      <c r="D678" s="83"/>
      <c r="E678" s="83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83"/>
      <c r="Y678" s="83"/>
      <c r="Z678" s="83"/>
    </row>
    <row r="679">
      <c r="A679" s="83"/>
      <c r="B679" s="112"/>
      <c r="C679" s="83"/>
      <c r="D679" s="83"/>
      <c r="E679" s="83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83"/>
      <c r="Y679" s="83"/>
      <c r="Z679" s="83"/>
    </row>
    <row r="680">
      <c r="A680" s="83"/>
      <c r="B680" s="112"/>
      <c r="C680" s="83"/>
      <c r="D680" s="83"/>
      <c r="E680" s="83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83"/>
      <c r="Y680" s="83"/>
      <c r="Z680" s="83"/>
    </row>
    <row r="681">
      <c r="A681" s="83"/>
      <c r="B681" s="112"/>
      <c r="C681" s="83"/>
      <c r="D681" s="83"/>
      <c r="E681" s="83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83"/>
      <c r="Y681" s="83"/>
      <c r="Z681" s="83"/>
    </row>
    <row r="682">
      <c r="A682" s="83"/>
      <c r="B682" s="112"/>
      <c r="C682" s="83"/>
      <c r="D682" s="83"/>
      <c r="E682" s="83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83"/>
      <c r="Y682" s="83"/>
      <c r="Z682" s="83"/>
    </row>
    <row r="683">
      <c r="A683" s="83"/>
      <c r="B683" s="112"/>
      <c r="C683" s="83"/>
      <c r="D683" s="83"/>
      <c r="E683" s="83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83"/>
      <c r="Y683" s="83"/>
      <c r="Z683" s="83"/>
    </row>
    <row r="684">
      <c r="A684" s="83"/>
      <c r="B684" s="112"/>
      <c r="C684" s="83"/>
      <c r="D684" s="83"/>
      <c r="E684" s="83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83"/>
      <c r="Y684" s="83"/>
      <c r="Z684" s="83"/>
    </row>
    <row r="685">
      <c r="A685" s="83"/>
      <c r="B685" s="112"/>
      <c r="C685" s="83"/>
      <c r="D685" s="83"/>
      <c r="E685" s="83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83"/>
      <c r="Y685" s="83"/>
      <c r="Z685" s="83"/>
    </row>
    <row r="686">
      <c r="A686" s="83"/>
      <c r="B686" s="112"/>
      <c r="C686" s="83"/>
      <c r="D686" s="83"/>
      <c r="E686" s="83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83"/>
      <c r="Y686" s="83"/>
      <c r="Z686" s="83"/>
    </row>
    <row r="687">
      <c r="A687" s="83"/>
      <c r="B687" s="112"/>
      <c r="C687" s="83"/>
      <c r="D687" s="83"/>
      <c r="E687" s="83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83"/>
      <c r="Y687" s="83"/>
      <c r="Z687" s="83"/>
    </row>
    <row r="688">
      <c r="A688" s="83"/>
      <c r="B688" s="112"/>
      <c r="C688" s="83"/>
      <c r="D688" s="83"/>
      <c r="E688" s="83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83"/>
      <c r="Y688" s="83"/>
      <c r="Z688" s="83"/>
    </row>
    <row r="689">
      <c r="A689" s="83"/>
      <c r="B689" s="112"/>
      <c r="C689" s="83"/>
      <c r="D689" s="83"/>
      <c r="E689" s="83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83"/>
      <c r="Y689" s="83"/>
      <c r="Z689" s="83"/>
    </row>
    <row r="690">
      <c r="A690" s="83"/>
      <c r="B690" s="112"/>
      <c r="C690" s="83"/>
      <c r="D690" s="83"/>
      <c r="E690" s="83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83"/>
      <c r="Y690" s="83"/>
      <c r="Z690" s="83"/>
    </row>
    <row r="691">
      <c r="A691" s="83"/>
      <c r="B691" s="112"/>
      <c r="C691" s="83"/>
      <c r="D691" s="83"/>
      <c r="E691" s="83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83"/>
      <c r="Y691" s="83"/>
      <c r="Z691" s="83"/>
    </row>
    <row r="692">
      <c r="A692" s="83"/>
      <c r="B692" s="112"/>
      <c r="C692" s="83"/>
      <c r="D692" s="83"/>
      <c r="E692" s="83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83"/>
      <c r="Y692" s="83"/>
      <c r="Z692" s="83"/>
    </row>
    <row r="693">
      <c r="A693" s="83"/>
      <c r="B693" s="112"/>
      <c r="C693" s="83"/>
      <c r="D693" s="83"/>
      <c r="E693" s="83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83"/>
      <c r="Y693" s="83"/>
      <c r="Z693" s="83"/>
    </row>
    <row r="694">
      <c r="A694" s="83"/>
      <c r="B694" s="112"/>
      <c r="C694" s="83"/>
      <c r="D694" s="83"/>
      <c r="E694" s="83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83"/>
      <c r="Y694" s="83"/>
      <c r="Z694" s="83"/>
    </row>
    <row r="695">
      <c r="A695" s="83"/>
      <c r="B695" s="112"/>
      <c r="C695" s="83"/>
      <c r="D695" s="83"/>
      <c r="E695" s="83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83"/>
      <c r="Y695" s="83"/>
      <c r="Z695" s="83"/>
    </row>
    <row r="696">
      <c r="A696" s="83"/>
      <c r="B696" s="112"/>
      <c r="C696" s="83"/>
      <c r="D696" s="83"/>
      <c r="E696" s="83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83"/>
      <c r="Y696" s="83"/>
      <c r="Z696" s="83"/>
    </row>
    <row r="697">
      <c r="A697" s="83"/>
      <c r="B697" s="112"/>
      <c r="C697" s="83"/>
      <c r="D697" s="83"/>
      <c r="E697" s="83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83"/>
      <c r="Y697" s="83"/>
      <c r="Z697" s="83"/>
    </row>
    <row r="698">
      <c r="A698" s="83"/>
      <c r="B698" s="112"/>
      <c r="C698" s="83"/>
      <c r="D698" s="83"/>
      <c r="E698" s="83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83"/>
      <c r="Y698" s="83"/>
      <c r="Z698" s="83"/>
    </row>
    <row r="699">
      <c r="A699" s="83"/>
      <c r="B699" s="112"/>
      <c r="C699" s="83"/>
      <c r="D699" s="83"/>
      <c r="E699" s="83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83"/>
      <c r="Y699" s="83"/>
      <c r="Z699" s="83"/>
    </row>
    <row r="700">
      <c r="A700" s="83"/>
      <c r="B700" s="112"/>
      <c r="C700" s="83"/>
      <c r="D700" s="83"/>
      <c r="E700" s="83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83"/>
      <c r="Y700" s="83"/>
      <c r="Z700" s="83"/>
    </row>
    <row r="701">
      <c r="A701" s="83"/>
      <c r="B701" s="112"/>
      <c r="C701" s="83"/>
      <c r="D701" s="83"/>
      <c r="E701" s="83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83"/>
      <c r="Y701" s="83"/>
      <c r="Z701" s="83"/>
    </row>
    <row r="702">
      <c r="A702" s="83"/>
      <c r="B702" s="112"/>
      <c r="C702" s="83"/>
      <c r="D702" s="83"/>
      <c r="E702" s="83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83"/>
      <c r="Y702" s="83"/>
      <c r="Z702" s="83"/>
    </row>
    <row r="703">
      <c r="A703" s="83"/>
      <c r="B703" s="112"/>
      <c r="C703" s="83"/>
      <c r="D703" s="83"/>
      <c r="E703" s="83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83"/>
      <c r="Y703" s="83"/>
      <c r="Z703" s="83"/>
    </row>
    <row r="704">
      <c r="A704" s="83"/>
      <c r="B704" s="112"/>
      <c r="C704" s="83"/>
      <c r="D704" s="83"/>
      <c r="E704" s="83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83"/>
      <c r="Y704" s="83"/>
      <c r="Z704" s="83"/>
    </row>
    <row r="705">
      <c r="A705" s="83"/>
      <c r="B705" s="112"/>
      <c r="C705" s="83"/>
      <c r="D705" s="83"/>
      <c r="E705" s="83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83"/>
      <c r="Y705" s="83"/>
      <c r="Z705" s="83"/>
    </row>
    <row r="706">
      <c r="A706" s="83"/>
      <c r="B706" s="112"/>
      <c r="C706" s="83"/>
      <c r="D706" s="83"/>
      <c r="E706" s="83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83"/>
      <c r="Y706" s="83"/>
      <c r="Z706" s="83"/>
    </row>
    <row r="707">
      <c r="A707" s="83"/>
      <c r="B707" s="112"/>
      <c r="C707" s="83"/>
      <c r="D707" s="83"/>
      <c r="E707" s="83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83"/>
      <c r="Y707" s="83"/>
      <c r="Z707" s="83"/>
    </row>
    <row r="708">
      <c r="A708" s="83"/>
      <c r="B708" s="112"/>
      <c r="C708" s="83"/>
      <c r="D708" s="83"/>
      <c r="E708" s="83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83"/>
      <c r="Y708" s="83"/>
      <c r="Z708" s="83"/>
    </row>
    <row r="709">
      <c r="A709" s="83"/>
      <c r="B709" s="112"/>
      <c r="C709" s="83"/>
      <c r="D709" s="83"/>
      <c r="E709" s="83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83"/>
      <c r="Y709" s="83"/>
      <c r="Z709" s="83"/>
    </row>
    <row r="710">
      <c r="A710" s="83"/>
      <c r="B710" s="112"/>
      <c r="C710" s="83"/>
      <c r="D710" s="83"/>
      <c r="E710" s="83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83"/>
      <c r="Y710" s="83"/>
      <c r="Z710" s="83"/>
    </row>
    <row r="711">
      <c r="A711" s="83"/>
      <c r="B711" s="112"/>
      <c r="C711" s="83"/>
      <c r="D711" s="83"/>
      <c r="E711" s="83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83"/>
      <c r="Y711" s="83"/>
      <c r="Z711" s="83"/>
    </row>
    <row r="712">
      <c r="A712" s="83"/>
      <c r="B712" s="112"/>
      <c r="C712" s="83"/>
      <c r="D712" s="83"/>
      <c r="E712" s="83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83"/>
      <c r="Y712" s="83"/>
      <c r="Z712" s="83"/>
    </row>
    <row r="713">
      <c r="A713" s="83"/>
      <c r="B713" s="112"/>
      <c r="C713" s="83"/>
      <c r="D713" s="83"/>
      <c r="E713" s="83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83"/>
      <c r="Y713" s="83"/>
      <c r="Z713" s="83"/>
    </row>
    <row r="714">
      <c r="A714" s="83"/>
      <c r="B714" s="112"/>
      <c r="C714" s="83"/>
      <c r="D714" s="83"/>
      <c r="E714" s="83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83"/>
      <c r="Y714" s="83"/>
      <c r="Z714" s="83"/>
    </row>
    <row r="715">
      <c r="A715" s="83"/>
      <c r="B715" s="112"/>
      <c r="C715" s="83"/>
      <c r="D715" s="83"/>
      <c r="E715" s="83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83"/>
      <c r="Y715" s="83"/>
      <c r="Z715" s="83"/>
    </row>
    <row r="716">
      <c r="A716" s="83"/>
      <c r="B716" s="112"/>
      <c r="C716" s="83"/>
      <c r="D716" s="83"/>
      <c r="E716" s="83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83"/>
      <c r="Y716" s="83"/>
      <c r="Z716" s="83"/>
    </row>
    <row r="717">
      <c r="A717" s="83"/>
      <c r="B717" s="112"/>
      <c r="C717" s="83"/>
      <c r="D717" s="83"/>
      <c r="E717" s="83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83"/>
      <c r="Y717" s="83"/>
      <c r="Z717" s="83"/>
    </row>
    <row r="718">
      <c r="A718" s="83"/>
      <c r="B718" s="112"/>
      <c r="C718" s="83"/>
      <c r="D718" s="83"/>
      <c r="E718" s="83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83"/>
      <c r="Y718" s="83"/>
      <c r="Z718" s="83"/>
    </row>
    <row r="719">
      <c r="A719" s="83"/>
      <c r="B719" s="112"/>
      <c r="C719" s="83"/>
      <c r="D719" s="83"/>
      <c r="E719" s="83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83"/>
      <c r="Y719" s="83"/>
      <c r="Z719" s="83"/>
    </row>
    <row r="720">
      <c r="A720" s="83"/>
      <c r="B720" s="112"/>
      <c r="C720" s="83"/>
      <c r="D720" s="83"/>
      <c r="E720" s="83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83"/>
      <c r="Y720" s="83"/>
      <c r="Z720" s="83"/>
    </row>
    <row r="721">
      <c r="A721" s="83"/>
      <c r="B721" s="112"/>
      <c r="C721" s="83"/>
      <c r="D721" s="83"/>
      <c r="E721" s="83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83"/>
      <c r="Y721" s="83"/>
      <c r="Z721" s="83"/>
    </row>
    <row r="722">
      <c r="A722" s="83"/>
      <c r="B722" s="112"/>
      <c r="C722" s="83"/>
      <c r="D722" s="83"/>
      <c r="E722" s="83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83"/>
      <c r="Y722" s="83"/>
      <c r="Z722" s="83"/>
    </row>
    <row r="723">
      <c r="A723" s="83"/>
      <c r="B723" s="112"/>
      <c r="C723" s="83"/>
      <c r="D723" s="83"/>
      <c r="E723" s="83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83"/>
      <c r="Y723" s="83"/>
      <c r="Z723" s="83"/>
    </row>
    <row r="724">
      <c r="A724" s="83"/>
      <c r="B724" s="112"/>
      <c r="C724" s="83"/>
      <c r="D724" s="83"/>
      <c r="E724" s="83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83"/>
      <c r="Y724" s="83"/>
      <c r="Z724" s="83"/>
    </row>
    <row r="725">
      <c r="A725" s="83"/>
      <c r="B725" s="112"/>
      <c r="C725" s="83"/>
      <c r="D725" s="83"/>
      <c r="E725" s="83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83"/>
      <c r="Y725" s="83"/>
      <c r="Z725" s="83"/>
    </row>
    <row r="726">
      <c r="A726" s="83"/>
      <c r="B726" s="112"/>
      <c r="C726" s="83"/>
      <c r="D726" s="83"/>
      <c r="E726" s="83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83"/>
      <c r="Y726" s="83"/>
      <c r="Z726" s="83"/>
    </row>
    <row r="727">
      <c r="A727" s="83"/>
      <c r="B727" s="112"/>
      <c r="C727" s="83"/>
      <c r="D727" s="83"/>
      <c r="E727" s="83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83"/>
      <c r="Y727" s="83"/>
      <c r="Z727" s="83"/>
    </row>
    <row r="728">
      <c r="A728" s="83"/>
      <c r="B728" s="112"/>
      <c r="C728" s="83"/>
      <c r="D728" s="83"/>
      <c r="E728" s="83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83"/>
      <c r="Y728" s="83"/>
      <c r="Z728" s="83"/>
    </row>
    <row r="729">
      <c r="A729" s="83"/>
      <c r="B729" s="112"/>
      <c r="C729" s="83"/>
      <c r="D729" s="83"/>
      <c r="E729" s="83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83"/>
      <c r="Y729" s="83"/>
      <c r="Z729" s="83"/>
    </row>
    <row r="730">
      <c r="A730" s="83"/>
      <c r="B730" s="112"/>
      <c r="C730" s="83"/>
      <c r="D730" s="83"/>
      <c r="E730" s="83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83"/>
      <c r="Y730" s="83"/>
      <c r="Z730" s="83"/>
    </row>
    <row r="731">
      <c r="A731" s="83"/>
      <c r="B731" s="112"/>
      <c r="C731" s="83"/>
      <c r="D731" s="83"/>
      <c r="E731" s="83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83"/>
      <c r="Y731" s="83"/>
      <c r="Z731" s="83"/>
    </row>
    <row r="732">
      <c r="A732" s="83"/>
      <c r="B732" s="112"/>
      <c r="C732" s="83"/>
      <c r="D732" s="83"/>
      <c r="E732" s="83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83"/>
      <c r="Y732" s="83"/>
      <c r="Z732" s="83"/>
    </row>
    <row r="733">
      <c r="A733" s="83"/>
      <c r="B733" s="112"/>
      <c r="C733" s="83"/>
      <c r="D733" s="83"/>
      <c r="E733" s="83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83"/>
      <c r="Y733" s="83"/>
      <c r="Z733" s="83"/>
    </row>
    <row r="734">
      <c r="A734" s="83"/>
      <c r="B734" s="112"/>
      <c r="C734" s="83"/>
      <c r="D734" s="83"/>
      <c r="E734" s="83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83"/>
      <c r="Y734" s="83"/>
      <c r="Z734" s="83"/>
    </row>
    <row r="735">
      <c r="A735" s="83"/>
      <c r="B735" s="112"/>
      <c r="C735" s="83"/>
      <c r="D735" s="83"/>
      <c r="E735" s="83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83"/>
      <c r="Y735" s="83"/>
      <c r="Z735" s="83"/>
    </row>
    <row r="736">
      <c r="A736" s="83"/>
      <c r="B736" s="112"/>
      <c r="C736" s="83"/>
      <c r="D736" s="83"/>
      <c r="E736" s="83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83"/>
      <c r="Y736" s="83"/>
      <c r="Z736" s="83"/>
    </row>
    <row r="737">
      <c r="A737" s="83"/>
      <c r="B737" s="112"/>
      <c r="C737" s="83"/>
      <c r="D737" s="83"/>
      <c r="E737" s="83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83"/>
      <c r="Y737" s="83"/>
      <c r="Z737" s="83"/>
    </row>
    <row r="738">
      <c r="A738" s="83"/>
      <c r="B738" s="112"/>
      <c r="C738" s="83"/>
      <c r="D738" s="83"/>
      <c r="E738" s="83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83"/>
      <c r="Y738" s="83"/>
      <c r="Z738" s="83"/>
    </row>
    <row r="739">
      <c r="A739" s="83"/>
      <c r="B739" s="112"/>
      <c r="C739" s="83"/>
      <c r="D739" s="83"/>
      <c r="E739" s="83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83"/>
      <c r="Y739" s="83"/>
      <c r="Z739" s="83"/>
    </row>
    <row r="740">
      <c r="A740" s="83"/>
      <c r="B740" s="112"/>
      <c r="C740" s="83"/>
      <c r="D740" s="83"/>
      <c r="E740" s="83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83"/>
      <c r="Y740" s="83"/>
      <c r="Z740" s="83"/>
    </row>
    <row r="741">
      <c r="A741" s="83"/>
      <c r="B741" s="112"/>
      <c r="C741" s="83"/>
      <c r="D741" s="83"/>
      <c r="E741" s="83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83"/>
      <c r="Y741" s="83"/>
      <c r="Z741" s="83"/>
    </row>
    <row r="742">
      <c r="A742" s="83"/>
      <c r="B742" s="112"/>
      <c r="C742" s="83"/>
      <c r="D742" s="83"/>
      <c r="E742" s="83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83"/>
      <c r="Y742" s="83"/>
      <c r="Z742" s="83"/>
    </row>
    <row r="743">
      <c r="A743" s="83"/>
      <c r="B743" s="112"/>
      <c r="C743" s="83"/>
      <c r="D743" s="83"/>
      <c r="E743" s="83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83"/>
      <c r="Y743" s="83"/>
      <c r="Z743" s="83"/>
    </row>
    <row r="744">
      <c r="A744" s="83"/>
      <c r="B744" s="112"/>
      <c r="C744" s="83"/>
      <c r="D744" s="83"/>
      <c r="E744" s="83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83"/>
      <c r="Y744" s="83"/>
      <c r="Z744" s="83"/>
    </row>
    <row r="745">
      <c r="A745" s="83"/>
      <c r="B745" s="112"/>
      <c r="C745" s="83"/>
      <c r="D745" s="83"/>
      <c r="E745" s="83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83"/>
      <c r="Y745" s="83"/>
      <c r="Z745" s="83"/>
    </row>
    <row r="746">
      <c r="A746" s="83"/>
      <c r="B746" s="112"/>
      <c r="C746" s="83"/>
      <c r="D746" s="83"/>
      <c r="E746" s="83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83"/>
      <c r="Y746" s="83"/>
      <c r="Z746" s="83"/>
    </row>
    <row r="747">
      <c r="A747" s="83"/>
      <c r="B747" s="112"/>
      <c r="C747" s="83"/>
      <c r="D747" s="83"/>
      <c r="E747" s="83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83"/>
      <c r="Y747" s="83"/>
      <c r="Z747" s="83"/>
    </row>
    <row r="748">
      <c r="A748" s="83"/>
      <c r="B748" s="112"/>
      <c r="C748" s="83"/>
      <c r="D748" s="83"/>
      <c r="E748" s="83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83"/>
      <c r="Y748" s="83"/>
      <c r="Z748" s="83"/>
    </row>
    <row r="749">
      <c r="A749" s="83"/>
      <c r="B749" s="112"/>
      <c r="C749" s="83"/>
      <c r="D749" s="83"/>
      <c r="E749" s="83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83"/>
      <c r="Y749" s="83"/>
      <c r="Z749" s="83"/>
    </row>
    <row r="750">
      <c r="A750" s="83"/>
      <c r="B750" s="112"/>
      <c r="C750" s="83"/>
      <c r="D750" s="83"/>
      <c r="E750" s="83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83"/>
      <c r="Y750" s="83"/>
      <c r="Z750" s="83"/>
    </row>
    <row r="751">
      <c r="A751" s="83"/>
      <c r="B751" s="112"/>
      <c r="C751" s="83"/>
      <c r="D751" s="83"/>
      <c r="E751" s="83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83"/>
      <c r="Y751" s="83"/>
      <c r="Z751" s="83"/>
    </row>
    <row r="752">
      <c r="A752" s="83"/>
      <c r="B752" s="112"/>
      <c r="C752" s="83"/>
      <c r="D752" s="83"/>
      <c r="E752" s="83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83"/>
      <c r="Y752" s="83"/>
      <c r="Z752" s="83"/>
    </row>
    <row r="753">
      <c r="A753" s="83"/>
      <c r="B753" s="112"/>
      <c r="C753" s="83"/>
      <c r="D753" s="83"/>
      <c r="E753" s="83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83"/>
      <c r="Y753" s="83"/>
      <c r="Z753" s="83"/>
    </row>
    <row r="754">
      <c r="A754" s="83"/>
      <c r="B754" s="112"/>
      <c r="C754" s="83"/>
      <c r="D754" s="83"/>
      <c r="E754" s="83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83"/>
      <c r="Y754" s="83"/>
      <c r="Z754" s="83"/>
    </row>
    <row r="755">
      <c r="A755" s="83"/>
      <c r="B755" s="112"/>
      <c r="C755" s="83"/>
      <c r="D755" s="83"/>
      <c r="E755" s="83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83"/>
      <c r="Y755" s="83"/>
      <c r="Z755" s="83"/>
    </row>
    <row r="756">
      <c r="A756" s="83"/>
      <c r="B756" s="112"/>
      <c r="C756" s="83"/>
      <c r="D756" s="83"/>
      <c r="E756" s="83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83"/>
      <c r="Y756" s="83"/>
      <c r="Z756" s="83"/>
    </row>
    <row r="757">
      <c r="A757" s="83"/>
      <c r="B757" s="112"/>
      <c r="C757" s="83"/>
      <c r="D757" s="83"/>
      <c r="E757" s="83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83"/>
      <c r="Y757" s="83"/>
      <c r="Z757" s="83"/>
    </row>
    <row r="758">
      <c r="A758" s="83"/>
      <c r="B758" s="112"/>
      <c r="C758" s="83"/>
      <c r="D758" s="83"/>
      <c r="E758" s="83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83"/>
      <c r="Y758" s="83"/>
      <c r="Z758" s="83"/>
    </row>
    <row r="759">
      <c r="A759" s="83"/>
      <c r="B759" s="112"/>
      <c r="C759" s="83"/>
      <c r="D759" s="83"/>
      <c r="E759" s="83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83"/>
      <c r="Y759" s="83"/>
      <c r="Z759" s="83"/>
    </row>
    <row r="760">
      <c r="A760" s="83"/>
      <c r="B760" s="112"/>
      <c r="C760" s="83"/>
      <c r="D760" s="83"/>
      <c r="E760" s="83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83"/>
      <c r="Y760" s="83"/>
      <c r="Z760" s="83"/>
    </row>
    <row r="761">
      <c r="A761" s="83"/>
      <c r="B761" s="112"/>
      <c r="C761" s="83"/>
      <c r="D761" s="83"/>
      <c r="E761" s="83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83"/>
      <c r="Y761" s="83"/>
      <c r="Z761" s="83"/>
    </row>
    <row r="762">
      <c r="A762" s="83"/>
      <c r="B762" s="112"/>
      <c r="C762" s="83"/>
      <c r="D762" s="83"/>
      <c r="E762" s="83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83"/>
      <c r="Y762" s="83"/>
      <c r="Z762" s="83"/>
    </row>
    <row r="763">
      <c r="A763" s="83"/>
      <c r="B763" s="112"/>
      <c r="C763" s="83"/>
      <c r="D763" s="83"/>
      <c r="E763" s="83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83"/>
      <c r="Y763" s="83"/>
      <c r="Z763" s="83"/>
    </row>
    <row r="764">
      <c r="A764" s="83"/>
      <c r="B764" s="112"/>
      <c r="C764" s="83"/>
      <c r="D764" s="83"/>
      <c r="E764" s="83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83"/>
      <c r="Y764" s="83"/>
      <c r="Z764" s="83"/>
    </row>
    <row r="765">
      <c r="A765" s="83"/>
      <c r="B765" s="112"/>
      <c r="C765" s="83"/>
      <c r="D765" s="83"/>
      <c r="E765" s="83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83"/>
      <c r="Y765" s="83"/>
      <c r="Z765" s="83"/>
    </row>
    <row r="766">
      <c r="A766" s="83"/>
      <c r="B766" s="112"/>
      <c r="C766" s="83"/>
      <c r="D766" s="83"/>
      <c r="E766" s="83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83"/>
      <c r="Y766" s="83"/>
      <c r="Z766" s="83"/>
    </row>
    <row r="767">
      <c r="A767" s="83"/>
      <c r="B767" s="112"/>
      <c r="C767" s="83"/>
      <c r="D767" s="83"/>
      <c r="E767" s="83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83"/>
      <c r="Y767" s="83"/>
      <c r="Z767" s="83"/>
    </row>
    <row r="768">
      <c r="A768" s="83"/>
      <c r="B768" s="112"/>
      <c r="C768" s="83"/>
      <c r="D768" s="83"/>
      <c r="E768" s="83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83"/>
      <c r="Y768" s="83"/>
      <c r="Z768" s="83"/>
    </row>
    <row r="769">
      <c r="A769" s="83"/>
      <c r="B769" s="112"/>
      <c r="C769" s="83"/>
      <c r="D769" s="83"/>
      <c r="E769" s="83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83"/>
      <c r="Y769" s="83"/>
      <c r="Z769" s="83"/>
    </row>
    <row r="770">
      <c r="A770" s="83"/>
      <c r="B770" s="112"/>
      <c r="C770" s="83"/>
      <c r="D770" s="83"/>
      <c r="E770" s="83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83"/>
      <c r="Y770" s="83"/>
      <c r="Z770" s="83"/>
    </row>
    <row r="771">
      <c r="A771" s="83"/>
      <c r="B771" s="112"/>
      <c r="C771" s="83"/>
      <c r="D771" s="83"/>
      <c r="E771" s="83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83"/>
      <c r="Y771" s="83"/>
      <c r="Z771" s="83"/>
    </row>
    <row r="772">
      <c r="A772" s="83"/>
      <c r="B772" s="112"/>
      <c r="C772" s="83"/>
      <c r="D772" s="83"/>
      <c r="E772" s="83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83"/>
      <c r="Y772" s="83"/>
      <c r="Z772" s="83"/>
    </row>
    <row r="773">
      <c r="A773" s="83"/>
      <c r="B773" s="112"/>
      <c r="C773" s="83"/>
      <c r="D773" s="83"/>
      <c r="E773" s="83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83"/>
      <c r="Y773" s="83"/>
      <c r="Z773" s="83"/>
    </row>
    <row r="774">
      <c r="A774" s="83"/>
      <c r="B774" s="112"/>
      <c r="C774" s="83"/>
      <c r="D774" s="83"/>
      <c r="E774" s="83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83"/>
      <c r="Y774" s="83"/>
      <c r="Z774" s="83"/>
    </row>
    <row r="775">
      <c r="A775" s="83"/>
      <c r="B775" s="112"/>
      <c r="C775" s="83"/>
      <c r="D775" s="83"/>
      <c r="E775" s="83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83"/>
      <c r="Y775" s="83"/>
      <c r="Z775" s="83"/>
    </row>
    <row r="776">
      <c r="A776" s="83"/>
      <c r="B776" s="112"/>
      <c r="C776" s="83"/>
      <c r="D776" s="83"/>
      <c r="E776" s="83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83"/>
      <c r="Y776" s="83"/>
      <c r="Z776" s="83"/>
    </row>
    <row r="777">
      <c r="A777" s="83"/>
      <c r="B777" s="112"/>
      <c r="C777" s="83"/>
      <c r="D777" s="83"/>
      <c r="E777" s="83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83"/>
      <c r="Y777" s="83"/>
      <c r="Z777" s="83"/>
    </row>
    <row r="778">
      <c r="A778" s="83"/>
      <c r="B778" s="112"/>
      <c r="C778" s="83"/>
      <c r="D778" s="83"/>
      <c r="E778" s="83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83"/>
      <c r="Y778" s="83"/>
      <c r="Z778" s="83"/>
    </row>
    <row r="779">
      <c r="A779" s="83"/>
      <c r="B779" s="112"/>
      <c r="C779" s="83"/>
      <c r="D779" s="83"/>
      <c r="E779" s="83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83"/>
      <c r="Y779" s="83"/>
      <c r="Z779" s="83"/>
    </row>
    <row r="780">
      <c r="A780" s="83"/>
      <c r="B780" s="112"/>
      <c r="C780" s="83"/>
      <c r="D780" s="83"/>
      <c r="E780" s="83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83"/>
      <c r="Y780" s="83"/>
      <c r="Z780" s="83"/>
    </row>
    <row r="781">
      <c r="A781" s="83"/>
      <c r="B781" s="112"/>
      <c r="C781" s="83"/>
      <c r="D781" s="83"/>
      <c r="E781" s="83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83"/>
      <c r="Y781" s="83"/>
      <c r="Z781" s="83"/>
    </row>
    <row r="782">
      <c r="A782" s="83"/>
      <c r="B782" s="112"/>
      <c r="C782" s="83"/>
      <c r="D782" s="83"/>
      <c r="E782" s="83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83"/>
      <c r="Y782" s="83"/>
      <c r="Z782" s="83"/>
    </row>
    <row r="783">
      <c r="A783" s="83"/>
      <c r="B783" s="112"/>
      <c r="C783" s="83"/>
      <c r="D783" s="83"/>
      <c r="E783" s="83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83"/>
      <c r="Y783" s="83"/>
      <c r="Z783" s="83"/>
    </row>
    <row r="784">
      <c r="A784" s="83"/>
      <c r="B784" s="112"/>
      <c r="C784" s="83"/>
      <c r="D784" s="83"/>
      <c r="E784" s="83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83"/>
      <c r="Y784" s="83"/>
      <c r="Z784" s="83"/>
    </row>
    <row r="785">
      <c r="A785" s="83"/>
      <c r="B785" s="112"/>
      <c r="C785" s="83"/>
      <c r="D785" s="83"/>
      <c r="E785" s="83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83"/>
      <c r="Y785" s="83"/>
      <c r="Z785" s="83"/>
    </row>
    <row r="786">
      <c r="A786" s="83"/>
      <c r="B786" s="112"/>
      <c r="C786" s="83"/>
      <c r="D786" s="83"/>
      <c r="E786" s="83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83"/>
      <c r="Y786" s="83"/>
      <c r="Z786" s="83"/>
    </row>
    <row r="787">
      <c r="A787" s="83"/>
      <c r="B787" s="112"/>
      <c r="C787" s="83"/>
      <c r="D787" s="83"/>
      <c r="E787" s="83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83"/>
      <c r="Y787" s="83"/>
      <c r="Z787" s="83"/>
    </row>
    <row r="788">
      <c r="A788" s="83"/>
      <c r="B788" s="112"/>
      <c r="C788" s="83"/>
      <c r="D788" s="83"/>
      <c r="E788" s="83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83"/>
      <c r="Y788" s="83"/>
      <c r="Z788" s="83"/>
    </row>
    <row r="789">
      <c r="A789" s="83"/>
      <c r="B789" s="112"/>
      <c r="C789" s="83"/>
      <c r="D789" s="83"/>
      <c r="E789" s="83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83"/>
      <c r="Y789" s="83"/>
      <c r="Z789" s="83"/>
    </row>
    <row r="790">
      <c r="A790" s="83"/>
      <c r="B790" s="112"/>
      <c r="C790" s="83"/>
      <c r="D790" s="83"/>
      <c r="E790" s="83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83"/>
      <c r="Y790" s="83"/>
      <c r="Z790" s="83"/>
    </row>
    <row r="791">
      <c r="A791" s="83"/>
      <c r="B791" s="112"/>
      <c r="C791" s="83"/>
      <c r="D791" s="83"/>
      <c r="E791" s="83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83"/>
      <c r="Y791" s="83"/>
      <c r="Z791" s="83"/>
    </row>
    <row r="792">
      <c r="A792" s="83"/>
      <c r="B792" s="112"/>
      <c r="C792" s="83"/>
      <c r="D792" s="83"/>
      <c r="E792" s="83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83"/>
      <c r="Y792" s="83"/>
      <c r="Z792" s="83"/>
    </row>
    <row r="793">
      <c r="A793" s="83"/>
      <c r="B793" s="112"/>
      <c r="C793" s="83"/>
      <c r="D793" s="83"/>
      <c r="E793" s="83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83"/>
      <c r="Y793" s="83"/>
      <c r="Z793" s="83"/>
    </row>
    <row r="794">
      <c r="A794" s="83"/>
      <c r="B794" s="112"/>
      <c r="C794" s="83"/>
      <c r="D794" s="83"/>
      <c r="E794" s="83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83"/>
      <c r="Y794" s="83"/>
      <c r="Z794" s="83"/>
    </row>
    <row r="795">
      <c r="A795" s="83"/>
      <c r="B795" s="112"/>
      <c r="C795" s="83"/>
      <c r="D795" s="83"/>
      <c r="E795" s="83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83"/>
      <c r="Y795" s="83"/>
      <c r="Z795" s="83"/>
    </row>
    <row r="796">
      <c r="A796" s="83"/>
      <c r="B796" s="112"/>
      <c r="C796" s="83"/>
      <c r="D796" s="83"/>
      <c r="E796" s="83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83"/>
      <c r="Y796" s="83"/>
      <c r="Z796" s="83"/>
    </row>
    <row r="797">
      <c r="A797" s="83"/>
      <c r="B797" s="112"/>
      <c r="C797" s="83"/>
      <c r="D797" s="83"/>
      <c r="E797" s="83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83"/>
      <c r="Y797" s="83"/>
      <c r="Z797" s="83"/>
    </row>
    <row r="798">
      <c r="A798" s="83"/>
      <c r="B798" s="112"/>
      <c r="C798" s="83"/>
      <c r="D798" s="83"/>
      <c r="E798" s="83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83"/>
      <c r="Y798" s="83"/>
      <c r="Z798" s="83"/>
    </row>
    <row r="799">
      <c r="A799" s="83"/>
      <c r="B799" s="112"/>
      <c r="C799" s="83"/>
      <c r="D799" s="83"/>
      <c r="E799" s="83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83"/>
      <c r="Y799" s="83"/>
      <c r="Z799" s="83"/>
    </row>
    <row r="800">
      <c r="A800" s="83"/>
      <c r="B800" s="112"/>
      <c r="C800" s="83"/>
      <c r="D800" s="83"/>
      <c r="E800" s="83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83"/>
      <c r="Y800" s="83"/>
      <c r="Z800" s="83"/>
    </row>
    <row r="801">
      <c r="A801" s="83"/>
      <c r="B801" s="112"/>
      <c r="C801" s="83"/>
      <c r="D801" s="83"/>
      <c r="E801" s="83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83"/>
      <c r="Y801" s="83"/>
      <c r="Z801" s="83"/>
    </row>
    <row r="802">
      <c r="A802" s="83"/>
      <c r="B802" s="112"/>
      <c r="C802" s="83"/>
      <c r="D802" s="83"/>
      <c r="E802" s="83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83"/>
      <c r="Y802" s="83"/>
      <c r="Z802" s="83"/>
    </row>
    <row r="803">
      <c r="A803" s="83"/>
      <c r="B803" s="112"/>
      <c r="C803" s="83"/>
      <c r="D803" s="83"/>
      <c r="E803" s="83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83"/>
      <c r="Y803" s="83"/>
      <c r="Z803" s="83"/>
    </row>
    <row r="804">
      <c r="A804" s="83"/>
      <c r="B804" s="112"/>
      <c r="C804" s="83"/>
      <c r="D804" s="83"/>
      <c r="E804" s="83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83"/>
      <c r="Y804" s="83"/>
      <c r="Z804" s="83"/>
    </row>
    <row r="805">
      <c r="A805" s="83"/>
      <c r="B805" s="112"/>
      <c r="C805" s="83"/>
      <c r="D805" s="83"/>
      <c r="E805" s="83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83"/>
      <c r="Y805" s="83"/>
      <c r="Z805" s="83"/>
    </row>
    <row r="806">
      <c r="A806" s="83"/>
      <c r="B806" s="112"/>
      <c r="C806" s="83"/>
      <c r="D806" s="83"/>
      <c r="E806" s="83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83"/>
      <c r="Y806" s="83"/>
      <c r="Z806" s="83"/>
    </row>
    <row r="807">
      <c r="A807" s="83"/>
      <c r="B807" s="112"/>
      <c r="C807" s="83"/>
      <c r="D807" s="83"/>
      <c r="E807" s="83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83"/>
      <c r="Y807" s="83"/>
      <c r="Z807" s="83"/>
    </row>
    <row r="808">
      <c r="A808" s="83"/>
      <c r="B808" s="112"/>
      <c r="C808" s="83"/>
      <c r="D808" s="83"/>
      <c r="E808" s="83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83"/>
      <c r="Y808" s="83"/>
      <c r="Z808" s="83"/>
    </row>
    <row r="809">
      <c r="A809" s="83"/>
      <c r="B809" s="112"/>
      <c r="C809" s="83"/>
      <c r="D809" s="83"/>
      <c r="E809" s="83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83"/>
      <c r="Y809" s="83"/>
      <c r="Z809" s="83"/>
    </row>
    <row r="810">
      <c r="A810" s="83"/>
      <c r="B810" s="112"/>
      <c r="C810" s="83"/>
      <c r="D810" s="83"/>
      <c r="E810" s="83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83"/>
      <c r="Y810" s="83"/>
      <c r="Z810" s="83"/>
    </row>
    <row r="811">
      <c r="A811" s="83"/>
      <c r="B811" s="112"/>
      <c r="C811" s="83"/>
      <c r="D811" s="83"/>
      <c r="E811" s="83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83"/>
      <c r="Y811" s="83"/>
      <c r="Z811" s="83"/>
    </row>
    <row r="812">
      <c r="A812" s="83"/>
      <c r="B812" s="112"/>
      <c r="C812" s="83"/>
      <c r="D812" s="83"/>
      <c r="E812" s="83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83"/>
      <c r="Y812" s="83"/>
      <c r="Z812" s="83"/>
    </row>
    <row r="813">
      <c r="A813" s="83"/>
      <c r="B813" s="112"/>
      <c r="C813" s="83"/>
      <c r="D813" s="83"/>
      <c r="E813" s="83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83"/>
      <c r="Y813" s="83"/>
      <c r="Z813" s="83"/>
    </row>
    <row r="814">
      <c r="A814" s="83"/>
      <c r="B814" s="112"/>
      <c r="C814" s="83"/>
      <c r="D814" s="83"/>
      <c r="E814" s="83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83"/>
      <c r="Y814" s="83"/>
      <c r="Z814" s="83"/>
    </row>
    <row r="815">
      <c r="A815" s="83"/>
      <c r="B815" s="112"/>
      <c r="C815" s="83"/>
      <c r="D815" s="83"/>
      <c r="E815" s="83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83"/>
      <c r="Y815" s="83"/>
      <c r="Z815" s="83"/>
    </row>
    <row r="816">
      <c r="A816" s="83"/>
      <c r="B816" s="112"/>
      <c r="C816" s="83"/>
      <c r="D816" s="83"/>
      <c r="E816" s="83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83"/>
      <c r="Y816" s="83"/>
      <c r="Z816" s="83"/>
    </row>
    <row r="817">
      <c r="A817" s="83"/>
      <c r="B817" s="112"/>
      <c r="C817" s="83"/>
      <c r="D817" s="83"/>
      <c r="E817" s="83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83"/>
      <c r="Y817" s="83"/>
      <c r="Z817" s="83"/>
    </row>
    <row r="818">
      <c r="A818" s="83"/>
      <c r="B818" s="112"/>
      <c r="C818" s="83"/>
      <c r="D818" s="83"/>
      <c r="E818" s="83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83"/>
      <c r="Y818" s="83"/>
      <c r="Z818" s="83"/>
    </row>
    <row r="819">
      <c r="A819" s="83"/>
      <c r="B819" s="112"/>
      <c r="C819" s="83"/>
      <c r="D819" s="83"/>
      <c r="E819" s="83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83"/>
      <c r="Y819" s="83"/>
      <c r="Z819" s="83"/>
    </row>
    <row r="820">
      <c r="A820" s="83"/>
      <c r="B820" s="112"/>
      <c r="C820" s="83"/>
      <c r="D820" s="83"/>
      <c r="E820" s="83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83"/>
      <c r="Y820" s="83"/>
      <c r="Z820" s="83"/>
    </row>
    <row r="821">
      <c r="A821" s="83"/>
      <c r="B821" s="112"/>
      <c r="C821" s="83"/>
      <c r="D821" s="83"/>
      <c r="E821" s="83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83"/>
      <c r="Y821" s="83"/>
      <c r="Z821" s="83"/>
    </row>
    <row r="822">
      <c r="A822" s="83"/>
      <c r="B822" s="112"/>
      <c r="C822" s="83"/>
      <c r="D822" s="83"/>
      <c r="E822" s="83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83"/>
      <c r="Y822" s="83"/>
      <c r="Z822" s="83"/>
    </row>
    <row r="823">
      <c r="A823" s="83"/>
      <c r="B823" s="112"/>
      <c r="C823" s="83"/>
      <c r="D823" s="83"/>
      <c r="E823" s="83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83"/>
      <c r="Y823" s="83"/>
      <c r="Z823" s="83"/>
    </row>
    <row r="824">
      <c r="A824" s="83"/>
      <c r="B824" s="112"/>
      <c r="C824" s="83"/>
      <c r="D824" s="83"/>
      <c r="E824" s="83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83"/>
      <c r="Y824" s="83"/>
      <c r="Z824" s="83"/>
    </row>
    <row r="825">
      <c r="A825" s="83"/>
      <c r="B825" s="112"/>
      <c r="C825" s="83"/>
      <c r="D825" s="83"/>
      <c r="E825" s="83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83"/>
      <c r="Y825" s="83"/>
      <c r="Z825" s="83"/>
    </row>
    <row r="826">
      <c r="A826" s="83"/>
      <c r="B826" s="112"/>
      <c r="C826" s="83"/>
      <c r="D826" s="83"/>
      <c r="E826" s="83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83"/>
      <c r="Y826" s="83"/>
      <c r="Z826" s="83"/>
    </row>
    <row r="827">
      <c r="A827" s="83"/>
      <c r="B827" s="112"/>
      <c r="C827" s="83"/>
      <c r="D827" s="83"/>
      <c r="E827" s="83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83"/>
      <c r="Y827" s="83"/>
      <c r="Z827" s="83"/>
    </row>
    <row r="828">
      <c r="A828" s="83"/>
      <c r="B828" s="112"/>
      <c r="C828" s="83"/>
      <c r="D828" s="83"/>
      <c r="E828" s="83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83"/>
      <c r="Y828" s="83"/>
      <c r="Z828" s="83"/>
    </row>
    <row r="829">
      <c r="A829" s="83"/>
      <c r="B829" s="112"/>
      <c r="C829" s="83"/>
      <c r="D829" s="83"/>
      <c r="E829" s="83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83"/>
      <c r="Y829" s="83"/>
      <c r="Z829" s="83"/>
    </row>
    <row r="830">
      <c r="A830" s="83"/>
      <c r="B830" s="112"/>
      <c r="C830" s="83"/>
      <c r="D830" s="83"/>
      <c r="E830" s="83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83"/>
      <c r="Y830" s="83"/>
      <c r="Z830" s="83"/>
    </row>
    <row r="831">
      <c r="A831" s="83"/>
      <c r="B831" s="112"/>
      <c r="C831" s="83"/>
      <c r="D831" s="83"/>
      <c r="E831" s="83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83"/>
      <c r="Y831" s="83"/>
      <c r="Z831" s="83"/>
    </row>
    <row r="832">
      <c r="A832" s="83"/>
      <c r="B832" s="112"/>
      <c r="C832" s="83"/>
      <c r="D832" s="83"/>
      <c r="E832" s="83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83"/>
      <c r="Y832" s="83"/>
      <c r="Z832" s="83"/>
    </row>
    <row r="833">
      <c r="A833" s="83"/>
      <c r="B833" s="112"/>
      <c r="C833" s="83"/>
      <c r="D833" s="83"/>
      <c r="E833" s="83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83"/>
      <c r="Y833" s="83"/>
      <c r="Z833" s="83"/>
    </row>
    <row r="834">
      <c r="A834" s="83"/>
      <c r="B834" s="112"/>
      <c r="C834" s="83"/>
      <c r="D834" s="83"/>
      <c r="E834" s="83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83"/>
      <c r="Y834" s="83"/>
      <c r="Z834" s="83"/>
    </row>
    <row r="835">
      <c r="A835" s="83"/>
      <c r="B835" s="112"/>
      <c r="C835" s="83"/>
      <c r="D835" s="83"/>
      <c r="E835" s="83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83"/>
      <c r="Y835" s="83"/>
      <c r="Z835" s="83"/>
    </row>
    <row r="836">
      <c r="A836" s="83"/>
      <c r="B836" s="112"/>
      <c r="C836" s="83"/>
      <c r="D836" s="83"/>
      <c r="E836" s="83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83"/>
      <c r="Y836" s="83"/>
      <c r="Z836" s="83"/>
    </row>
    <row r="837">
      <c r="A837" s="83"/>
      <c r="B837" s="112"/>
      <c r="C837" s="83"/>
      <c r="D837" s="83"/>
      <c r="E837" s="83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83"/>
      <c r="Y837" s="83"/>
      <c r="Z837" s="83"/>
    </row>
    <row r="838">
      <c r="A838" s="83"/>
      <c r="B838" s="112"/>
      <c r="C838" s="83"/>
      <c r="D838" s="83"/>
      <c r="E838" s="83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83"/>
      <c r="Y838" s="83"/>
      <c r="Z838" s="83"/>
    </row>
    <row r="839">
      <c r="A839" s="83"/>
      <c r="B839" s="112"/>
      <c r="C839" s="83"/>
      <c r="D839" s="83"/>
      <c r="E839" s="83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83"/>
      <c r="Y839" s="83"/>
      <c r="Z839" s="83"/>
    </row>
    <row r="840">
      <c r="A840" s="83"/>
      <c r="B840" s="112"/>
      <c r="C840" s="83"/>
      <c r="D840" s="83"/>
      <c r="E840" s="83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83"/>
      <c r="Y840" s="83"/>
      <c r="Z840" s="83"/>
    </row>
    <row r="841">
      <c r="A841" s="83"/>
      <c r="B841" s="112"/>
      <c r="C841" s="83"/>
      <c r="D841" s="83"/>
      <c r="E841" s="83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83"/>
      <c r="Y841" s="83"/>
      <c r="Z841" s="83"/>
    </row>
    <row r="842">
      <c r="A842" s="83"/>
      <c r="B842" s="112"/>
      <c r="C842" s="83"/>
      <c r="D842" s="83"/>
      <c r="E842" s="83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83"/>
      <c r="Y842" s="83"/>
      <c r="Z842" s="83"/>
    </row>
    <row r="843">
      <c r="A843" s="83"/>
      <c r="B843" s="112"/>
      <c r="C843" s="83"/>
      <c r="D843" s="83"/>
      <c r="E843" s="83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83"/>
      <c r="Y843" s="83"/>
      <c r="Z843" s="83"/>
    </row>
    <row r="844">
      <c r="A844" s="83"/>
      <c r="B844" s="112"/>
      <c r="C844" s="83"/>
      <c r="D844" s="83"/>
      <c r="E844" s="83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83"/>
      <c r="Y844" s="83"/>
      <c r="Z844" s="83"/>
    </row>
    <row r="845">
      <c r="A845" s="83"/>
      <c r="B845" s="112"/>
      <c r="C845" s="83"/>
      <c r="D845" s="83"/>
      <c r="E845" s="83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83"/>
      <c r="Y845" s="83"/>
      <c r="Z845" s="83"/>
    </row>
    <row r="846">
      <c r="A846" s="83"/>
      <c r="B846" s="112"/>
      <c r="C846" s="83"/>
      <c r="D846" s="83"/>
      <c r="E846" s="83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83"/>
      <c r="Y846" s="83"/>
      <c r="Z846" s="83"/>
    </row>
    <row r="847">
      <c r="A847" s="83"/>
      <c r="B847" s="112"/>
      <c r="C847" s="83"/>
      <c r="D847" s="83"/>
      <c r="E847" s="83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83"/>
      <c r="Y847" s="83"/>
      <c r="Z847" s="83"/>
    </row>
    <row r="848">
      <c r="A848" s="83"/>
      <c r="B848" s="112"/>
      <c r="C848" s="83"/>
      <c r="D848" s="83"/>
      <c r="E848" s="83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83"/>
      <c r="Y848" s="83"/>
      <c r="Z848" s="83"/>
    </row>
    <row r="849">
      <c r="A849" s="83"/>
      <c r="B849" s="112"/>
      <c r="C849" s="83"/>
      <c r="D849" s="83"/>
      <c r="E849" s="83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83"/>
      <c r="Y849" s="83"/>
      <c r="Z849" s="83"/>
    </row>
    <row r="850">
      <c r="A850" s="83"/>
      <c r="B850" s="112"/>
      <c r="C850" s="83"/>
      <c r="D850" s="83"/>
      <c r="E850" s="83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83"/>
      <c r="Y850" s="83"/>
      <c r="Z850" s="83"/>
    </row>
    <row r="851">
      <c r="A851" s="83"/>
      <c r="B851" s="112"/>
      <c r="C851" s="83"/>
      <c r="D851" s="83"/>
      <c r="E851" s="83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83"/>
      <c r="Y851" s="83"/>
      <c r="Z851" s="83"/>
    </row>
    <row r="852">
      <c r="A852" s="83"/>
      <c r="B852" s="112"/>
      <c r="C852" s="83"/>
      <c r="D852" s="83"/>
      <c r="E852" s="83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83"/>
      <c r="Y852" s="83"/>
      <c r="Z852" s="83"/>
    </row>
    <row r="853">
      <c r="A853" s="83"/>
      <c r="B853" s="112"/>
      <c r="C853" s="83"/>
      <c r="D853" s="83"/>
      <c r="E853" s="83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83"/>
      <c r="Y853" s="83"/>
      <c r="Z853" s="83"/>
    </row>
    <row r="854">
      <c r="A854" s="83"/>
      <c r="B854" s="112"/>
      <c r="C854" s="83"/>
      <c r="D854" s="83"/>
      <c r="E854" s="83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83"/>
      <c r="Y854" s="83"/>
      <c r="Z854" s="83"/>
    </row>
    <row r="855">
      <c r="A855" s="83"/>
      <c r="B855" s="112"/>
      <c r="C855" s="83"/>
      <c r="D855" s="83"/>
      <c r="E855" s="83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83"/>
      <c r="Y855" s="83"/>
      <c r="Z855" s="83"/>
    </row>
    <row r="856">
      <c r="A856" s="83"/>
      <c r="B856" s="112"/>
      <c r="C856" s="83"/>
      <c r="D856" s="83"/>
      <c r="E856" s="83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83"/>
      <c r="Y856" s="83"/>
      <c r="Z856" s="83"/>
    </row>
    <row r="857">
      <c r="A857" s="83"/>
      <c r="B857" s="112"/>
      <c r="C857" s="83"/>
      <c r="D857" s="83"/>
      <c r="E857" s="83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83"/>
      <c r="Y857" s="83"/>
      <c r="Z857" s="83"/>
    </row>
    <row r="858">
      <c r="A858" s="83"/>
      <c r="B858" s="112"/>
      <c r="C858" s="83"/>
      <c r="D858" s="83"/>
      <c r="E858" s="83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83"/>
      <c r="Y858" s="83"/>
      <c r="Z858" s="83"/>
    </row>
    <row r="859">
      <c r="A859" s="83"/>
      <c r="B859" s="112"/>
      <c r="C859" s="83"/>
      <c r="D859" s="83"/>
      <c r="E859" s="83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83"/>
      <c r="Y859" s="83"/>
      <c r="Z859" s="83"/>
    </row>
    <row r="860">
      <c r="A860" s="83"/>
      <c r="B860" s="112"/>
      <c r="C860" s="83"/>
      <c r="D860" s="83"/>
      <c r="E860" s="83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83"/>
      <c r="Y860" s="83"/>
      <c r="Z860" s="83"/>
    </row>
    <row r="861">
      <c r="A861" s="83"/>
      <c r="B861" s="112"/>
      <c r="C861" s="83"/>
      <c r="D861" s="83"/>
      <c r="E861" s="83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83"/>
      <c r="Y861" s="83"/>
      <c r="Z861" s="83"/>
    </row>
    <row r="862">
      <c r="A862" s="83"/>
      <c r="B862" s="112"/>
      <c r="C862" s="83"/>
      <c r="D862" s="83"/>
      <c r="E862" s="83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83"/>
      <c r="Y862" s="83"/>
      <c r="Z862" s="83"/>
    </row>
    <row r="863">
      <c r="A863" s="83"/>
      <c r="B863" s="112"/>
      <c r="C863" s="83"/>
      <c r="D863" s="83"/>
      <c r="E863" s="83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83"/>
      <c r="Y863" s="83"/>
      <c r="Z863" s="83"/>
    </row>
    <row r="864">
      <c r="A864" s="83"/>
      <c r="B864" s="112"/>
      <c r="C864" s="83"/>
      <c r="D864" s="83"/>
      <c r="E864" s="83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83"/>
      <c r="Y864" s="83"/>
      <c r="Z864" s="83"/>
    </row>
    <row r="865">
      <c r="A865" s="83"/>
      <c r="B865" s="112"/>
      <c r="C865" s="83"/>
      <c r="D865" s="83"/>
      <c r="E865" s="83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83"/>
      <c r="Y865" s="83"/>
      <c r="Z865" s="83"/>
    </row>
    <row r="866">
      <c r="A866" s="83"/>
      <c r="B866" s="112"/>
      <c r="C866" s="83"/>
      <c r="D866" s="83"/>
      <c r="E866" s="83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83"/>
      <c r="Y866" s="83"/>
      <c r="Z866" s="83"/>
    </row>
    <row r="867">
      <c r="A867" s="83"/>
      <c r="B867" s="112"/>
      <c r="C867" s="83"/>
      <c r="D867" s="83"/>
      <c r="E867" s="83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83"/>
      <c r="Y867" s="83"/>
      <c r="Z867" s="83"/>
    </row>
    <row r="868">
      <c r="A868" s="83"/>
      <c r="B868" s="112"/>
      <c r="C868" s="83"/>
      <c r="D868" s="83"/>
      <c r="E868" s="83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83"/>
      <c r="Y868" s="83"/>
      <c r="Z868" s="83"/>
    </row>
    <row r="869">
      <c r="A869" s="83"/>
      <c r="B869" s="112"/>
      <c r="C869" s="83"/>
      <c r="D869" s="83"/>
      <c r="E869" s="83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83"/>
      <c r="Y869" s="83"/>
      <c r="Z869" s="83"/>
    </row>
    <row r="870">
      <c r="A870" s="83"/>
      <c r="B870" s="112"/>
      <c r="C870" s="83"/>
      <c r="D870" s="83"/>
      <c r="E870" s="83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83"/>
      <c r="Y870" s="83"/>
      <c r="Z870" s="83"/>
    </row>
    <row r="871">
      <c r="A871" s="83"/>
      <c r="B871" s="112"/>
      <c r="C871" s="83"/>
      <c r="D871" s="83"/>
      <c r="E871" s="83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83"/>
      <c r="Y871" s="83"/>
      <c r="Z871" s="83"/>
    </row>
    <row r="872">
      <c r="A872" s="83"/>
      <c r="B872" s="112"/>
      <c r="C872" s="83"/>
      <c r="D872" s="83"/>
      <c r="E872" s="83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83"/>
      <c r="Y872" s="83"/>
      <c r="Z872" s="83"/>
    </row>
    <row r="873">
      <c r="A873" s="83"/>
      <c r="B873" s="112"/>
      <c r="C873" s="83"/>
      <c r="D873" s="83"/>
      <c r="E873" s="83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83"/>
      <c r="Y873" s="83"/>
      <c r="Z873" s="83"/>
    </row>
    <row r="874">
      <c r="A874" s="83"/>
      <c r="B874" s="112"/>
      <c r="C874" s="83"/>
      <c r="D874" s="83"/>
      <c r="E874" s="83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83"/>
      <c r="Y874" s="83"/>
      <c r="Z874" s="83"/>
    </row>
    <row r="875">
      <c r="A875" s="83"/>
      <c r="B875" s="112"/>
      <c r="C875" s="83"/>
      <c r="D875" s="83"/>
      <c r="E875" s="83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83"/>
      <c r="Y875" s="83"/>
      <c r="Z875" s="83"/>
    </row>
    <row r="876">
      <c r="A876" s="83"/>
      <c r="B876" s="112"/>
      <c r="C876" s="83"/>
      <c r="D876" s="83"/>
      <c r="E876" s="83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83"/>
      <c r="Y876" s="83"/>
      <c r="Z876" s="83"/>
    </row>
    <row r="877">
      <c r="A877" s="83"/>
      <c r="B877" s="112"/>
      <c r="C877" s="83"/>
      <c r="D877" s="83"/>
      <c r="E877" s="83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83"/>
      <c r="Y877" s="83"/>
      <c r="Z877" s="83"/>
    </row>
    <row r="878">
      <c r="A878" s="83"/>
      <c r="B878" s="112"/>
      <c r="C878" s="83"/>
      <c r="D878" s="83"/>
      <c r="E878" s="83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83"/>
      <c r="Y878" s="83"/>
      <c r="Z878" s="83"/>
    </row>
    <row r="879">
      <c r="A879" s="83"/>
      <c r="B879" s="112"/>
      <c r="C879" s="83"/>
      <c r="D879" s="83"/>
      <c r="E879" s="83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83"/>
      <c r="Y879" s="83"/>
      <c r="Z879" s="83"/>
    </row>
    <row r="880">
      <c r="A880" s="83"/>
      <c r="B880" s="112"/>
      <c r="C880" s="83"/>
      <c r="D880" s="83"/>
      <c r="E880" s="83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83"/>
      <c r="Y880" s="83"/>
      <c r="Z880" s="83"/>
    </row>
    <row r="881">
      <c r="A881" s="83"/>
      <c r="B881" s="112"/>
      <c r="C881" s="83"/>
      <c r="D881" s="83"/>
      <c r="E881" s="83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83"/>
      <c r="Y881" s="83"/>
      <c r="Z881" s="83"/>
    </row>
    <row r="882">
      <c r="A882" s="83"/>
      <c r="B882" s="112"/>
      <c r="C882" s="83"/>
      <c r="D882" s="83"/>
      <c r="E882" s="83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83"/>
      <c r="Y882" s="83"/>
      <c r="Z882" s="83"/>
    </row>
    <row r="883">
      <c r="A883" s="83"/>
      <c r="B883" s="112"/>
      <c r="C883" s="83"/>
      <c r="D883" s="83"/>
      <c r="E883" s="83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83"/>
      <c r="Y883" s="83"/>
      <c r="Z883" s="83"/>
    </row>
    <row r="884">
      <c r="A884" s="83"/>
      <c r="B884" s="112"/>
      <c r="C884" s="83"/>
      <c r="D884" s="83"/>
      <c r="E884" s="83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83"/>
      <c r="Y884" s="83"/>
      <c r="Z884" s="83"/>
    </row>
    <row r="885">
      <c r="A885" s="83"/>
      <c r="B885" s="112"/>
      <c r="C885" s="83"/>
      <c r="D885" s="83"/>
      <c r="E885" s="83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83"/>
      <c r="Y885" s="83"/>
      <c r="Z885" s="83"/>
    </row>
    <row r="886">
      <c r="A886" s="83"/>
      <c r="B886" s="112"/>
      <c r="C886" s="83"/>
      <c r="D886" s="83"/>
      <c r="E886" s="83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83"/>
      <c r="Y886" s="83"/>
      <c r="Z886" s="83"/>
    </row>
    <row r="887">
      <c r="A887" s="83"/>
      <c r="B887" s="112"/>
      <c r="C887" s="83"/>
      <c r="D887" s="83"/>
      <c r="E887" s="83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83"/>
      <c r="Y887" s="83"/>
      <c r="Z887" s="83"/>
    </row>
    <row r="888">
      <c r="A888" s="83"/>
      <c r="B888" s="112"/>
      <c r="C888" s="83"/>
      <c r="D888" s="83"/>
      <c r="E888" s="83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83"/>
      <c r="Y888" s="83"/>
      <c r="Z888" s="83"/>
    </row>
    <row r="889">
      <c r="A889" s="83"/>
      <c r="B889" s="112"/>
      <c r="C889" s="83"/>
      <c r="D889" s="83"/>
      <c r="E889" s="83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83"/>
      <c r="Y889" s="83"/>
      <c r="Z889" s="83"/>
    </row>
    <row r="890">
      <c r="A890" s="83"/>
      <c r="B890" s="112"/>
      <c r="C890" s="83"/>
      <c r="D890" s="83"/>
      <c r="E890" s="83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83"/>
      <c r="Y890" s="83"/>
      <c r="Z890" s="83"/>
    </row>
    <row r="891">
      <c r="A891" s="83"/>
      <c r="B891" s="112"/>
      <c r="C891" s="83"/>
      <c r="D891" s="83"/>
      <c r="E891" s="83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83"/>
      <c r="Y891" s="83"/>
      <c r="Z891" s="83"/>
    </row>
    <row r="892">
      <c r="A892" s="83"/>
      <c r="B892" s="112"/>
      <c r="C892" s="83"/>
      <c r="D892" s="83"/>
      <c r="E892" s="83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83"/>
      <c r="Y892" s="83"/>
      <c r="Z892" s="83"/>
    </row>
    <row r="893">
      <c r="A893" s="83"/>
      <c r="B893" s="112"/>
      <c r="C893" s="83"/>
      <c r="D893" s="83"/>
      <c r="E893" s="83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83"/>
      <c r="Y893" s="83"/>
      <c r="Z893" s="83"/>
    </row>
    <row r="894">
      <c r="A894" s="83"/>
      <c r="B894" s="112"/>
      <c r="C894" s="83"/>
      <c r="D894" s="83"/>
      <c r="E894" s="83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83"/>
      <c r="Y894" s="83"/>
      <c r="Z894" s="83"/>
    </row>
    <row r="895">
      <c r="A895" s="83"/>
      <c r="B895" s="112"/>
      <c r="C895" s="83"/>
      <c r="D895" s="83"/>
      <c r="E895" s="83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83"/>
      <c r="Y895" s="83"/>
      <c r="Z895" s="83"/>
    </row>
    <row r="896">
      <c r="A896" s="83"/>
      <c r="B896" s="112"/>
      <c r="C896" s="83"/>
      <c r="D896" s="83"/>
      <c r="E896" s="83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83"/>
      <c r="Y896" s="83"/>
      <c r="Z896" s="83"/>
    </row>
    <row r="897">
      <c r="A897" s="83"/>
      <c r="B897" s="112"/>
      <c r="C897" s="83"/>
      <c r="D897" s="83"/>
      <c r="E897" s="83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83"/>
      <c r="Y897" s="83"/>
      <c r="Z897" s="83"/>
    </row>
    <row r="898">
      <c r="A898" s="83"/>
      <c r="B898" s="112"/>
      <c r="C898" s="83"/>
      <c r="D898" s="83"/>
      <c r="E898" s="83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83"/>
      <c r="Y898" s="83"/>
      <c r="Z898" s="83"/>
    </row>
    <row r="899">
      <c r="A899" s="83"/>
      <c r="B899" s="112"/>
      <c r="C899" s="83"/>
      <c r="D899" s="83"/>
      <c r="E899" s="83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83"/>
      <c r="Y899" s="83"/>
      <c r="Z899" s="83"/>
    </row>
    <row r="900">
      <c r="A900" s="83"/>
      <c r="B900" s="112"/>
      <c r="C900" s="83"/>
      <c r="D900" s="83"/>
      <c r="E900" s="83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83"/>
      <c r="Y900" s="83"/>
      <c r="Z900" s="83"/>
    </row>
    <row r="901">
      <c r="A901" s="83"/>
      <c r="B901" s="112"/>
      <c r="C901" s="83"/>
      <c r="D901" s="83"/>
      <c r="E901" s="83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83"/>
      <c r="Y901" s="83"/>
      <c r="Z901" s="83"/>
    </row>
    <row r="902">
      <c r="A902" s="83"/>
      <c r="B902" s="112"/>
      <c r="C902" s="83"/>
      <c r="D902" s="83"/>
      <c r="E902" s="83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83"/>
      <c r="Y902" s="83"/>
      <c r="Z902" s="83"/>
    </row>
    <row r="903">
      <c r="A903" s="83"/>
      <c r="B903" s="112"/>
      <c r="C903" s="83"/>
      <c r="D903" s="83"/>
      <c r="E903" s="83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83"/>
      <c r="Y903" s="83"/>
      <c r="Z903" s="83"/>
    </row>
    <row r="904">
      <c r="A904" s="83"/>
      <c r="B904" s="112"/>
      <c r="C904" s="83"/>
      <c r="D904" s="83"/>
      <c r="E904" s="83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83"/>
      <c r="Y904" s="83"/>
      <c r="Z904" s="83"/>
    </row>
    <row r="905">
      <c r="A905" s="83"/>
      <c r="B905" s="112"/>
      <c r="C905" s="83"/>
      <c r="D905" s="83"/>
      <c r="E905" s="83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83"/>
      <c r="Y905" s="83"/>
      <c r="Z905" s="83"/>
    </row>
    <row r="906">
      <c r="A906" s="83"/>
      <c r="B906" s="112"/>
      <c r="C906" s="83"/>
      <c r="D906" s="83"/>
      <c r="E906" s="83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83"/>
      <c r="Y906" s="83"/>
      <c r="Z906" s="83"/>
    </row>
    <row r="907">
      <c r="A907" s="83"/>
      <c r="B907" s="112"/>
      <c r="C907" s="83"/>
      <c r="D907" s="83"/>
      <c r="E907" s="83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83"/>
      <c r="Y907" s="83"/>
      <c r="Z907" s="83"/>
    </row>
    <row r="908">
      <c r="A908" s="83"/>
      <c r="B908" s="112"/>
      <c r="C908" s="83"/>
      <c r="D908" s="83"/>
      <c r="E908" s="83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83"/>
      <c r="Y908" s="83"/>
      <c r="Z908" s="83"/>
    </row>
    <row r="909">
      <c r="A909" s="83"/>
      <c r="B909" s="112"/>
      <c r="C909" s="83"/>
      <c r="D909" s="83"/>
      <c r="E909" s="83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83"/>
      <c r="Y909" s="83"/>
      <c r="Z909" s="83"/>
    </row>
    <row r="910">
      <c r="A910" s="83"/>
      <c r="B910" s="112"/>
      <c r="C910" s="83"/>
      <c r="D910" s="83"/>
      <c r="E910" s="83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83"/>
      <c r="Y910" s="83"/>
      <c r="Z910" s="83"/>
    </row>
    <row r="911">
      <c r="A911" s="83"/>
      <c r="B911" s="112"/>
      <c r="C911" s="83"/>
      <c r="D911" s="83"/>
      <c r="E911" s="83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83"/>
      <c r="Y911" s="83"/>
      <c r="Z911" s="83"/>
    </row>
    <row r="912">
      <c r="A912" s="83"/>
      <c r="B912" s="112"/>
      <c r="C912" s="83"/>
      <c r="D912" s="83"/>
      <c r="E912" s="83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83"/>
      <c r="Y912" s="83"/>
      <c r="Z912" s="83"/>
    </row>
    <row r="913">
      <c r="A913" s="83"/>
      <c r="B913" s="112"/>
      <c r="C913" s="83"/>
      <c r="D913" s="83"/>
      <c r="E913" s="83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83"/>
      <c r="Y913" s="83"/>
      <c r="Z913" s="83"/>
    </row>
    <row r="914">
      <c r="A914" s="83"/>
      <c r="B914" s="112"/>
      <c r="C914" s="83"/>
      <c r="D914" s="83"/>
      <c r="E914" s="83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83"/>
      <c r="Y914" s="83"/>
      <c r="Z914" s="83"/>
    </row>
    <row r="915">
      <c r="A915" s="83"/>
      <c r="B915" s="112"/>
      <c r="C915" s="83"/>
      <c r="D915" s="83"/>
      <c r="E915" s="83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83"/>
      <c r="Y915" s="83"/>
      <c r="Z915" s="83"/>
    </row>
    <row r="916">
      <c r="A916" s="83"/>
      <c r="B916" s="112"/>
      <c r="C916" s="83"/>
      <c r="D916" s="83"/>
      <c r="E916" s="83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83"/>
      <c r="Y916" s="83"/>
      <c r="Z916" s="83"/>
    </row>
    <row r="917">
      <c r="A917" s="83"/>
      <c r="B917" s="112"/>
      <c r="C917" s="83"/>
      <c r="D917" s="83"/>
      <c r="E917" s="83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83"/>
      <c r="Y917" s="83"/>
      <c r="Z917" s="83"/>
    </row>
    <row r="918">
      <c r="A918" s="83"/>
      <c r="B918" s="112"/>
      <c r="C918" s="83"/>
      <c r="D918" s="83"/>
      <c r="E918" s="83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83"/>
      <c r="Y918" s="83"/>
      <c r="Z918" s="83"/>
    </row>
    <row r="919">
      <c r="A919" s="83"/>
      <c r="B919" s="112"/>
      <c r="C919" s="83"/>
      <c r="D919" s="83"/>
      <c r="E919" s="83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83"/>
      <c r="Y919" s="83"/>
      <c r="Z919" s="83"/>
    </row>
    <row r="920">
      <c r="A920" s="83"/>
      <c r="B920" s="112"/>
      <c r="C920" s="83"/>
      <c r="D920" s="83"/>
      <c r="E920" s="83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83"/>
      <c r="Y920" s="83"/>
      <c r="Z920" s="83"/>
    </row>
    <row r="921">
      <c r="A921" s="83"/>
      <c r="B921" s="112"/>
      <c r="C921" s="83"/>
      <c r="D921" s="83"/>
      <c r="E921" s="83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83"/>
      <c r="Y921" s="83"/>
      <c r="Z921" s="83"/>
    </row>
    <row r="922">
      <c r="A922" s="83"/>
      <c r="B922" s="112"/>
      <c r="C922" s="83"/>
      <c r="D922" s="83"/>
      <c r="E922" s="83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83"/>
      <c r="Y922" s="83"/>
      <c r="Z922" s="83"/>
    </row>
    <row r="923">
      <c r="A923" s="83"/>
      <c r="B923" s="112"/>
      <c r="C923" s="83"/>
      <c r="D923" s="83"/>
      <c r="E923" s="83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83"/>
      <c r="Y923" s="83"/>
      <c r="Z923" s="83"/>
    </row>
    <row r="924">
      <c r="A924" s="83"/>
      <c r="B924" s="112"/>
      <c r="C924" s="83"/>
      <c r="D924" s="83"/>
      <c r="E924" s="83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83"/>
      <c r="Y924" s="83"/>
      <c r="Z924" s="83"/>
    </row>
    <row r="925">
      <c r="A925" s="83"/>
      <c r="B925" s="112"/>
      <c r="C925" s="83"/>
      <c r="D925" s="83"/>
      <c r="E925" s="83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83"/>
      <c r="Y925" s="83"/>
      <c r="Z925" s="83"/>
    </row>
    <row r="926">
      <c r="A926" s="83"/>
      <c r="B926" s="112"/>
      <c r="C926" s="83"/>
      <c r="D926" s="83"/>
      <c r="E926" s="83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83"/>
      <c r="Y926" s="83"/>
      <c r="Z926" s="83"/>
    </row>
    <row r="927">
      <c r="A927" s="83"/>
      <c r="B927" s="112"/>
      <c r="C927" s="83"/>
      <c r="D927" s="83"/>
      <c r="E927" s="83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83"/>
      <c r="Y927" s="83"/>
      <c r="Z927" s="83"/>
    </row>
    <row r="928">
      <c r="A928" s="83"/>
      <c r="B928" s="112"/>
      <c r="C928" s="83"/>
      <c r="D928" s="83"/>
      <c r="E928" s="83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83"/>
      <c r="Y928" s="83"/>
      <c r="Z928" s="83"/>
    </row>
    <row r="929">
      <c r="A929" s="83"/>
      <c r="B929" s="112"/>
      <c r="C929" s="83"/>
      <c r="D929" s="83"/>
      <c r="E929" s="83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83"/>
      <c r="Y929" s="83"/>
      <c r="Z929" s="83"/>
    </row>
    <row r="930">
      <c r="A930" s="83"/>
      <c r="B930" s="112"/>
      <c r="C930" s="83"/>
      <c r="D930" s="83"/>
      <c r="E930" s="83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83"/>
      <c r="Y930" s="83"/>
      <c r="Z930" s="83"/>
    </row>
    <row r="931">
      <c r="A931" s="83"/>
      <c r="B931" s="112"/>
      <c r="C931" s="83"/>
      <c r="D931" s="83"/>
      <c r="E931" s="83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83"/>
      <c r="Y931" s="83"/>
      <c r="Z931" s="83"/>
    </row>
    <row r="932">
      <c r="A932" s="83"/>
      <c r="B932" s="112"/>
      <c r="C932" s="83"/>
      <c r="D932" s="83"/>
      <c r="E932" s="83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83"/>
      <c r="Y932" s="83"/>
      <c r="Z932" s="83"/>
    </row>
    <row r="933">
      <c r="A933" s="83"/>
      <c r="B933" s="112"/>
      <c r="C933" s="83"/>
      <c r="D933" s="83"/>
      <c r="E933" s="83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83"/>
      <c r="Y933" s="83"/>
      <c r="Z933" s="83"/>
    </row>
    <row r="934">
      <c r="A934" s="83"/>
      <c r="B934" s="112"/>
      <c r="C934" s="83"/>
      <c r="D934" s="83"/>
      <c r="E934" s="83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83"/>
      <c r="Y934" s="83"/>
      <c r="Z934" s="83"/>
    </row>
    <row r="935">
      <c r="A935" s="83"/>
      <c r="B935" s="112"/>
      <c r="C935" s="83"/>
      <c r="D935" s="83"/>
      <c r="E935" s="83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83"/>
      <c r="Y935" s="83"/>
      <c r="Z935" s="83"/>
    </row>
    <row r="936">
      <c r="A936" s="83"/>
      <c r="B936" s="112"/>
      <c r="C936" s="83"/>
      <c r="D936" s="83"/>
      <c r="E936" s="83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83"/>
      <c r="Y936" s="83"/>
      <c r="Z936" s="83"/>
    </row>
    <row r="937">
      <c r="A937" s="83"/>
      <c r="B937" s="112"/>
      <c r="C937" s="83"/>
      <c r="D937" s="83"/>
      <c r="E937" s="83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83"/>
      <c r="Y937" s="83"/>
      <c r="Z937" s="83"/>
    </row>
    <row r="938">
      <c r="A938" s="83"/>
      <c r="B938" s="112"/>
      <c r="C938" s="83"/>
      <c r="D938" s="83"/>
      <c r="E938" s="83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83"/>
      <c r="Y938" s="83"/>
      <c r="Z938" s="83"/>
    </row>
    <row r="939">
      <c r="A939" s="83"/>
      <c r="B939" s="112"/>
      <c r="C939" s="83"/>
      <c r="D939" s="83"/>
      <c r="E939" s="83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83"/>
      <c r="Y939" s="83"/>
      <c r="Z939" s="83"/>
    </row>
    <row r="940">
      <c r="A940" s="83"/>
      <c r="B940" s="112"/>
      <c r="C940" s="83"/>
      <c r="D940" s="83"/>
      <c r="E940" s="83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83"/>
      <c r="Y940" s="83"/>
      <c r="Z940" s="83"/>
    </row>
    <row r="941">
      <c r="A941" s="83"/>
      <c r="B941" s="112"/>
      <c r="C941" s="83"/>
      <c r="D941" s="83"/>
      <c r="E941" s="83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83"/>
      <c r="Y941" s="83"/>
      <c r="Z941" s="83"/>
    </row>
    <row r="942">
      <c r="A942" s="83"/>
      <c r="B942" s="112"/>
      <c r="C942" s="83"/>
      <c r="D942" s="83"/>
      <c r="E942" s="83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83"/>
      <c r="Y942" s="83"/>
      <c r="Z942" s="83"/>
    </row>
    <row r="943">
      <c r="A943" s="83"/>
      <c r="B943" s="112"/>
      <c r="C943" s="83"/>
      <c r="D943" s="83"/>
      <c r="E943" s="83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83"/>
      <c r="Y943" s="83"/>
      <c r="Z943" s="83"/>
    </row>
    <row r="944">
      <c r="A944" s="83"/>
      <c r="B944" s="112"/>
      <c r="C944" s="83"/>
      <c r="D944" s="83"/>
      <c r="E944" s="83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83"/>
      <c r="Y944" s="83"/>
      <c r="Z944" s="83"/>
    </row>
    <row r="945">
      <c r="A945" s="83"/>
      <c r="B945" s="112"/>
      <c r="C945" s="83"/>
      <c r="D945" s="83"/>
      <c r="E945" s="83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83"/>
      <c r="Y945" s="83"/>
      <c r="Z945" s="83"/>
    </row>
    <row r="946">
      <c r="A946" s="83"/>
      <c r="B946" s="112"/>
      <c r="C946" s="83"/>
      <c r="D946" s="83"/>
      <c r="E946" s="83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83"/>
      <c r="Y946" s="83"/>
      <c r="Z946" s="83"/>
    </row>
    <row r="947">
      <c r="A947" s="83"/>
      <c r="B947" s="112"/>
      <c r="C947" s="83"/>
      <c r="D947" s="83"/>
      <c r="E947" s="83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83"/>
      <c r="Y947" s="83"/>
      <c r="Z947" s="83"/>
    </row>
    <row r="948">
      <c r="A948" s="83"/>
      <c r="B948" s="112"/>
      <c r="C948" s="83"/>
      <c r="D948" s="83"/>
      <c r="E948" s="83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83"/>
      <c r="Y948" s="83"/>
      <c r="Z948" s="83"/>
    </row>
    <row r="949">
      <c r="A949" s="83"/>
      <c r="B949" s="112"/>
      <c r="C949" s="83"/>
      <c r="D949" s="83"/>
      <c r="E949" s="83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83"/>
      <c r="Y949" s="83"/>
      <c r="Z949" s="83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6.5"/>
    <col customWidth="1" min="2" max="2" width="14.38"/>
  </cols>
  <sheetData>
    <row r="1">
      <c r="A1" s="7"/>
      <c r="B1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37.25"/>
    <col customWidth="1" min="4" max="4" width="18.13"/>
  </cols>
  <sheetData>
    <row r="1">
      <c r="A1" s="115" t="s">
        <v>259</v>
      </c>
      <c r="B1" s="115"/>
      <c r="C1" s="116"/>
      <c r="D1" s="117"/>
    </row>
    <row r="2">
      <c r="A2" s="118" t="s">
        <v>260</v>
      </c>
      <c r="B2" s="118" t="s">
        <v>261</v>
      </c>
      <c r="C2" s="116" t="s">
        <v>198</v>
      </c>
      <c r="D2" s="116" t="s">
        <v>262</v>
      </c>
    </row>
    <row r="3">
      <c r="A3" s="119" t="s">
        <v>263</v>
      </c>
      <c r="B3" s="119" t="s">
        <v>264</v>
      </c>
      <c r="C3" s="117">
        <f>Configurations!B2</f>
        <v>18.82</v>
      </c>
      <c r="D3" s="77" t="s">
        <v>265</v>
      </c>
    </row>
    <row r="4">
      <c r="A4" s="119" t="s">
        <v>266</v>
      </c>
      <c r="B4" s="120" t="s">
        <v>267</v>
      </c>
      <c r="C4" s="117">
        <f>Configurations!B4</f>
        <v>10.63</v>
      </c>
      <c r="D4" s="77" t="s">
        <v>265</v>
      </c>
      <c r="E4" s="80"/>
    </row>
    <row r="5">
      <c r="A5" s="119" t="s">
        <v>268</v>
      </c>
      <c r="B5" s="119" t="s">
        <v>269</v>
      </c>
      <c r="C5" s="117" t="str">
        <f>#REF!</f>
        <v>#REF!</v>
      </c>
      <c r="D5" s="77" t="s">
        <v>270</v>
      </c>
    </row>
    <row r="6">
      <c r="A6" s="119" t="s">
        <v>271</v>
      </c>
      <c r="B6" s="119" t="s">
        <v>272</v>
      </c>
      <c r="C6" s="121">
        <f>Structures!B125</f>
        <v>228.2083666</v>
      </c>
      <c r="D6" s="77" t="s">
        <v>265</v>
      </c>
    </row>
    <row r="7">
      <c r="A7" s="119" t="s">
        <v>273</v>
      </c>
      <c r="B7" s="120" t="s">
        <v>274</v>
      </c>
      <c r="C7" s="122">
        <f>Structures!B97</f>
        <v>35.951723</v>
      </c>
      <c r="D7" s="77" t="s">
        <v>275</v>
      </c>
      <c r="E7" s="80"/>
    </row>
    <row r="8">
      <c r="A8" s="119" t="s">
        <v>276</v>
      </c>
      <c r="B8" s="120" t="s">
        <v>277</v>
      </c>
      <c r="C8" s="123">
        <f>Structures!B138</f>
        <v>5</v>
      </c>
      <c r="D8" s="77" t="s">
        <v>275</v>
      </c>
    </row>
    <row r="9">
      <c r="A9" s="119" t="s">
        <v>278</v>
      </c>
      <c r="B9" s="124" t="s">
        <v>279</v>
      </c>
      <c r="C9" s="77">
        <f>Configurations!B39/2</f>
        <v>0.3555</v>
      </c>
      <c r="D9" s="77" t="s">
        <v>265</v>
      </c>
    </row>
    <row r="10">
      <c r="A10" s="119" t="s">
        <v>280</v>
      </c>
      <c r="B10" s="119" t="s">
        <v>280</v>
      </c>
      <c r="C10" s="77">
        <v>9.81</v>
      </c>
      <c r="D10" s="77" t="s">
        <v>281</v>
      </c>
    </row>
    <row r="11">
      <c r="A11" s="119" t="s">
        <v>282</v>
      </c>
      <c r="B11" s="119" t="s">
        <v>283</v>
      </c>
      <c r="C11" s="117">
        <f>(1/12)*C7*(C4)^2</f>
        <v>338.5361041</v>
      </c>
      <c r="D11" s="77" t="s">
        <v>284</v>
      </c>
    </row>
    <row r="12">
      <c r="A12" s="119" t="s">
        <v>285</v>
      </c>
      <c r="B12" s="119" t="s">
        <v>286</v>
      </c>
      <c r="C12" s="117">
        <f>0.5*C8*C9^2</f>
        <v>0.315950625</v>
      </c>
      <c r="D12" s="77" t="s">
        <v>284</v>
      </c>
    </row>
    <row r="13">
      <c r="A13" s="119" t="s">
        <v>287</v>
      </c>
      <c r="B13" s="119" t="s">
        <v>288</v>
      </c>
      <c r="C13" s="117">
        <f>C12+C11</f>
        <v>338.8520547</v>
      </c>
      <c r="D13" s="77" t="s">
        <v>284</v>
      </c>
    </row>
    <row r="14">
      <c r="A14" s="119" t="s">
        <v>289</v>
      </c>
      <c r="B14" s="119" t="s">
        <v>290</v>
      </c>
      <c r="C14" s="77">
        <v>1.28</v>
      </c>
      <c r="D14" s="77" t="s">
        <v>291</v>
      </c>
    </row>
    <row r="15">
      <c r="A15" s="119" t="s">
        <v>292</v>
      </c>
      <c r="B15" s="119" t="s">
        <v>293</v>
      </c>
      <c r="C15" s="33">
        <f>Configurations!B26</f>
        <v>0.999942571</v>
      </c>
      <c r="D15" s="77" t="s">
        <v>294</v>
      </c>
    </row>
    <row r="16">
      <c r="A16" s="119" t="s">
        <v>295</v>
      </c>
      <c r="B16" s="119" t="s">
        <v>295</v>
      </c>
      <c r="C16" s="77">
        <v>1.225</v>
      </c>
      <c r="D16" s="77" t="s">
        <v>291</v>
      </c>
    </row>
    <row r="17">
      <c r="A17" s="119" t="s">
        <v>296</v>
      </c>
      <c r="B17" s="119" t="s">
        <v>297</v>
      </c>
      <c r="C17" s="117">
        <f>C4/4</f>
        <v>2.6575</v>
      </c>
      <c r="D17" s="77" t="s">
        <v>284</v>
      </c>
    </row>
    <row r="18">
      <c r="A18" s="119" t="s">
        <v>298</v>
      </c>
      <c r="B18" s="120" t="s">
        <v>299</v>
      </c>
      <c r="C18" s="117">
        <f>Configurations!B6</f>
        <v>2.36</v>
      </c>
      <c r="D18" s="8" t="s">
        <v>294</v>
      </c>
    </row>
    <row r="19">
      <c r="A19" s="119" t="s">
        <v>32</v>
      </c>
      <c r="B19" s="120" t="s">
        <v>300</v>
      </c>
      <c r="C19" s="117">
        <f>Configurations!B7</f>
        <v>1.18</v>
      </c>
      <c r="D19" s="77" t="s">
        <v>294</v>
      </c>
    </row>
    <row r="20">
      <c r="A20" s="119" t="s">
        <v>251</v>
      </c>
      <c r="B20" s="120" t="s">
        <v>301</v>
      </c>
      <c r="C20" s="123">
        <f>Configurations!B16</f>
        <v>2.981338359</v>
      </c>
      <c r="D20" s="77" t="s">
        <v>294</v>
      </c>
    </row>
    <row r="21">
      <c r="A21" s="119" t="s">
        <v>302</v>
      </c>
      <c r="B21" s="119" t="s">
        <v>303</v>
      </c>
      <c r="C21" s="123">
        <f>Configurations!B19</f>
        <v>0.8518109596</v>
      </c>
      <c r="D21" s="77" t="s">
        <v>294</v>
      </c>
    </row>
    <row r="22">
      <c r="A22" s="119" t="s">
        <v>252</v>
      </c>
      <c r="B22" s="120" t="s">
        <v>304</v>
      </c>
      <c r="C22" s="123">
        <f>Configurations!B28</f>
        <v>1.224709703</v>
      </c>
      <c r="D22" s="77" t="s">
        <v>294</v>
      </c>
    </row>
    <row r="23">
      <c r="A23" s="119" t="s">
        <v>305</v>
      </c>
      <c r="B23" s="119" t="s">
        <v>306</v>
      </c>
      <c r="C23" s="33">
        <f>Configurations!B29</f>
        <v>0.8164731353</v>
      </c>
      <c r="D23" s="77" t="s">
        <v>294</v>
      </c>
    </row>
    <row r="24">
      <c r="A24" s="119" t="s">
        <v>307</v>
      </c>
      <c r="B24" s="119" t="s">
        <v>308</v>
      </c>
      <c r="C24" s="123">
        <f>Configurations!B38 - Configurations!B19</f>
        <v>4.64818904</v>
      </c>
      <c r="D24" s="77" t="s">
        <v>284</v>
      </c>
    </row>
    <row r="25">
      <c r="A25" s="119" t="s">
        <v>309</v>
      </c>
      <c r="B25" s="119" t="s">
        <v>310</v>
      </c>
      <c r="C25" s="77">
        <v>1.0</v>
      </c>
      <c r="D25" s="77" t="s">
        <v>281</v>
      </c>
    </row>
    <row r="26">
      <c r="A26" s="119" t="s">
        <v>311</v>
      </c>
      <c r="B26" s="119" t="s">
        <v>312</v>
      </c>
      <c r="C26" s="117">
        <f>Configurations!B39</f>
        <v>0.711</v>
      </c>
      <c r="D26" s="77" t="s">
        <v>294</v>
      </c>
    </row>
    <row r="27">
      <c r="A27" s="119" t="s">
        <v>313</v>
      </c>
      <c r="B27" s="119" t="s">
        <v>314</v>
      </c>
      <c r="C27" s="117">
        <f>Configurations!B38</f>
        <v>5.5</v>
      </c>
      <c r="D27" s="77" t="s">
        <v>294</v>
      </c>
    </row>
    <row r="28">
      <c r="A28" s="119" t="s">
        <v>315</v>
      </c>
      <c r="B28" s="125" t="s">
        <v>316</v>
      </c>
      <c r="C28" s="117">
        <f>C25+C27</f>
        <v>6.5</v>
      </c>
      <c r="D28" s="77" t="s">
        <v>284</v>
      </c>
    </row>
    <row r="29">
      <c r="A29" s="126"/>
      <c r="B29" s="120" t="s">
        <v>317</v>
      </c>
      <c r="C29" s="123">
        <f>Structures!B132</f>
        <v>104.326</v>
      </c>
      <c r="D29" s="127" t="s">
        <v>275</v>
      </c>
      <c r="E29" s="128"/>
    </row>
    <row r="30">
      <c r="A30" s="126"/>
      <c r="B30" s="120" t="s">
        <v>318</v>
      </c>
      <c r="C30" s="123">
        <f>Structures!B137</f>
        <v>38.23764784</v>
      </c>
      <c r="D30" s="127" t="s">
        <v>275</v>
      </c>
      <c r="E30" s="128"/>
    </row>
    <row r="31">
      <c r="A31" s="126"/>
      <c r="B31" s="120" t="s">
        <v>319</v>
      </c>
      <c r="C31" s="123">
        <f>Structures!B136</f>
        <v>6.680792238</v>
      </c>
      <c r="D31" s="117"/>
      <c r="E31" s="128"/>
    </row>
    <row r="32">
      <c r="A32" s="126"/>
      <c r="B32" s="120" t="s">
        <v>320</v>
      </c>
      <c r="C32" s="123">
        <f>Structures!B111</f>
        <v>10.7588268</v>
      </c>
      <c r="D32" s="117"/>
      <c r="E32" s="128"/>
    </row>
    <row r="33">
      <c r="A33" s="126"/>
      <c r="B33" s="120" t="s">
        <v>321</v>
      </c>
      <c r="C33" s="123">
        <f>Structures!C132</f>
        <v>1</v>
      </c>
      <c r="D33" s="77" t="s">
        <v>275</v>
      </c>
      <c r="E33" s="128"/>
    </row>
    <row r="34">
      <c r="A34" s="126"/>
      <c r="B34" s="120" t="s">
        <v>322</v>
      </c>
      <c r="C34" s="123">
        <f>Structures!D132</f>
        <v>0.4572</v>
      </c>
      <c r="D34" s="77" t="s">
        <v>275</v>
      </c>
      <c r="E34" s="128"/>
    </row>
    <row r="35">
      <c r="A35" s="126"/>
      <c r="B35" s="120" t="s">
        <v>323</v>
      </c>
      <c r="C35" s="123">
        <f>Structures!C137</f>
        <v>-1.019866714</v>
      </c>
      <c r="D35" s="77" t="s">
        <v>275</v>
      </c>
      <c r="E35" s="128"/>
    </row>
    <row r="36">
      <c r="A36" s="126"/>
      <c r="B36" s="129" t="s">
        <v>324</v>
      </c>
      <c r="C36" s="123">
        <f>Structures!C134</f>
        <v>0</v>
      </c>
      <c r="D36" s="77" t="s">
        <v>275</v>
      </c>
      <c r="E36" s="128"/>
    </row>
    <row r="37">
      <c r="A37" s="126"/>
      <c r="B37" s="130" t="s">
        <v>325</v>
      </c>
      <c r="C37" s="123">
        <f>Structures!D134</f>
        <v>0</v>
      </c>
      <c r="D37" s="77" t="s">
        <v>275</v>
      </c>
      <c r="E37" s="128"/>
    </row>
    <row r="38">
      <c r="A38" s="126"/>
      <c r="B38" s="120" t="s">
        <v>326</v>
      </c>
      <c r="C38" s="123">
        <f>Structures!C133</f>
        <v>0.59</v>
      </c>
      <c r="D38" s="77" t="s">
        <v>275</v>
      </c>
      <c r="E38" s="128"/>
    </row>
    <row r="39">
      <c r="A39" s="126"/>
      <c r="B39" s="120" t="s">
        <v>327</v>
      </c>
      <c r="C39" s="123">
        <f>Structures!D133</f>
        <v>0</v>
      </c>
      <c r="D39" s="77" t="s">
        <v>275</v>
      </c>
      <c r="E39" s="128"/>
    </row>
    <row r="40">
      <c r="A40" s="126"/>
      <c r="B40" s="120" t="s">
        <v>328</v>
      </c>
      <c r="C40" s="123">
        <f>Structures!C136</f>
        <v>7.110165</v>
      </c>
      <c r="D40" s="77" t="s">
        <v>275</v>
      </c>
      <c r="E40" s="128"/>
    </row>
    <row r="41">
      <c r="A41" s="126"/>
      <c r="B41" s="120" t="s">
        <v>329</v>
      </c>
      <c r="C41" s="123">
        <f>Structures!C135</f>
        <v>7.28</v>
      </c>
      <c r="D41" s="77" t="s">
        <v>275</v>
      </c>
      <c r="E41" s="128"/>
    </row>
    <row r="42">
      <c r="A42" s="126"/>
      <c r="B42" s="120" t="s">
        <v>330</v>
      </c>
      <c r="C42" s="123">
        <f>Structures!C138</f>
        <v>4</v>
      </c>
      <c r="D42" s="77" t="s">
        <v>275</v>
      </c>
      <c r="E42" s="128"/>
    </row>
    <row r="43">
      <c r="A43" s="126"/>
      <c r="B43" s="120" t="s">
        <v>331</v>
      </c>
      <c r="C43" s="123">
        <f>Structures!D138</f>
        <v>0</v>
      </c>
      <c r="D43" s="77" t="s">
        <v>275</v>
      </c>
      <c r="E43" s="128"/>
    </row>
    <row r="44">
      <c r="A44" s="126"/>
      <c r="B44" s="120" t="s">
        <v>332</v>
      </c>
      <c r="C44" s="117">
        <f>Structures!F88*Structures!F92</f>
        <v>0.8713943982</v>
      </c>
      <c r="D44" s="77" t="s">
        <v>275</v>
      </c>
      <c r="E44" s="128"/>
    </row>
    <row r="45">
      <c r="A45" s="126"/>
      <c r="B45" s="120" t="s">
        <v>333</v>
      </c>
      <c r="C45" s="117">
        <f>Structures!F91*Structures!F92</f>
        <v>0.3998770341</v>
      </c>
      <c r="D45" s="77" t="s">
        <v>275</v>
      </c>
      <c r="E45" s="128"/>
    </row>
    <row r="46">
      <c r="A46" s="126"/>
      <c r="B46" s="120" t="s">
        <v>334</v>
      </c>
      <c r="C46" s="131">
        <f>Structures!F87</f>
        <v>0.7453345896</v>
      </c>
      <c r="D46" s="77" t="s">
        <v>275</v>
      </c>
      <c r="E46" s="128"/>
    </row>
    <row r="47">
      <c r="A47" s="126"/>
      <c r="B47" s="120" t="s">
        <v>335</v>
      </c>
      <c r="C47" s="131">
        <f>Structures!F90</f>
        <v>0.8164731353</v>
      </c>
      <c r="D47" s="77" t="s">
        <v>275</v>
      </c>
      <c r="E47" s="128"/>
    </row>
    <row r="48">
      <c r="A48" s="126"/>
      <c r="B48" s="120" t="s">
        <v>336</v>
      </c>
      <c r="C48" s="123">
        <f>Structures!B134</f>
        <v>13.36158448</v>
      </c>
      <c r="D48" s="77" t="s">
        <v>275</v>
      </c>
      <c r="E48" s="128"/>
    </row>
    <row r="49">
      <c r="A49" s="126"/>
      <c r="B49" s="120" t="s">
        <v>337</v>
      </c>
      <c r="C49" s="123">
        <f>Structures!C144</f>
        <v>0.71</v>
      </c>
      <c r="D49" s="77" t="s">
        <v>275</v>
      </c>
      <c r="E49" s="128"/>
    </row>
    <row r="50">
      <c r="A50" s="126"/>
      <c r="B50" s="120" t="s">
        <v>338</v>
      </c>
      <c r="C50" s="123">
        <f>Structures!B139</f>
        <v>8.8</v>
      </c>
      <c r="D50" s="77" t="s">
        <v>275</v>
      </c>
    </row>
    <row r="51">
      <c r="A51" s="126"/>
      <c r="B51" s="120" t="s">
        <v>339</v>
      </c>
      <c r="C51" s="123">
        <f>Structures!C139</f>
        <v>0</v>
      </c>
      <c r="D51" s="77" t="s">
        <v>275</v>
      </c>
    </row>
    <row r="52">
      <c r="A52" s="126"/>
      <c r="B52" s="120" t="s">
        <v>340</v>
      </c>
      <c r="C52" s="123">
        <f>Structures!B141</f>
        <v>9</v>
      </c>
      <c r="D52" s="77" t="s">
        <v>275</v>
      </c>
    </row>
    <row r="53">
      <c r="A53" s="126"/>
      <c r="B53" s="120" t="s">
        <v>341</v>
      </c>
      <c r="C53" s="123">
        <f>Structures!C141</f>
        <v>-0.6</v>
      </c>
      <c r="D53" s="77" t="s">
        <v>275</v>
      </c>
    </row>
    <row r="54">
      <c r="A54" s="126"/>
      <c r="B54" s="119" t="s">
        <v>342</v>
      </c>
      <c r="C54" s="117"/>
      <c r="D54" s="117"/>
    </row>
    <row r="55">
      <c r="A55" s="126"/>
      <c r="B55" s="119" t="s">
        <v>343</v>
      </c>
      <c r="C55" s="123">
        <f>Structures!D139</f>
        <v>-1</v>
      </c>
      <c r="D55" s="77" t="s">
        <v>275</v>
      </c>
    </row>
    <row r="56">
      <c r="A56" s="126"/>
      <c r="B56" s="119" t="s">
        <v>344</v>
      </c>
      <c r="C56" s="123">
        <f>Structures!D141</f>
        <v>0.5</v>
      </c>
      <c r="D56" s="77" t="s">
        <v>275</v>
      </c>
    </row>
    <row r="57">
      <c r="A57" s="126"/>
      <c r="B57" s="119" t="s">
        <v>345</v>
      </c>
      <c r="C57" s="123">
        <f>Structures!D137</f>
        <v>0.5</v>
      </c>
      <c r="D57" s="77" t="s">
        <v>275</v>
      </c>
    </row>
    <row r="58">
      <c r="A58" s="126"/>
      <c r="B58" s="119" t="s">
        <v>346</v>
      </c>
      <c r="C58" s="123">
        <f>Structures!D136</f>
        <v>1.358693425</v>
      </c>
      <c r="D58" s="77" t="s">
        <v>275</v>
      </c>
    </row>
    <row r="59">
      <c r="A59" s="26" t="s">
        <v>347</v>
      </c>
      <c r="B59" s="24" t="s">
        <v>348</v>
      </c>
      <c r="C59" s="132">
        <f>Structures!C143</f>
        <v>0.71</v>
      </c>
      <c r="D59" s="77" t="s">
        <v>275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6" t="s">
        <v>349</v>
      </c>
      <c r="B60" s="26" t="s">
        <v>350</v>
      </c>
      <c r="C60" s="38">
        <f>Structures!D143</f>
        <v>0.544</v>
      </c>
      <c r="D60" s="77" t="s">
        <v>275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119" t="s">
        <v>351</v>
      </c>
      <c r="B61" s="119" t="s">
        <v>352</v>
      </c>
      <c r="C61" s="77">
        <v>0.0</v>
      </c>
      <c r="D61" s="77" t="s">
        <v>281</v>
      </c>
    </row>
    <row r="62">
      <c r="A62" s="126"/>
      <c r="B62" s="119" t="s">
        <v>353</v>
      </c>
      <c r="C62" s="123">
        <f>Structures!D135</f>
        <v>1</v>
      </c>
      <c r="D62" s="77" t="s">
        <v>275</v>
      </c>
    </row>
    <row r="63">
      <c r="A63" s="126"/>
      <c r="B63" s="119" t="s">
        <v>354</v>
      </c>
      <c r="C63" s="123">
        <f>Structures!D137</f>
        <v>0.5</v>
      </c>
      <c r="D63" s="117"/>
    </row>
    <row r="64">
      <c r="A64" s="126"/>
      <c r="B64" s="126"/>
      <c r="C64" s="117"/>
      <c r="D64" s="117"/>
    </row>
    <row r="65">
      <c r="A65" s="126"/>
      <c r="B65" s="126"/>
      <c r="C65" s="117"/>
      <c r="D65" s="117"/>
    </row>
    <row r="66">
      <c r="A66" s="126"/>
      <c r="B66" s="126"/>
      <c r="C66" s="117"/>
      <c r="D66" s="117"/>
    </row>
    <row r="67">
      <c r="A67" s="126"/>
      <c r="B67" s="126"/>
      <c r="C67" s="117"/>
      <c r="D67" s="117"/>
    </row>
    <row r="68">
      <c r="A68" s="126"/>
      <c r="B68" s="126"/>
      <c r="C68" s="117"/>
      <c r="D68" s="117"/>
    </row>
    <row r="69">
      <c r="A69" s="126"/>
      <c r="B69" s="126"/>
      <c r="C69" s="117"/>
      <c r="D69" s="117"/>
    </row>
    <row r="70">
      <c r="A70" s="126"/>
      <c r="B70" s="126"/>
      <c r="C70" s="117"/>
      <c r="D70" s="117"/>
    </row>
    <row r="71">
      <c r="A71" s="126"/>
      <c r="B71" s="126"/>
      <c r="C71" s="117"/>
      <c r="D71" s="117"/>
    </row>
    <row r="72">
      <c r="A72" s="126"/>
      <c r="B72" s="126"/>
      <c r="C72" s="117"/>
      <c r="D72" s="117"/>
    </row>
    <row r="73">
      <c r="A73" s="126"/>
      <c r="B73" s="126"/>
      <c r="C73" s="117"/>
      <c r="D73" s="117"/>
    </row>
    <row r="74">
      <c r="A74" s="126"/>
      <c r="B74" s="126"/>
      <c r="C74" s="117"/>
      <c r="D74" s="117"/>
    </row>
    <row r="75">
      <c r="A75" s="126"/>
      <c r="B75" s="126"/>
      <c r="C75" s="117"/>
      <c r="D75" s="117"/>
    </row>
    <row r="76">
      <c r="A76" s="126"/>
      <c r="B76" s="126"/>
      <c r="C76" s="117"/>
      <c r="D76" s="117"/>
    </row>
    <row r="77">
      <c r="A77" s="126"/>
      <c r="B77" s="126"/>
      <c r="C77" s="117"/>
      <c r="D77" s="117"/>
    </row>
    <row r="78">
      <c r="A78" s="126"/>
      <c r="B78" s="126"/>
      <c r="C78" s="117"/>
      <c r="D78" s="117"/>
    </row>
    <row r="79">
      <c r="A79" s="126"/>
      <c r="B79" s="126"/>
      <c r="C79" s="117"/>
      <c r="D79" s="117"/>
    </row>
    <row r="80">
      <c r="A80" s="126"/>
      <c r="B80" s="126"/>
      <c r="C80" s="117"/>
      <c r="D80" s="117"/>
    </row>
    <row r="81">
      <c r="A81" s="126"/>
      <c r="B81" s="126"/>
      <c r="C81" s="117"/>
      <c r="D81" s="117"/>
    </row>
    <row r="82">
      <c r="A82" s="126"/>
      <c r="B82" s="126"/>
      <c r="C82" s="117"/>
      <c r="D82" s="117"/>
    </row>
    <row r="83">
      <c r="A83" s="126"/>
      <c r="B83" s="126"/>
      <c r="C83" s="117"/>
      <c r="D83" s="117"/>
    </row>
    <row r="84">
      <c r="A84" s="126"/>
      <c r="B84" s="126"/>
      <c r="C84" s="117"/>
      <c r="D84" s="117"/>
    </row>
    <row r="85">
      <c r="A85" s="126"/>
      <c r="B85" s="126"/>
      <c r="C85" s="117"/>
      <c r="D85" s="117"/>
    </row>
    <row r="86">
      <c r="A86" s="126"/>
      <c r="B86" s="126"/>
      <c r="C86" s="117"/>
      <c r="D86" s="117"/>
    </row>
    <row r="87">
      <c r="A87" s="126"/>
      <c r="B87" s="126"/>
      <c r="C87" s="117"/>
      <c r="D87" s="117"/>
    </row>
    <row r="88">
      <c r="A88" s="126"/>
      <c r="B88" s="126"/>
      <c r="C88" s="117"/>
      <c r="D88" s="117"/>
    </row>
    <row r="89">
      <c r="A89" s="126"/>
      <c r="B89" s="126"/>
      <c r="C89" s="117"/>
      <c r="D89" s="117"/>
    </row>
    <row r="90">
      <c r="A90" s="126"/>
      <c r="B90" s="126"/>
      <c r="C90" s="117"/>
      <c r="D90" s="117"/>
    </row>
    <row r="91">
      <c r="A91" s="126"/>
      <c r="B91" s="126"/>
      <c r="C91" s="117"/>
      <c r="D91" s="117"/>
    </row>
    <row r="92">
      <c r="A92" s="126"/>
      <c r="B92" s="126"/>
      <c r="C92" s="117"/>
      <c r="D92" s="117"/>
    </row>
    <row r="93">
      <c r="A93" s="126"/>
      <c r="B93" s="126"/>
      <c r="C93" s="117"/>
      <c r="D93" s="117"/>
    </row>
    <row r="94">
      <c r="A94" s="126"/>
      <c r="B94" s="126"/>
      <c r="C94" s="117"/>
      <c r="D94" s="117"/>
    </row>
    <row r="95">
      <c r="A95" s="126"/>
      <c r="B95" s="126"/>
      <c r="C95" s="117"/>
      <c r="D95" s="117"/>
    </row>
    <row r="96">
      <c r="A96" s="126"/>
      <c r="B96" s="126"/>
      <c r="C96" s="117"/>
      <c r="D96" s="117"/>
    </row>
    <row r="97">
      <c r="A97" s="126"/>
      <c r="B97" s="126"/>
      <c r="C97" s="117"/>
      <c r="D97" s="117"/>
    </row>
    <row r="98">
      <c r="A98" s="126"/>
      <c r="B98" s="126"/>
      <c r="C98" s="117"/>
      <c r="D98" s="117"/>
    </row>
    <row r="99">
      <c r="A99" s="126"/>
      <c r="B99" s="126"/>
      <c r="C99" s="117"/>
      <c r="D99" s="117"/>
    </row>
    <row r="100">
      <c r="A100" s="126"/>
      <c r="B100" s="126"/>
      <c r="C100" s="117"/>
      <c r="D100" s="117"/>
    </row>
    <row r="101">
      <c r="A101" s="126"/>
      <c r="B101" s="126"/>
      <c r="C101" s="117"/>
      <c r="D101" s="117"/>
    </row>
    <row r="102">
      <c r="A102" s="126"/>
      <c r="B102" s="126"/>
      <c r="C102" s="117"/>
      <c r="D102" s="117"/>
    </row>
    <row r="103">
      <c r="A103" s="126"/>
      <c r="B103" s="126"/>
      <c r="C103" s="117"/>
      <c r="D103" s="117"/>
    </row>
    <row r="104">
      <c r="A104" s="126"/>
      <c r="B104" s="126"/>
      <c r="C104" s="117"/>
      <c r="D104" s="117"/>
    </row>
    <row r="105">
      <c r="A105" s="126"/>
      <c r="B105" s="126"/>
      <c r="C105" s="117"/>
      <c r="D105" s="117"/>
    </row>
    <row r="106">
      <c r="A106" s="126"/>
      <c r="B106" s="126"/>
      <c r="C106" s="117"/>
      <c r="D106" s="117"/>
    </row>
    <row r="107">
      <c r="A107" s="126"/>
      <c r="B107" s="126"/>
      <c r="C107" s="117"/>
      <c r="D107" s="117"/>
    </row>
    <row r="108">
      <c r="A108" s="126"/>
      <c r="B108" s="126"/>
      <c r="C108" s="117"/>
      <c r="D108" s="117"/>
    </row>
    <row r="109">
      <c r="A109" s="126"/>
      <c r="B109" s="126"/>
      <c r="C109" s="117"/>
      <c r="D109" s="117"/>
    </row>
    <row r="110">
      <c r="A110" s="126"/>
      <c r="B110" s="126"/>
      <c r="C110" s="117"/>
      <c r="D110" s="117"/>
    </row>
    <row r="111">
      <c r="A111" s="126"/>
      <c r="B111" s="126"/>
      <c r="C111" s="117"/>
      <c r="D111" s="117"/>
    </row>
    <row r="112">
      <c r="A112" s="126"/>
      <c r="B112" s="126"/>
      <c r="C112" s="117"/>
      <c r="D112" s="117"/>
    </row>
    <row r="113">
      <c r="A113" s="126"/>
      <c r="B113" s="126"/>
      <c r="C113" s="117"/>
      <c r="D113" s="117"/>
    </row>
    <row r="114">
      <c r="A114" s="126"/>
      <c r="B114" s="126"/>
      <c r="C114" s="117"/>
      <c r="D114" s="117"/>
    </row>
    <row r="115">
      <c r="A115" s="126"/>
      <c r="B115" s="126"/>
      <c r="C115" s="117"/>
      <c r="D115" s="117"/>
    </row>
    <row r="116">
      <c r="A116" s="126"/>
      <c r="B116" s="126"/>
      <c r="C116" s="117"/>
      <c r="D116" s="117"/>
    </row>
    <row r="117">
      <c r="A117" s="126"/>
      <c r="B117" s="126"/>
      <c r="C117" s="117"/>
      <c r="D117" s="117"/>
    </row>
    <row r="118">
      <c r="A118" s="126"/>
      <c r="B118" s="126"/>
      <c r="C118" s="117"/>
      <c r="D118" s="117"/>
    </row>
    <row r="119">
      <c r="A119" s="126"/>
      <c r="B119" s="126"/>
      <c r="C119" s="117"/>
      <c r="D119" s="117"/>
    </row>
    <row r="120">
      <c r="A120" s="126"/>
      <c r="B120" s="126"/>
      <c r="C120" s="117"/>
      <c r="D120" s="117"/>
    </row>
    <row r="121">
      <c r="A121" s="126"/>
      <c r="B121" s="126"/>
      <c r="C121" s="117"/>
      <c r="D121" s="117"/>
    </row>
    <row r="122">
      <c r="A122" s="126"/>
      <c r="B122" s="126"/>
      <c r="C122" s="117"/>
      <c r="D122" s="117"/>
    </row>
    <row r="123">
      <c r="A123" s="126"/>
      <c r="B123" s="126"/>
      <c r="C123" s="117"/>
      <c r="D123" s="117"/>
    </row>
    <row r="124">
      <c r="A124" s="126"/>
      <c r="B124" s="126"/>
      <c r="C124" s="117"/>
      <c r="D124" s="117"/>
    </row>
    <row r="125">
      <c r="A125" s="126"/>
      <c r="B125" s="126"/>
      <c r="C125" s="117"/>
      <c r="D125" s="117"/>
    </row>
    <row r="126">
      <c r="A126" s="126"/>
      <c r="B126" s="126"/>
      <c r="C126" s="117"/>
      <c r="D126" s="117"/>
    </row>
    <row r="127">
      <c r="A127" s="126"/>
      <c r="B127" s="126"/>
      <c r="C127" s="117"/>
      <c r="D127" s="117"/>
    </row>
    <row r="128">
      <c r="A128" s="126"/>
      <c r="B128" s="126"/>
      <c r="C128" s="117"/>
      <c r="D128" s="117"/>
    </row>
    <row r="129">
      <c r="A129" s="126"/>
      <c r="B129" s="126"/>
      <c r="C129" s="117"/>
      <c r="D129" s="117"/>
    </row>
    <row r="130">
      <c r="A130" s="126"/>
      <c r="B130" s="126"/>
      <c r="C130" s="117"/>
      <c r="D130" s="117"/>
    </row>
    <row r="131">
      <c r="A131" s="126"/>
      <c r="B131" s="126"/>
      <c r="C131" s="117"/>
      <c r="D131" s="117"/>
    </row>
    <row r="132">
      <c r="A132" s="126"/>
      <c r="B132" s="126"/>
      <c r="C132" s="117"/>
      <c r="D132" s="117"/>
    </row>
    <row r="133">
      <c r="A133" s="126"/>
      <c r="B133" s="126"/>
      <c r="C133" s="117"/>
      <c r="D133" s="117"/>
    </row>
    <row r="134">
      <c r="A134" s="126"/>
      <c r="B134" s="126"/>
      <c r="C134" s="117"/>
      <c r="D134" s="117"/>
    </row>
    <row r="135">
      <c r="A135" s="126"/>
      <c r="B135" s="126"/>
      <c r="C135" s="117"/>
      <c r="D135" s="117"/>
    </row>
    <row r="136">
      <c r="A136" s="126"/>
      <c r="B136" s="126"/>
      <c r="C136" s="117"/>
      <c r="D136" s="117"/>
    </row>
    <row r="137">
      <c r="A137" s="126"/>
      <c r="B137" s="126"/>
      <c r="C137" s="117"/>
      <c r="D137" s="117"/>
    </row>
    <row r="138">
      <c r="A138" s="126"/>
      <c r="B138" s="126"/>
      <c r="C138" s="117"/>
      <c r="D138" s="117"/>
    </row>
    <row r="139">
      <c r="A139" s="126"/>
      <c r="B139" s="126"/>
      <c r="C139" s="117"/>
      <c r="D139" s="117"/>
    </row>
    <row r="140">
      <c r="A140" s="126"/>
      <c r="B140" s="126"/>
      <c r="C140" s="117"/>
      <c r="D140" s="117"/>
    </row>
    <row r="141">
      <c r="A141" s="126"/>
      <c r="B141" s="126"/>
      <c r="C141" s="117"/>
      <c r="D141" s="117"/>
    </row>
    <row r="142">
      <c r="A142" s="126"/>
      <c r="B142" s="126"/>
      <c r="C142" s="117"/>
      <c r="D142" s="117"/>
    </row>
    <row r="143">
      <c r="A143" s="126"/>
      <c r="B143" s="126"/>
      <c r="C143" s="117"/>
      <c r="D143" s="117"/>
    </row>
    <row r="144">
      <c r="A144" s="126"/>
      <c r="B144" s="126"/>
      <c r="C144" s="117"/>
      <c r="D144" s="117"/>
    </row>
    <row r="145">
      <c r="A145" s="126"/>
      <c r="B145" s="126"/>
      <c r="C145" s="117"/>
      <c r="D145" s="117"/>
    </row>
    <row r="146">
      <c r="A146" s="126"/>
      <c r="B146" s="126"/>
      <c r="C146" s="117"/>
      <c r="D146" s="117"/>
    </row>
    <row r="147">
      <c r="A147" s="126"/>
      <c r="B147" s="126"/>
      <c r="C147" s="117"/>
      <c r="D147" s="117"/>
    </row>
    <row r="148">
      <c r="A148" s="126"/>
      <c r="B148" s="126"/>
      <c r="C148" s="117"/>
      <c r="D148" s="117"/>
    </row>
    <row r="149">
      <c r="A149" s="126"/>
      <c r="B149" s="126"/>
      <c r="C149" s="117"/>
      <c r="D149" s="117"/>
    </row>
    <row r="150">
      <c r="A150" s="126"/>
      <c r="B150" s="126"/>
      <c r="C150" s="117"/>
      <c r="D150" s="117"/>
    </row>
    <row r="151">
      <c r="A151" s="126"/>
      <c r="B151" s="126"/>
      <c r="C151" s="117"/>
      <c r="D151" s="117"/>
    </row>
    <row r="152">
      <c r="A152" s="126"/>
      <c r="B152" s="126"/>
      <c r="C152" s="117"/>
      <c r="D152" s="117"/>
    </row>
    <row r="153">
      <c r="A153" s="126"/>
      <c r="B153" s="126"/>
      <c r="C153" s="117"/>
      <c r="D153" s="117"/>
    </row>
    <row r="154">
      <c r="A154" s="126"/>
      <c r="B154" s="126"/>
      <c r="C154" s="117"/>
      <c r="D154" s="117"/>
    </row>
    <row r="155">
      <c r="A155" s="126"/>
      <c r="B155" s="126"/>
      <c r="C155" s="117"/>
      <c r="D155" s="117"/>
    </row>
    <row r="156">
      <c r="A156" s="126"/>
      <c r="B156" s="126"/>
      <c r="C156" s="117"/>
      <c r="D156" s="117"/>
    </row>
    <row r="157">
      <c r="A157" s="126"/>
      <c r="B157" s="126"/>
      <c r="C157" s="117"/>
      <c r="D157" s="117"/>
    </row>
    <row r="158">
      <c r="A158" s="126"/>
      <c r="B158" s="126"/>
      <c r="C158" s="117"/>
      <c r="D158" s="117"/>
    </row>
    <row r="159">
      <c r="A159" s="126"/>
      <c r="B159" s="126"/>
      <c r="C159" s="117"/>
      <c r="D159" s="117"/>
    </row>
    <row r="160">
      <c r="A160" s="126"/>
      <c r="B160" s="126"/>
      <c r="C160" s="117"/>
      <c r="D160" s="117"/>
    </row>
    <row r="161">
      <c r="A161" s="126"/>
      <c r="B161" s="126"/>
      <c r="C161" s="117"/>
      <c r="D161" s="117"/>
    </row>
    <row r="162">
      <c r="A162" s="126"/>
      <c r="B162" s="126"/>
      <c r="C162" s="117"/>
      <c r="D162" s="117"/>
    </row>
    <row r="163">
      <c r="A163" s="126"/>
      <c r="B163" s="126"/>
      <c r="C163" s="117"/>
      <c r="D163" s="117"/>
    </row>
    <row r="164">
      <c r="A164" s="126"/>
      <c r="B164" s="126"/>
      <c r="C164" s="117"/>
      <c r="D164" s="117"/>
    </row>
    <row r="165">
      <c r="A165" s="126"/>
      <c r="B165" s="126"/>
      <c r="C165" s="117"/>
      <c r="D165" s="117"/>
    </row>
    <row r="166">
      <c r="A166" s="126"/>
      <c r="B166" s="126"/>
      <c r="C166" s="117"/>
      <c r="D166" s="117"/>
    </row>
    <row r="167">
      <c r="A167" s="126"/>
      <c r="B167" s="126"/>
      <c r="C167" s="117"/>
      <c r="D167" s="117"/>
    </row>
    <row r="168">
      <c r="A168" s="126"/>
      <c r="B168" s="126"/>
      <c r="C168" s="117"/>
      <c r="D168" s="117"/>
    </row>
    <row r="169">
      <c r="A169" s="126"/>
      <c r="B169" s="126"/>
      <c r="C169" s="117"/>
      <c r="D169" s="117"/>
    </row>
    <row r="170">
      <c r="A170" s="126"/>
      <c r="B170" s="126"/>
      <c r="C170" s="117"/>
      <c r="D170" s="117"/>
    </row>
    <row r="171">
      <c r="A171" s="126"/>
      <c r="B171" s="126"/>
      <c r="C171" s="117"/>
      <c r="D171" s="117"/>
    </row>
    <row r="172">
      <c r="A172" s="126"/>
      <c r="B172" s="126"/>
      <c r="C172" s="117"/>
      <c r="D172" s="117"/>
    </row>
    <row r="173">
      <c r="A173" s="126"/>
      <c r="B173" s="126"/>
      <c r="C173" s="117"/>
      <c r="D173" s="117"/>
    </row>
    <row r="174">
      <c r="A174" s="126"/>
      <c r="B174" s="126"/>
      <c r="C174" s="117"/>
      <c r="D174" s="117"/>
    </row>
    <row r="175">
      <c r="A175" s="126"/>
      <c r="B175" s="126"/>
      <c r="C175" s="117"/>
      <c r="D175" s="117"/>
    </row>
    <row r="176">
      <c r="A176" s="126"/>
      <c r="B176" s="126"/>
      <c r="C176" s="117"/>
      <c r="D176" s="117"/>
    </row>
    <row r="177">
      <c r="A177" s="126"/>
      <c r="B177" s="126"/>
      <c r="C177" s="117"/>
      <c r="D177" s="117"/>
    </row>
    <row r="178">
      <c r="A178" s="126"/>
      <c r="B178" s="126"/>
      <c r="C178" s="117"/>
      <c r="D178" s="117"/>
    </row>
    <row r="179">
      <c r="A179" s="126"/>
      <c r="B179" s="126"/>
      <c r="C179" s="117"/>
      <c r="D179" s="117"/>
    </row>
    <row r="180">
      <c r="A180" s="126"/>
      <c r="B180" s="126"/>
      <c r="C180" s="117"/>
      <c r="D180" s="117"/>
    </row>
    <row r="181">
      <c r="A181" s="126"/>
      <c r="B181" s="126"/>
      <c r="C181" s="117"/>
      <c r="D181" s="117"/>
    </row>
    <row r="182">
      <c r="A182" s="126"/>
      <c r="B182" s="126"/>
      <c r="C182" s="117"/>
      <c r="D182" s="117"/>
    </row>
    <row r="183">
      <c r="A183" s="126"/>
      <c r="B183" s="126"/>
      <c r="C183" s="117"/>
      <c r="D183" s="117"/>
    </row>
    <row r="184">
      <c r="A184" s="126"/>
      <c r="B184" s="126"/>
      <c r="C184" s="117"/>
      <c r="D184" s="117"/>
    </row>
    <row r="185">
      <c r="A185" s="126"/>
      <c r="B185" s="126"/>
      <c r="C185" s="117"/>
      <c r="D185" s="117"/>
    </row>
    <row r="186">
      <c r="A186" s="126"/>
      <c r="B186" s="126"/>
      <c r="C186" s="117"/>
      <c r="D186" s="117"/>
    </row>
    <row r="187">
      <c r="A187" s="126"/>
      <c r="B187" s="126"/>
      <c r="C187" s="117"/>
      <c r="D187" s="117"/>
    </row>
    <row r="188">
      <c r="A188" s="126"/>
      <c r="B188" s="126"/>
      <c r="C188" s="117"/>
      <c r="D188" s="117"/>
    </row>
    <row r="189">
      <c r="A189" s="126"/>
      <c r="B189" s="126"/>
      <c r="C189" s="117"/>
      <c r="D189" s="117"/>
    </row>
    <row r="190">
      <c r="A190" s="126"/>
      <c r="B190" s="126"/>
      <c r="C190" s="117"/>
      <c r="D190" s="117"/>
    </row>
    <row r="191">
      <c r="A191" s="126"/>
      <c r="B191" s="126"/>
      <c r="C191" s="117"/>
      <c r="D191" s="117"/>
    </row>
    <row r="192">
      <c r="A192" s="126"/>
      <c r="B192" s="126"/>
      <c r="C192" s="117"/>
      <c r="D192" s="117"/>
    </row>
    <row r="193">
      <c r="A193" s="126"/>
      <c r="B193" s="126"/>
      <c r="C193" s="117"/>
      <c r="D193" s="117"/>
    </row>
    <row r="194">
      <c r="A194" s="126"/>
      <c r="B194" s="126"/>
      <c r="C194" s="117"/>
      <c r="D194" s="117"/>
    </row>
    <row r="195">
      <c r="A195" s="126"/>
      <c r="B195" s="126"/>
      <c r="C195" s="117"/>
      <c r="D195" s="117"/>
    </row>
    <row r="196">
      <c r="A196" s="126"/>
      <c r="B196" s="126"/>
      <c r="C196" s="117"/>
      <c r="D196" s="117"/>
    </row>
    <row r="197">
      <c r="A197" s="126"/>
      <c r="B197" s="126"/>
      <c r="C197" s="117"/>
      <c r="D197" s="117"/>
    </row>
    <row r="198">
      <c r="A198" s="126"/>
      <c r="B198" s="126"/>
      <c r="C198" s="117"/>
      <c r="D198" s="117"/>
    </row>
    <row r="199">
      <c r="A199" s="126"/>
      <c r="B199" s="126"/>
      <c r="C199" s="117"/>
      <c r="D199" s="117"/>
    </row>
    <row r="200">
      <c r="A200" s="126"/>
      <c r="B200" s="126"/>
      <c r="C200" s="117"/>
      <c r="D200" s="117"/>
    </row>
    <row r="201">
      <c r="A201" s="126"/>
      <c r="B201" s="126"/>
      <c r="C201" s="117"/>
      <c r="D201" s="117"/>
    </row>
    <row r="202">
      <c r="A202" s="126"/>
      <c r="B202" s="126"/>
      <c r="C202" s="117"/>
      <c r="D202" s="117"/>
    </row>
    <row r="203">
      <c r="A203" s="126"/>
      <c r="B203" s="126"/>
      <c r="C203" s="117"/>
      <c r="D203" s="117"/>
    </row>
    <row r="204">
      <c r="A204" s="126"/>
      <c r="B204" s="126"/>
      <c r="C204" s="117"/>
      <c r="D204" s="117"/>
    </row>
    <row r="205">
      <c r="A205" s="126"/>
      <c r="B205" s="126"/>
      <c r="C205" s="117"/>
      <c r="D205" s="117"/>
    </row>
    <row r="206">
      <c r="A206" s="126"/>
      <c r="B206" s="126"/>
      <c r="C206" s="117"/>
      <c r="D206" s="117"/>
    </row>
    <row r="207">
      <c r="A207" s="126"/>
      <c r="B207" s="126"/>
      <c r="C207" s="117"/>
      <c r="D207" s="117"/>
    </row>
    <row r="208">
      <c r="A208" s="126"/>
      <c r="B208" s="126"/>
      <c r="C208" s="117"/>
      <c r="D208" s="117"/>
    </row>
    <row r="209">
      <c r="A209" s="126"/>
      <c r="B209" s="126"/>
      <c r="C209" s="117"/>
      <c r="D209" s="117"/>
    </row>
    <row r="210">
      <c r="A210" s="126"/>
      <c r="B210" s="126"/>
      <c r="C210" s="117"/>
      <c r="D210" s="117"/>
    </row>
    <row r="211">
      <c r="A211" s="126"/>
      <c r="B211" s="126"/>
      <c r="C211" s="117"/>
      <c r="D211" s="117"/>
    </row>
    <row r="212">
      <c r="A212" s="126"/>
      <c r="B212" s="126"/>
      <c r="C212" s="117"/>
      <c r="D212" s="117"/>
    </row>
    <row r="213">
      <c r="A213" s="126"/>
      <c r="B213" s="126"/>
      <c r="C213" s="117"/>
      <c r="D213" s="117"/>
    </row>
    <row r="214">
      <c r="A214" s="126"/>
      <c r="B214" s="126"/>
      <c r="C214" s="117"/>
      <c r="D214" s="117"/>
    </row>
    <row r="215">
      <c r="A215" s="126"/>
      <c r="B215" s="126"/>
      <c r="C215" s="117"/>
      <c r="D215" s="117"/>
    </row>
    <row r="216">
      <c r="A216" s="126"/>
      <c r="B216" s="126"/>
      <c r="C216" s="117"/>
      <c r="D216" s="117"/>
    </row>
    <row r="217">
      <c r="A217" s="126"/>
      <c r="B217" s="126"/>
      <c r="C217" s="117"/>
      <c r="D217" s="117"/>
    </row>
    <row r="218">
      <c r="A218" s="126"/>
      <c r="B218" s="126"/>
      <c r="C218" s="117"/>
      <c r="D218" s="117"/>
    </row>
    <row r="219">
      <c r="A219" s="126"/>
      <c r="B219" s="126"/>
      <c r="C219" s="117"/>
      <c r="D219" s="117"/>
    </row>
    <row r="220">
      <c r="A220" s="126"/>
      <c r="B220" s="126"/>
      <c r="C220" s="117"/>
      <c r="D220" s="117"/>
    </row>
    <row r="221">
      <c r="A221" s="126"/>
      <c r="B221" s="126"/>
      <c r="C221" s="117"/>
      <c r="D221" s="117"/>
    </row>
    <row r="222">
      <c r="A222" s="126"/>
      <c r="B222" s="126"/>
      <c r="C222" s="117"/>
      <c r="D222" s="117"/>
    </row>
    <row r="223">
      <c r="A223" s="126"/>
      <c r="B223" s="126"/>
      <c r="C223" s="117"/>
      <c r="D223" s="117"/>
    </row>
    <row r="224">
      <c r="A224" s="126"/>
      <c r="B224" s="126"/>
      <c r="C224" s="117"/>
      <c r="D224" s="117"/>
    </row>
    <row r="225">
      <c r="A225" s="126"/>
      <c r="B225" s="126"/>
      <c r="C225" s="117"/>
      <c r="D225" s="117"/>
    </row>
    <row r="226">
      <c r="A226" s="126"/>
      <c r="B226" s="126"/>
      <c r="C226" s="117"/>
      <c r="D226" s="117"/>
    </row>
    <row r="227">
      <c r="A227" s="126"/>
      <c r="B227" s="126"/>
      <c r="C227" s="117"/>
      <c r="D227" s="117"/>
    </row>
    <row r="228">
      <c r="A228" s="126"/>
      <c r="B228" s="126"/>
      <c r="C228" s="117"/>
      <c r="D228" s="117"/>
    </row>
    <row r="229">
      <c r="A229" s="126"/>
      <c r="B229" s="126"/>
      <c r="C229" s="117"/>
      <c r="D229" s="117"/>
    </row>
    <row r="230">
      <c r="A230" s="126"/>
      <c r="B230" s="126"/>
      <c r="C230" s="117"/>
      <c r="D230" s="117"/>
    </row>
    <row r="231">
      <c r="A231" s="126"/>
      <c r="B231" s="126"/>
      <c r="C231" s="117"/>
      <c r="D231" s="117"/>
    </row>
    <row r="232">
      <c r="A232" s="126"/>
      <c r="B232" s="126"/>
      <c r="C232" s="117"/>
      <c r="D232" s="117"/>
    </row>
    <row r="233">
      <c r="A233" s="126"/>
      <c r="B233" s="126"/>
      <c r="C233" s="117"/>
      <c r="D233" s="117"/>
    </row>
    <row r="234">
      <c r="A234" s="126"/>
      <c r="B234" s="126"/>
      <c r="C234" s="117"/>
      <c r="D234" s="117"/>
    </row>
    <row r="235">
      <c r="A235" s="126"/>
      <c r="B235" s="126"/>
      <c r="C235" s="117"/>
      <c r="D235" s="117"/>
    </row>
    <row r="236">
      <c r="A236" s="126"/>
      <c r="B236" s="126"/>
      <c r="C236" s="117"/>
      <c r="D236" s="117"/>
    </row>
    <row r="237">
      <c r="A237" s="126"/>
      <c r="B237" s="126"/>
      <c r="C237" s="117"/>
      <c r="D237" s="117"/>
    </row>
    <row r="238">
      <c r="A238" s="126"/>
      <c r="B238" s="126"/>
      <c r="C238" s="117"/>
      <c r="D238" s="117"/>
    </row>
    <row r="239">
      <c r="A239" s="126"/>
      <c r="B239" s="126"/>
      <c r="C239" s="117"/>
      <c r="D239" s="117"/>
    </row>
    <row r="240">
      <c r="A240" s="126"/>
      <c r="B240" s="126"/>
      <c r="C240" s="117"/>
      <c r="D240" s="117"/>
    </row>
    <row r="241">
      <c r="A241" s="126"/>
      <c r="B241" s="126"/>
      <c r="C241" s="117"/>
      <c r="D241" s="117"/>
    </row>
    <row r="242">
      <c r="A242" s="126"/>
      <c r="B242" s="126"/>
      <c r="C242" s="117"/>
      <c r="D242" s="117"/>
    </row>
    <row r="243">
      <c r="A243" s="126"/>
      <c r="B243" s="126"/>
      <c r="C243" s="117"/>
      <c r="D243" s="117"/>
    </row>
    <row r="244">
      <c r="A244" s="126"/>
      <c r="B244" s="126"/>
      <c r="C244" s="117"/>
      <c r="D244" s="117"/>
    </row>
    <row r="245">
      <c r="A245" s="126"/>
      <c r="B245" s="126"/>
      <c r="C245" s="117"/>
      <c r="D245" s="117"/>
    </row>
    <row r="246">
      <c r="A246" s="126"/>
      <c r="B246" s="126"/>
      <c r="C246" s="117"/>
      <c r="D246" s="117"/>
    </row>
    <row r="247">
      <c r="A247" s="126"/>
      <c r="B247" s="126"/>
      <c r="C247" s="117"/>
      <c r="D247" s="117"/>
    </row>
    <row r="248">
      <c r="A248" s="126"/>
      <c r="B248" s="126"/>
      <c r="C248" s="117"/>
      <c r="D248" s="117"/>
    </row>
    <row r="249">
      <c r="A249" s="126"/>
      <c r="B249" s="126"/>
      <c r="C249" s="117"/>
      <c r="D249" s="117"/>
    </row>
    <row r="250">
      <c r="A250" s="126"/>
      <c r="B250" s="126"/>
      <c r="C250" s="117"/>
      <c r="D250" s="117"/>
    </row>
    <row r="251">
      <c r="A251" s="126"/>
      <c r="B251" s="126"/>
      <c r="C251" s="117"/>
      <c r="D251" s="117"/>
    </row>
    <row r="252">
      <c r="A252" s="126"/>
      <c r="B252" s="126"/>
      <c r="C252" s="117"/>
      <c r="D252" s="117"/>
    </row>
    <row r="253">
      <c r="A253" s="126"/>
      <c r="B253" s="126"/>
      <c r="C253" s="117"/>
      <c r="D253" s="117"/>
    </row>
    <row r="254">
      <c r="A254" s="126"/>
      <c r="B254" s="126"/>
      <c r="C254" s="117"/>
      <c r="D254" s="117"/>
    </row>
    <row r="255">
      <c r="A255" s="126"/>
      <c r="B255" s="126"/>
      <c r="C255" s="117"/>
      <c r="D255" s="117"/>
    </row>
    <row r="256">
      <c r="A256" s="126"/>
      <c r="B256" s="126"/>
      <c r="C256" s="117"/>
      <c r="D256" s="117"/>
    </row>
    <row r="257">
      <c r="A257" s="126"/>
      <c r="B257" s="126"/>
      <c r="C257" s="117"/>
      <c r="D257" s="117"/>
    </row>
    <row r="258">
      <c r="A258" s="126"/>
      <c r="B258" s="126"/>
      <c r="C258" s="117"/>
      <c r="D258" s="117"/>
    </row>
    <row r="259">
      <c r="A259" s="126"/>
      <c r="B259" s="126"/>
      <c r="C259" s="117"/>
      <c r="D259" s="117"/>
    </row>
    <row r="260">
      <c r="A260" s="126"/>
      <c r="B260" s="126"/>
      <c r="C260" s="117"/>
      <c r="D260" s="117"/>
    </row>
    <row r="261">
      <c r="A261" s="126"/>
      <c r="B261" s="126"/>
      <c r="C261" s="117"/>
      <c r="D261" s="117"/>
    </row>
    <row r="262">
      <c r="A262" s="126"/>
      <c r="B262" s="126"/>
      <c r="C262" s="117"/>
      <c r="D262" s="117"/>
    </row>
    <row r="263">
      <c r="A263" s="126"/>
      <c r="B263" s="126"/>
      <c r="C263" s="117"/>
      <c r="D263" s="117"/>
    </row>
    <row r="264">
      <c r="A264" s="126"/>
      <c r="B264" s="126"/>
      <c r="C264" s="117"/>
      <c r="D264" s="117"/>
    </row>
    <row r="265">
      <c r="A265" s="126"/>
      <c r="B265" s="126"/>
      <c r="C265" s="117"/>
      <c r="D265" s="117"/>
    </row>
    <row r="266">
      <c r="A266" s="126"/>
      <c r="B266" s="126"/>
      <c r="C266" s="117"/>
      <c r="D266" s="117"/>
    </row>
    <row r="267">
      <c r="A267" s="126"/>
      <c r="B267" s="126"/>
      <c r="C267" s="117"/>
      <c r="D267" s="117"/>
    </row>
    <row r="268">
      <c r="A268" s="126"/>
      <c r="B268" s="126"/>
      <c r="C268" s="117"/>
      <c r="D268" s="117"/>
    </row>
    <row r="269">
      <c r="A269" s="126"/>
      <c r="B269" s="126"/>
      <c r="C269" s="117"/>
      <c r="D269" s="117"/>
    </row>
    <row r="270">
      <c r="A270" s="126"/>
      <c r="B270" s="126"/>
      <c r="C270" s="117"/>
      <c r="D270" s="117"/>
    </row>
    <row r="271">
      <c r="A271" s="126"/>
      <c r="B271" s="126"/>
      <c r="C271" s="117"/>
      <c r="D271" s="117"/>
    </row>
    <row r="272">
      <c r="A272" s="126"/>
      <c r="B272" s="126"/>
      <c r="C272" s="117"/>
      <c r="D272" s="117"/>
    </row>
    <row r="273">
      <c r="A273" s="126"/>
      <c r="B273" s="126"/>
      <c r="C273" s="117"/>
      <c r="D273" s="117"/>
    </row>
    <row r="274">
      <c r="A274" s="126"/>
      <c r="B274" s="126"/>
      <c r="C274" s="117"/>
      <c r="D274" s="117"/>
    </row>
    <row r="275">
      <c r="A275" s="126"/>
      <c r="B275" s="126"/>
      <c r="C275" s="117"/>
      <c r="D275" s="117"/>
    </row>
    <row r="276">
      <c r="A276" s="126"/>
      <c r="B276" s="126"/>
      <c r="C276" s="117"/>
      <c r="D276" s="117"/>
    </row>
    <row r="277">
      <c r="A277" s="126"/>
      <c r="B277" s="126"/>
      <c r="C277" s="117"/>
      <c r="D277" s="117"/>
    </row>
    <row r="278">
      <c r="A278" s="126"/>
      <c r="B278" s="126"/>
      <c r="C278" s="117"/>
      <c r="D278" s="117"/>
    </row>
    <row r="279">
      <c r="A279" s="126"/>
      <c r="B279" s="126"/>
      <c r="C279" s="117"/>
      <c r="D279" s="117"/>
    </row>
    <row r="280">
      <c r="A280" s="126"/>
      <c r="B280" s="126"/>
      <c r="C280" s="117"/>
      <c r="D280" s="117"/>
    </row>
    <row r="281">
      <c r="A281" s="126"/>
      <c r="B281" s="126"/>
      <c r="C281" s="117"/>
      <c r="D281" s="117"/>
    </row>
    <row r="282">
      <c r="A282" s="126"/>
      <c r="B282" s="126"/>
      <c r="C282" s="117"/>
      <c r="D282" s="117"/>
    </row>
    <row r="283">
      <c r="A283" s="126"/>
      <c r="B283" s="126"/>
      <c r="C283" s="117"/>
      <c r="D283" s="117"/>
    </row>
    <row r="284">
      <c r="A284" s="126"/>
      <c r="B284" s="126"/>
      <c r="C284" s="117"/>
      <c r="D284" s="117"/>
    </row>
    <row r="285">
      <c r="A285" s="126"/>
      <c r="B285" s="126"/>
      <c r="C285" s="117"/>
      <c r="D285" s="117"/>
    </row>
    <row r="286">
      <c r="A286" s="126"/>
      <c r="B286" s="126"/>
      <c r="C286" s="117"/>
      <c r="D286" s="117"/>
    </row>
    <row r="287">
      <c r="A287" s="126"/>
      <c r="B287" s="126"/>
      <c r="C287" s="117"/>
      <c r="D287" s="117"/>
    </row>
    <row r="288">
      <c r="A288" s="126"/>
      <c r="B288" s="126"/>
      <c r="C288" s="117"/>
      <c r="D288" s="117"/>
    </row>
    <row r="289">
      <c r="A289" s="126"/>
      <c r="B289" s="126"/>
      <c r="C289" s="117"/>
      <c r="D289" s="117"/>
    </row>
    <row r="290">
      <c r="A290" s="126"/>
      <c r="B290" s="126"/>
      <c r="C290" s="117"/>
      <c r="D290" s="117"/>
    </row>
    <row r="291">
      <c r="A291" s="126"/>
      <c r="B291" s="126"/>
      <c r="C291" s="117"/>
      <c r="D291" s="117"/>
    </row>
    <row r="292">
      <c r="A292" s="126"/>
      <c r="B292" s="126"/>
      <c r="C292" s="117"/>
      <c r="D292" s="117"/>
    </row>
    <row r="293">
      <c r="A293" s="126"/>
      <c r="B293" s="126"/>
      <c r="C293" s="117"/>
      <c r="D293" s="117"/>
    </row>
    <row r="294">
      <c r="A294" s="126"/>
      <c r="B294" s="126"/>
      <c r="C294" s="117"/>
      <c r="D294" s="117"/>
    </row>
    <row r="295">
      <c r="A295" s="126"/>
      <c r="B295" s="126"/>
      <c r="C295" s="117"/>
      <c r="D295" s="117"/>
    </row>
    <row r="296">
      <c r="A296" s="126"/>
      <c r="B296" s="126"/>
      <c r="C296" s="117"/>
      <c r="D296" s="117"/>
    </row>
    <row r="297">
      <c r="A297" s="126"/>
      <c r="B297" s="126"/>
      <c r="C297" s="117"/>
      <c r="D297" s="117"/>
    </row>
    <row r="298">
      <c r="A298" s="126"/>
      <c r="B298" s="126"/>
      <c r="C298" s="117"/>
      <c r="D298" s="117"/>
    </row>
    <row r="299">
      <c r="A299" s="126"/>
      <c r="B299" s="126"/>
      <c r="C299" s="117"/>
      <c r="D299" s="117"/>
    </row>
    <row r="300">
      <c r="A300" s="126"/>
      <c r="B300" s="126"/>
      <c r="C300" s="117"/>
      <c r="D300" s="117"/>
    </row>
    <row r="301">
      <c r="A301" s="126"/>
      <c r="B301" s="126"/>
      <c r="C301" s="117"/>
      <c r="D301" s="117"/>
    </row>
    <row r="302">
      <c r="A302" s="126"/>
      <c r="B302" s="126"/>
      <c r="C302" s="117"/>
      <c r="D302" s="117"/>
    </row>
    <row r="303">
      <c r="A303" s="126"/>
      <c r="B303" s="126"/>
      <c r="C303" s="117"/>
      <c r="D303" s="117"/>
    </row>
    <row r="304">
      <c r="A304" s="126"/>
      <c r="B304" s="126"/>
      <c r="C304" s="117"/>
      <c r="D304" s="117"/>
    </row>
    <row r="305">
      <c r="A305" s="126"/>
      <c r="B305" s="126"/>
      <c r="C305" s="117"/>
      <c r="D305" s="117"/>
    </row>
    <row r="306">
      <c r="A306" s="126"/>
      <c r="B306" s="126"/>
      <c r="C306" s="117"/>
      <c r="D306" s="117"/>
    </row>
    <row r="307">
      <c r="A307" s="126"/>
      <c r="B307" s="126"/>
      <c r="C307" s="117"/>
      <c r="D307" s="117"/>
    </row>
    <row r="308">
      <c r="A308" s="126"/>
      <c r="B308" s="126"/>
      <c r="C308" s="117"/>
      <c r="D308" s="117"/>
    </row>
    <row r="309">
      <c r="A309" s="126"/>
      <c r="B309" s="126"/>
      <c r="C309" s="117"/>
      <c r="D309" s="117"/>
    </row>
    <row r="310">
      <c r="A310" s="126"/>
      <c r="B310" s="126"/>
      <c r="C310" s="117"/>
      <c r="D310" s="117"/>
    </row>
    <row r="311">
      <c r="A311" s="126"/>
      <c r="B311" s="126"/>
      <c r="C311" s="117"/>
      <c r="D311" s="117"/>
    </row>
    <row r="312">
      <c r="A312" s="126"/>
      <c r="B312" s="126"/>
      <c r="C312" s="117"/>
      <c r="D312" s="117"/>
    </row>
    <row r="313">
      <c r="A313" s="126"/>
      <c r="B313" s="126"/>
      <c r="C313" s="117"/>
      <c r="D313" s="117"/>
    </row>
    <row r="314">
      <c r="A314" s="126"/>
      <c r="B314" s="126"/>
      <c r="C314" s="117"/>
      <c r="D314" s="117"/>
    </row>
    <row r="315">
      <c r="A315" s="126"/>
      <c r="B315" s="126"/>
      <c r="C315" s="117"/>
      <c r="D315" s="117"/>
    </row>
    <row r="316">
      <c r="A316" s="126"/>
      <c r="B316" s="126"/>
      <c r="C316" s="117"/>
      <c r="D316" s="117"/>
    </row>
    <row r="317">
      <c r="A317" s="126"/>
      <c r="B317" s="126"/>
      <c r="C317" s="117"/>
      <c r="D317" s="117"/>
    </row>
    <row r="318">
      <c r="A318" s="126"/>
      <c r="B318" s="126"/>
      <c r="C318" s="117"/>
      <c r="D318" s="117"/>
    </row>
    <row r="319">
      <c r="A319" s="126"/>
      <c r="B319" s="126"/>
      <c r="C319" s="117"/>
      <c r="D319" s="117"/>
    </row>
    <row r="320">
      <c r="A320" s="126"/>
      <c r="B320" s="126"/>
      <c r="C320" s="117"/>
      <c r="D320" s="117"/>
    </row>
    <row r="321">
      <c r="A321" s="126"/>
      <c r="B321" s="126"/>
      <c r="C321" s="117"/>
      <c r="D321" s="117"/>
    </row>
    <row r="322">
      <c r="A322" s="126"/>
      <c r="B322" s="126"/>
      <c r="C322" s="117"/>
      <c r="D322" s="117"/>
    </row>
    <row r="323">
      <c r="A323" s="126"/>
      <c r="B323" s="126"/>
      <c r="C323" s="117"/>
      <c r="D323" s="117"/>
    </row>
    <row r="324">
      <c r="A324" s="126"/>
      <c r="B324" s="126"/>
      <c r="C324" s="117"/>
      <c r="D324" s="117"/>
    </row>
    <row r="325">
      <c r="A325" s="126"/>
      <c r="B325" s="126"/>
      <c r="C325" s="117"/>
      <c r="D325" s="117"/>
    </row>
    <row r="326">
      <c r="A326" s="126"/>
      <c r="B326" s="126"/>
      <c r="C326" s="117"/>
      <c r="D326" s="117"/>
    </row>
    <row r="327">
      <c r="A327" s="126"/>
      <c r="B327" s="126"/>
      <c r="C327" s="117"/>
      <c r="D327" s="117"/>
    </row>
    <row r="328">
      <c r="A328" s="126"/>
      <c r="B328" s="126"/>
      <c r="C328" s="117"/>
      <c r="D328" s="117"/>
    </row>
    <row r="329">
      <c r="A329" s="126"/>
      <c r="B329" s="126"/>
      <c r="C329" s="117"/>
      <c r="D329" s="117"/>
    </row>
    <row r="330">
      <c r="A330" s="126"/>
      <c r="B330" s="126"/>
      <c r="C330" s="117"/>
      <c r="D330" s="117"/>
    </row>
    <row r="331">
      <c r="A331" s="126"/>
      <c r="B331" s="126"/>
      <c r="C331" s="117"/>
      <c r="D331" s="117"/>
    </row>
    <row r="332">
      <c r="A332" s="126"/>
      <c r="B332" s="126"/>
      <c r="C332" s="117"/>
      <c r="D332" s="117"/>
    </row>
    <row r="333">
      <c r="A333" s="126"/>
      <c r="B333" s="126"/>
      <c r="C333" s="117"/>
      <c r="D333" s="117"/>
    </row>
    <row r="334">
      <c r="A334" s="126"/>
      <c r="B334" s="126"/>
      <c r="C334" s="117"/>
      <c r="D334" s="117"/>
    </row>
    <row r="335">
      <c r="A335" s="126"/>
      <c r="B335" s="126"/>
      <c r="C335" s="117"/>
      <c r="D335" s="117"/>
    </row>
    <row r="336">
      <c r="A336" s="126"/>
      <c r="B336" s="126"/>
      <c r="C336" s="117"/>
      <c r="D336" s="117"/>
    </row>
    <row r="337">
      <c r="A337" s="126"/>
      <c r="B337" s="126"/>
      <c r="C337" s="117"/>
      <c r="D337" s="117"/>
    </row>
    <row r="338">
      <c r="A338" s="126"/>
      <c r="B338" s="126"/>
      <c r="C338" s="117"/>
      <c r="D338" s="117"/>
    </row>
    <row r="339">
      <c r="A339" s="126"/>
      <c r="B339" s="126"/>
      <c r="C339" s="117"/>
      <c r="D339" s="117"/>
    </row>
    <row r="340">
      <c r="A340" s="126"/>
      <c r="B340" s="126"/>
      <c r="C340" s="117"/>
      <c r="D340" s="117"/>
    </row>
    <row r="341">
      <c r="A341" s="126"/>
      <c r="B341" s="126"/>
      <c r="C341" s="117"/>
      <c r="D341" s="117"/>
    </row>
    <row r="342">
      <c r="A342" s="126"/>
      <c r="B342" s="126"/>
      <c r="C342" s="117"/>
      <c r="D342" s="117"/>
    </row>
    <row r="343">
      <c r="A343" s="126"/>
      <c r="B343" s="126"/>
      <c r="C343" s="117"/>
      <c r="D343" s="117"/>
    </row>
    <row r="344">
      <c r="A344" s="126"/>
      <c r="B344" s="126"/>
      <c r="C344" s="117"/>
      <c r="D344" s="117"/>
    </row>
    <row r="345">
      <c r="A345" s="126"/>
      <c r="B345" s="126"/>
      <c r="C345" s="117"/>
      <c r="D345" s="117"/>
    </row>
    <row r="346">
      <c r="A346" s="126"/>
      <c r="B346" s="126"/>
      <c r="C346" s="117"/>
      <c r="D346" s="117"/>
    </row>
    <row r="347">
      <c r="A347" s="126"/>
      <c r="B347" s="126"/>
      <c r="C347" s="117"/>
      <c r="D347" s="117"/>
    </row>
    <row r="348">
      <c r="A348" s="126"/>
      <c r="B348" s="126"/>
      <c r="C348" s="117"/>
      <c r="D348" s="117"/>
    </row>
    <row r="349">
      <c r="A349" s="126"/>
      <c r="B349" s="126"/>
      <c r="C349" s="117"/>
      <c r="D349" s="117"/>
    </row>
    <row r="350">
      <c r="A350" s="126"/>
      <c r="B350" s="126"/>
      <c r="C350" s="117"/>
      <c r="D350" s="117"/>
    </row>
    <row r="351">
      <c r="A351" s="126"/>
      <c r="B351" s="126"/>
      <c r="C351" s="117"/>
      <c r="D351" s="117"/>
    </row>
    <row r="352">
      <c r="A352" s="126"/>
      <c r="B352" s="126"/>
      <c r="C352" s="117"/>
      <c r="D352" s="117"/>
    </row>
    <row r="353">
      <c r="A353" s="126"/>
      <c r="B353" s="126"/>
      <c r="C353" s="117"/>
      <c r="D353" s="117"/>
    </row>
    <row r="354">
      <c r="A354" s="126"/>
      <c r="B354" s="126"/>
      <c r="C354" s="117"/>
      <c r="D354" s="117"/>
    </row>
    <row r="355">
      <c r="A355" s="126"/>
      <c r="B355" s="126"/>
      <c r="C355" s="117"/>
      <c r="D355" s="117"/>
    </row>
    <row r="356">
      <c r="A356" s="126"/>
      <c r="B356" s="126"/>
      <c r="C356" s="117"/>
      <c r="D356" s="117"/>
    </row>
    <row r="357">
      <c r="A357" s="126"/>
      <c r="B357" s="126"/>
      <c r="C357" s="117"/>
      <c r="D357" s="117"/>
    </row>
    <row r="358">
      <c r="A358" s="126"/>
      <c r="B358" s="126"/>
      <c r="C358" s="117"/>
      <c r="D358" s="117"/>
    </row>
    <row r="359">
      <c r="A359" s="126"/>
      <c r="B359" s="126"/>
      <c r="C359" s="117"/>
      <c r="D359" s="117"/>
    </row>
    <row r="360">
      <c r="A360" s="126"/>
      <c r="B360" s="126"/>
      <c r="C360" s="117"/>
      <c r="D360" s="117"/>
    </row>
    <row r="361">
      <c r="A361" s="126"/>
      <c r="B361" s="126"/>
      <c r="C361" s="117"/>
      <c r="D361" s="117"/>
    </row>
    <row r="362">
      <c r="A362" s="126"/>
      <c r="B362" s="126"/>
      <c r="C362" s="117"/>
      <c r="D362" s="117"/>
    </row>
    <row r="363">
      <c r="A363" s="126"/>
      <c r="B363" s="126"/>
      <c r="C363" s="117"/>
      <c r="D363" s="117"/>
    </row>
    <row r="364">
      <c r="A364" s="126"/>
      <c r="B364" s="126"/>
      <c r="C364" s="117"/>
      <c r="D364" s="117"/>
    </row>
    <row r="365">
      <c r="A365" s="126"/>
      <c r="B365" s="126"/>
      <c r="C365" s="117"/>
      <c r="D365" s="117"/>
    </row>
    <row r="366">
      <c r="A366" s="126"/>
      <c r="B366" s="126"/>
      <c r="C366" s="117"/>
      <c r="D366" s="117"/>
    </row>
    <row r="367">
      <c r="A367" s="126"/>
      <c r="B367" s="126"/>
      <c r="C367" s="117"/>
      <c r="D367" s="117"/>
    </row>
    <row r="368">
      <c r="A368" s="126"/>
      <c r="B368" s="126"/>
      <c r="C368" s="117"/>
      <c r="D368" s="117"/>
    </row>
    <row r="369">
      <c r="A369" s="126"/>
      <c r="B369" s="126"/>
      <c r="C369" s="117"/>
      <c r="D369" s="117"/>
    </row>
    <row r="370">
      <c r="A370" s="126"/>
      <c r="B370" s="126"/>
      <c r="C370" s="117"/>
      <c r="D370" s="117"/>
    </row>
    <row r="371">
      <c r="A371" s="126"/>
      <c r="B371" s="126"/>
      <c r="C371" s="117"/>
      <c r="D371" s="117"/>
    </row>
    <row r="372">
      <c r="A372" s="126"/>
      <c r="B372" s="126"/>
      <c r="C372" s="117"/>
      <c r="D372" s="117"/>
    </row>
    <row r="373">
      <c r="A373" s="126"/>
      <c r="B373" s="126"/>
      <c r="C373" s="117"/>
      <c r="D373" s="117"/>
    </row>
    <row r="374">
      <c r="A374" s="126"/>
      <c r="B374" s="126"/>
      <c r="C374" s="117"/>
      <c r="D374" s="117"/>
    </row>
    <row r="375">
      <c r="A375" s="126"/>
      <c r="B375" s="126"/>
      <c r="C375" s="117"/>
      <c r="D375" s="117"/>
    </row>
    <row r="376">
      <c r="A376" s="126"/>
      <c r="B376" s="126"/>
      <c r="C376" s="117"/>
      <c r="D376" s="117"/>
    </row>
    <row r="377">
      <c r="A377" s="126"/>
      <c r="B377" s="126"/>
      <c r="C377" s="117"/>
      <c r="D377" s="117"/>
    </row>
    <row r="378">
      <c r="A378" s="126"/>
      <c r="B378" s="126"/>
      <c r="C378" s="117"/>
      <c r="D378" s="117"/>
    </row>
    <row r="379">
      <c r="A379" s="126"/>
      <c r="B379" s="126"/>
      <c r="C379" s="117"/>
      <c r="D379" s="117"/>
    </row>
    <row r="380">
      <c r="A380" s="126"/>
      <c r="B380" s="126"/>
      <c r="C380" s="117"/>
      <c r="D380" s="117"/>
    </row>
    <row r="381">
      <c r="A381" s="126"/>
      <c r="B381" s="126"/>
      <c r="C381" s="117"/>
      <c r="D381" s="117"/>
    </row>
    <row r="382">
      <c r="A382" s="126"/>
      <c r="B382" s="126"/>
      <c r="C382" s="117"/>
      <c r="D382" s="117"/>
    </row>
    <row r="383">
      <c r="A383" s="126"/>
      <c r="B383" s="126"/>
      <c r="C383" s="117"/>
      <c r="D383" s="117"/>
    </row>
    <row r="384">
      <c r="A384" s="126"/>
      <c r="B384" s="126"/>
      <c r="C384" s="117"/>
      <c r="D384" s="117"/>
    </row>
    <row r="385">
      <c r="A385" s="126"/>
      <c r="B385" s="126"/>
      <c r="C385" s="117"/>
      <c r="D385" s="117"/>
    </row>
    <row r="386">
      <c r="A386" s="126"/>
      <c r="B386" s="126"/>
      <c r="C386" s="117"/>
      <c r="D386" s="117"/>
    </row>
    <row r="387">
      <c r="A387" s="126"/>
      <c r="B387" s="126"/>
      <c r="C387" s="117"/>
      <c r="D387" s="117"/>
    </row>
    <row r="388">
      <c r="A388" s="126"/>
      <c r="B388" s="126"/>
      <c r="C388" s="117"/>
      <c r="D388" s="117"/>
    </row>
    <row r="389">
      <c r="A389" s="126"/>
      <c r="B389" s="126"/>
      <c r="C389" s="117"/>
      <c r="D389" s="117"/>
    </row>
    <row r="390">
      <c r="A390" s="126"/>
      <c r="B390" s="126"/>
      <c r="C390" s="117"/>
      <c r="D390" s="117"/>
    </row>
    <row r="391">
      <c r="A391" s="126"/>
      <c r="B391" s="126"/>
      <c r="C391" s="117"/>
      <c r="D391" s="117"/>
    </row>
    <row r="392">
      <c r="A392" s="126"/>
      <c r="B392" s="126"/>
      <c r="C392" s="117"/>
      <c r="D392" s="117"/>
    </row>
    <row r="393">
      <c r="A393" s="126"/>
      <c r="B393" s="126"/>
      <c r="C393" s="117"/>
      <c r="D393" s="117"/>
    </row>
    <row r="394">
      <c r="A394" s="126"/>
      <c r="B394" s="126"/>
      <c r="C394" s="117"/>
      <c r="D394" s="117"/>
    </row>
    <row r="395">
      <c r="A395" s="126"/>
      <c r="B395" s="126"/>
      <c r="C395" s="117"/>
      <c r="D395" s="117"/>
    </row>
    <row r="396">
      <c r="A396" s="126"/>
      <c r="B396" s="126"/>
      <c r="C396" s="117"/>
      <c r="D396" s="117"/>
    </row>
    <row r="397">
      <c r="A397" s="126"/>
      <c r="B397" s="126"/>
      <c r="C397" s="117"/>
      <c r="D397" s="117"/>
    </row>
    <row r="398">
      <c r="A398" s="126"/>
      <c r="B398" s="126"/>
      <c r="C398" s="117"/>
      <c r="D398" s="117"/>
    </row>
    <row r="399">
      <c r="A399" s="126"/>
      <c r="B399" s="126"/>
      <c r="C399" s="117"/>
      <c r="D399" s="117"/>
    </row>
    <row r="400">
      <c r="A400" s="126"/>
      <c r="B400" s="126"/>
      <c r="C400" s="117"/>
      <c r="D400" s="117"/>
    </row>
    <row r="401">
      <c r="A401" s="126"/>
      <c r="B401" s="126"/>
      <c r="C401" s="117"/>
      <c r="D401" s="117"/>
    </row>
    <row r="402">
      <c r="A402" s="126"/>
      <c r="B402" s="126"/>
      <c r="C402" s="117"/>
      <c r="D402" s="117"/>
    </row>
    <row r="403">
      <c r="A403" s="126"/>
      <c r="B403" s="126"/>
      <c r="C403" s="117"/>
      <c r="D403" s="117"/>
    </row>
    <row r="404">
      <c r="A404" s="126"/>
      <c r="B404" s="126"/>
      <c r="C404" s="117"/>
      <c r="D404" s="117"/>
    </row>
    <row r="405">
      <c r="A405" s="126"/>
      <c r="B405" s="126"/>
      <c r="C405" s="117"/>
      <c r="D405" s="117"/>
    </row>
    <row r="406">
      <c r="A406" s="126"/>
      <c r="B406" s="126"/>
      <c r="C406" s="117"/>
      <c r="D406" s="117"/>
    </row>
    <row r="407">
      <c r="A407" s="126"/>
      <c r="B407" s="126"/>
      <c r="C407" s="117"/>
      <c r="D407" s="117"/>
    </row>
    <row r="408">
      <c r="A408" s="126"/>
      <c r="B408" s="126"/>
      <c r="C408" s="117"/>
      <c r="D408" s="117"/>
    </row>
    <row r="409">
      <c r="A409" s="126"/>
      <c r="B409" s="126"/>
      <c r="C409" s="117"/>
      <c r="D409" s="117"/>
    </row>
    <row r="410">
      <c r="A410" s="126"/>
      <c r="B410" s="126"/>
      <c r="C410" s="117"/>
      <c r="D410" s="117"/>
    </row>
    <row r="411">
      <c r="A411" s="126"/>
      <c r="B411" s="126"/>
      <c r="C411" s="117"/>
      <c r="D411" s="117"/>
    </row>
    <row r="412">
      <c r="A412" s="126"/>
      <c r="B412" s="126"/>
      <c r="C412" s="117"/>
      <c r="D412" s="117"/>
    </row>
    <row r="413">
      <c r="A413" s="126"/>
      <c r="B413" s="126"/>
      <c r="C413" s="117"/>
      <c r="D413" s="117"/>
    </row>
    <row r="414">
      <c r="A414" s="126"/>
      <c r="B414" s="126"/>
      <c r="C414" s="117"/>
      <c r="D414" s="117"/>
    </row>
    <row r="415">
      <c r="A415" s="126"/>
      <c r="B415" s="126"/>
      <c r="C415" s="117"/>
      <c r="D415" s="117"/>
    </row>
    <row r="416">
      <c r="A416" s="126"/>
      <c r="B416" s="126"/>
      <c r="C416" s="117"/>
      <c r="D416" s="117"/>
    </row>
    <row r="417">
      <c r="A417" s="126"/>
      <c r="B417" s="126"/>
      <c r="C417" s="117"/>
      <c r="D417" s="117"/>
    </row>
    <row r="418">
      <c r="A418" s="126"/>
      <c r="B418" s="126"/>
      <c r="C418" s="117"/>
      <c r="D418" s="117"/>
    </row>
    <row r="419">
      <c r="A419" s="126"/>
      <c r="B419" s="126"/>
      <c r="C419" s="117"/>
      <c r="D419" s="117"/>
    </row>
    <row r="420">
      <c r="A420" s="126"/>
      <c r="B420" s="126"/>
      <c r="C420" s="117"/>
      <c r="D420" s="117"/>
    </row>
    <row r="421">
      <c r="A421" s="126"/>
      <c r="B421" s="126"/>
      <c r="C421" s="117"/>
      <c r="D421" s="117"/>
    </row>
    <row r="422">
      <c r="A422" s="126"/>
      <c r="B422" s="126"/>
      <c r="C422" s="117"/>
      <c r="D422" s="117"/>
    </row>
    <row r="423">
      <c r="A423" s="126"/>
      <c r="B423" s="126"/>
      <c r="C423" s="117"/>
      <c r="D423" s="117"/>
    </row>
    <row r="424">
      <c r="A424" s="126"/>
      <c r="B424" s="126"/>
      <c r="C424" s="117"/>
      <c r="D424" s="117"/>
    </row>
    <row r="425">
      <c r="A425" s="126"/>
      <c r="B425" s="126"/>
      <c r="C425" s="117"/>
      <c r="D425" s="117"/>
    </row>
    <row r="426">
      <c r="A426" s="126"/>
      <c r="B426" s="126"/>
      <c r="C426" s="117"/>
      <c r="D426" s="117"/>
    </row>
    <row r="427">
      <c r="A427" s="126"/>
      <c r="B427" s="126"/>
      <c r="C427" s="117"/>
      <c r="D427" s="117"/>
    </row>
    <row r="428">
      <c r="A428" s="126"/>
      <c r="B428" s="126"/>
      <c r="C428" s="117"/>
      <c r="D428" s="117"/>
    </row>
    <row r="429">
      <c r="A429" s="126"/>
      <c r="B429" s="126"/>
      <c r="C429" s="117"/>
      <c r="D429" s="117"/>
    </row>
    <row r="430">
      <c r="A430" s="126"/>
      <c r="B430" s="126"/>
      <c r="C430" s="117"/>
      <c r="D430" s="117"/>
    </row>
    <row r="431">
      <c r="A431" s="126"/>
      <c r="B431" s="126"/>
      <c r="C431" s="117"/>
      <c r="D431" s="117"/>
    </row>
    <row r="432">
      <c r="A432" s="126"/>
      <c r="B432" s="126"/>
      <c r="C432" s="117"/>
      <c r="D432" s="117"/>
    </row>
    <row r="433">
      <c r="A433" s="126"/>
      <c r="B433" s="126"/>
      <c r="C433" s="117"/>
      <c r="D433" s="117"/>
    </row>
    <row r="434">
      <c r="A434" s="126"/>
      <c r="B434" s="126"/>
      <c r="C434" s="117"/>
      <c r="D434" s="117"/>
    </row>
    <row r="435">
      <c r="A435" s="126"/>
      <c r="B435" s="126"/>
      <c r="C435" s="117"/>
      <c r="D435" s="117"/>
    </row>
    <row r="436">
      <c r="A436" s="126"/>
      <c r="B436" s="126"/>
      <c r="C436" s="117"/>
      <c r="D436" s="117"/>
    </row>
    <row r="437">
      <c r="A437" s="126"/>
      <c r="B437" s="126"/>
      <c r="C437" s="117"/>
      <c r="D437" s="117"/>
    </row>
    <row r="438">
      <c r="A438" s="126"/>
      <c r="B438" s="126"/>
      <c r="C438" s="117"/>
      <c r="D438" s="117"/>
    </row>
    <row r="439">
      <c r="A439" s="126"/>
      <c r="B439" s="126"/>
      <c r="C439" s="117"/>
      <c r="D439" s="117"/>
    </row>
    <row r="440">
      <c r="A440" s="126"/>
      <c r="B440" s="126"/>
      <c r="C440" s="117"/>
      <c r="D440" s="117"/>
    </row>
    <row r="441">
      <c r="A441" s="126"/>
      <c r="B441" s="126"/>
      <c r="C441" s="117"/>
      <c r="D441" s="117"/>
    </row>
    <row r="442">
      <c r="A442" s="126"/>
      <c r="B442" s="126"/>
      <c r="C442" s="117"/>
      <c r="D442" s="117"/>
    </row>
    <row r="443">
      <c r="A443" s="126"/>
      <c r="B443" s="126"/>
      <c r="C443" s="117"/>
      <c r="D443" s="117"/>
    </row>
    <row r="444">
      <c r="A444" s="126"/>
      <c r="B444" s="126"/>
      <c r="C444" s="117"/>
      <c r="D444" s="117"/>
    </row>
    <row r="445">
      <c r="A445" s="126"/>
      <c r="B445" s="126"/>
      <c r="C445" s="117"/>
      <c r="D445" s="117"/>
    </row>
    <row r="446">
      <c r="A446" s="126"/>
      <c r="B446" s="126"/>
      <c r="C446" s="117"/>
      <c r="D446" s="117"/>
    </row>
    <row r="447">
      <c r="A447" s="126"/>
      <c r="B447" s="126"/>
      <c r="C447" s="117"/>
      <c r="D447" s="117"/>
    </row>
    <row r="448">
      <c r="A448" s="126"/>
      <c r="B448" s="126"/>
      <c r="C448" s="117"/>
      <c r="D448" s="117"/>
    </row>
    <row r="449">
      <c r="A449" s="126"/>
      <c r="B449" s="126"/>
      <c r="C449" s="117"/>
      <c r="D449" s="117"/>
    </row>
    <row r="450">
      <c r="A450" s="126"/>
      <c r="B450" s="126"/>
      <c r="C450" s="117"/>
      <c r="D450" s="117"/>
    </row>
    <row r="451">
      <c r="A451" s="126"/>
      <c r="B451" s="126"/>
      <c r="C451" s="117"/>
      <c r="D451" s="117"/>
    </row>
    <row r="452">
      <c r="A452" s="126"/>
      <c r="B452" s="126"/>
      <c r="C452" s="117"/>
      <c r="D452" s="117"/>
    </row>
    <row r="453">
      <c r="A453" s="126"/>
      <c r="B453" s="126"/>
      <c r="C453" s="117"/>
      <c r="D453" s="117"/>
    </row>
    <row r="454">
      <c r="A454" s="126"/>
      <c r="B454" s="126"/>
      <c r="C454" s="117"/>
      <c r="D454" s="117"/>
    </row>
    <row r="455">
      <c r="A455" s="126"/>
      <c r="B455" s="126"/>
      <c r="C455" s="117"/>
      <c r="D455" s="117"/>
    </row>
    <row r="456">
      <c r="A456" s="126"/>
      <c r="B456" s="126"/>
      <c r="C456" s="117"/>
      <c r="D456" s="117"/>
    </row>
    <row r="457">
      <c r="A457" s="126"/>
      <c r="B457" s="126"/>
      <c r="C457" s="117"/>
      <c r="D457" s="117"/>
    </row>
    <row r="458">
      <c r="A458" s="126"/>
      <c r="B458" s="126"/>
      <c r="C458" s="117"/>
      <c r="D458" s="117"/>
    </row>
    <row r="459">
      <c r="A459" s="126"/>
      <c r="B459" s="126"/>
      <c r="C459" s="117"/>
      <c r="D459" s="117"/>
    </row>
    <row r="460">
      <c r="A460" s="126"/>
      <c r="B460" s="126"/>
      <c r="C460" s="117"/>
      <c r="D460" s="117"/>
    </row>
    <row r="461">
      <c r="A461" s="126"/>
      <c r="B461" s="126"/>
      <c r="C461" s="117"/>
      <c r="D461" s="117"/>
    </row>
    <row r="462">
      <c r="A462" s="126"/>
      <c r="B462" s="126"/>
      <c r="C462" s="117"/>
      <c r="D462" s="117"/>
    </row>
    <row r="463">
      <c r="A463" s="126"/>
      <c r="B463" s="126"/>
      <c r="C463" s="117"/>
      <c r="D463" s="117"/>
    </row>
    <row r="464">
      <c r="A464" s="126"/>
      <c r="B464" s="126"/>
      <c r="C464" s="117"/>
      <c r="D464" s="117"/>
    </row>
    <row r="465">
      <c r="A465" s="126"/>
      <c r="B465" s="126"/>
      <c r="C465" s="117"/>
      <c r="D465" s="117"/>
    </row>
    <row r="466">
      <c r="A466" s="126"/>
      <c r="B466" s="126"/>
      <c r="C466" s="117"/>
      <c r="D466" s="117"/>
    </row>
    <row r="467">
      <c r="A467" s="126"/>
      <c r="B467" s="126"/>
      <c r="C467" s="117"/>
      <c r="D467" s="117"/>
    </row>
    <row r="468">
      <c r="A468" s="126"/>
      <c r="B468" s="126"/>
      <c r="C468" s="117"/>
      <c r="D468" s="117"/>
    </row>
    <row r="469">
      <c r="A469" s="126"/>
      <c r="B469" s="126"/>
      <c r="C469" s="117"/>
      <c r="D469" s="117"/>
    </row>
    <row r="470">
      <c r="A470" s="126"/>
      <c r="B470" s="126"/>
      <c r="C470" s="117"/>
      <c r="D470" s="117"/>
    </row>
    <row r="471">
      <c r="A471" s="126"/>
      <c r="B471" s="126"/>
      <c r="C471" s="117"/>
      <c r="D471" s="117"/>
    </row>
    <row r="472">
      <c r="A472" s="126"/>
      <c r="B472" s="126"/>
      <c r="C472" s="117"/>
      <c r="D472" s="117"/>
    </row>
    <row r="473">
      <c r="A473" s="126"/>
      <c r="B473" s="126"/>
      <c r="C473" s="117"/>
      <c r="D473" s="117"/>
    </row>
    <row r="474">
      <c r="A474" s="126"/>
      <c r="B474" s="126"/>
      <c r="C474" s="117"/>
      <c r="D474" s="117"/>
    </row>
    <row r="475">
      <c r="A475" s="126"/>
      <c r="B475" s="126"/>
      <c r="C475" s="117"/>
      <c r="D475" s="117"/>
    </row>
    <row r="476">
      <c r="A476" s="126"/>
      <c r="B476" s="126"/>
      <c r="C476" s="117"/>
      <c r="D476" s="117"/>
    </row>
    <row r="477">
      <c r="A477" s="126"/>
      <c r="B477" s="126"/>
      <c r="C477" s="117"/>
      <c r="D477" s="117"/>
    </row>
    <row r="478">
      <c r="A478" s="126"/>
      <c r="B478" s="126"/>
      <c r="C478" s="117"/>
      <c r="D478" s="117"/>
    </row>
    <row r="479">
      <c r="A479" s="126"/>
      <c r="B479" s="126"/>
      <c r="C479" s="117"/>
      <c r="D479" s="117"/>
    </row>
    <row r="480">
      <c r="A480" s="126"/>
      <c r="B480" s="126"/>
      <c r="C480" s="117"/>
      <c r="D480" s="117"/>
    </row>
    <row r="481">
      <c r="A481" s="126"/>
      <c r="B481" s="126"/>
      <c r="C481" s="117"/>
      <c r="D481" s="117"/>
    </row>
    <row r="482">
      <c r="A482" s="126"/>
      <c r="B482" s="126"/>
      <c r="C482" s="117"/>
      <c r="D482" s="117"/>
    </row>
    <row r="483">
      <c r="A483" s="126"/>
      <c r="B483" s="126"/>
      <c r="C483" s="117"/>
      <c r="D483" s="117"/>
    </row>
    <row r="484">
      <c r="A484" s="126"/>
      <c r="B484" s="126"/>
      <c r="C484" s="117"/>
      <c r="D484" s="117"/>
    </row>
    <row r="485">
      <c r="A485" s="126"/>
      <c r="B485" s="126"/>
      <c r="C485" s="117"/>
      <c r="D485" s="117"/>
    </row>
    <row r="486">
      <c r="A486" s="126"/>
      <c r="B486" s="126"/>
      <c r="C486" s="117"/>
      <c r="D486" s="117"/>
    </row>
    <row r="487">
      <c r="A487" s="126"/>
      <c r="B487" s="126"/>
      <c r="C487" s="117"/>
      <c r="D487" s="117"/>
    </row>
    <row r="488">
      <c r="A488" s="126"/>
      <c r="B488" s="126"/>
      <c r="C488" s="117"/>
      <c r="D488" s="117"/>
    </row>
    <row r="489">
      <c r="A489" s="126"/>
      <c r="B489" s="126"/>
      <c r="C489" s="117"/>
      <c r="D489" s="117"/>
    </row>
    <row r="490">
      <c r="A490" s="126"/>
      <c r="B490" s="126"/>
      <c r="C490" s="117"/>
      <c r="D490" s="117"/>
    </row>
    <row r="491">
      <c r="A491" s="126"/>
      <c r="B491" s="126"/>
      <c r="C491" s="117"/>
      <c r="D491" s="117"/>
    </row>
    <row r="492">
      <c r="A492" s="126"/>
      <c r="B492" s="126"/>
      <c r="C492" s="117"/>
      <c r="D492" s="117"/>
    </row>
    <row r="493">
      <c r="A493" s="126"/>
      <c r="B493" s="126"/>
      <c r="C493" s="117"/>
      <c r="D493" s="117"/>
    </row>
    <row r="494">
      <c r="A494" s="126"/>
      <c r="B494" s="126"/>
      <c r="C494" s="117"/>
      <c r="D494" s="117"/>
    </row>
    <row r="495">
      <c r="A495" s="126"/>
      <c r="B495" s="126"/>
      <c r="C495" s="117"/>
      <c r="D495" s="117"/>
    </row>
    <row r="496">
      <c r="A496" s="126"/>
      <c r="B496" s="126"/>
      <c r="C496" s="117"/>
      <c r="D496" s="117"/>
    </row>
    <row r="497">
      <c r="A497" s="126"/>
      <c r="B497" s="126"/>
      <c r="C497" s="117"/>
      <c r="D497" s="117"/>
    </row>
    <row r="498">
      <c r="A498" s="126"/>
      <c r="B498" s="126"/>
      <c r="C498" s="117"/>
      <c r="D498" s="117"/>
    </row>
    <row r="499">
      <c r="A499" s="126"/>
      <c r="B499" s="126"/>
      <c r="C499" s="117"/>
      <c r="D499" s="117"/>
    </row>
    <row r="500">
      <c r="A500" s="126"/>
      <c r="B500" s="126"/>
      <c r="C500" s="117"/>
      <c r="D500" s="117"/>
    </row>
    <row r="501">
      <c r="A501" s="126"/>
      <c r="B501" s="126"/>
      <c r="C501" s="117"/>
      <c r="D501" s="117"/>
    </row>
    <row r="502">
      <c r="A502" s="126"/>
      <c r="B502" s="126"/>
      <c r="C502" s="117"/>
      <c r="D502" s="117"/>
    </row>
    <row r="503">
      <c r="A503" s="126"/>
      <c r="B503" s="126"/>
      <c r="C503" s="117"/>
      <c r="D503" s="117"/>
    </row>
    <row r="504">
      <c r="A504" s="126"/>
      <c r="B504" s="126"/>
      <c r="C504" s="117"/>
      <c r="D504" s="117"/>
    </row>
    <row r="505">
      <c r="A505" s="126"/>
      <c r="B505" s="126"/>
      <c r="C505" s="117"/>
      <c r="D505" s="117"/>
    </row>
    <row r="506">
      <c r="A506" s="126"/>
      <c r="B506" s="126"/>
      <c r="C506" s="117"/>
      <c r="D506" s="117"/>
    </row>
    <row r="507">
      <c r="A507" s="126"/>
      <c r="B507" s="126"/>
      <c r="C507" s="117"/>
      <c r="D507" s="117"/>
    </row>
    <row r="508">
      <c r="A508" s="126"/>
      <c r="B508" s="126"/>
      <c r="C508" s="117"/>
      <c r="D508" s="117"/>
    </row>
    <row r="509">
      <c r="A509" s="126"/>
      <c r="B509" s="126"/>
      <c r="C509" s="117"/>
      <c r="D509" s="117"/>
    </row>
    <row r="510">
      <c r="A510" s="126"/>
      <c r="B510" s="126"/>
      <c r="C510" s="117"/>
      <c r="D510" s="117"/>
    </row>
    <row r="511">
      <c r="A511" s="126"/>
      <c r="B511" s="126"/>
      <c r="C511" s="117"/>
      <c r="D511" s="117"/>
    </row>
    <row r="512">
      <c r="A512" s="126"/>
      <c r="B512" s="126"/>
      <c r="C512" s="117"/>
      <c r="D512" s="117"/>
    </row>
    <row r="513">
      <c r="A513" s="126"/>
      <c r="B513" s="126"/>
      <c r="C513" s="117"/>
      <c r="D513" s="117"/>
    </row>
    <row r="514">
      <c r="A514" s="126"/>
      <c r="B514" s="126"/>
      <c r="C514" s="117"/>
      <c r="D514" s="117"/>
    </row>
    <row r="515">
      <c r="A515" s="126"/>
      <c r="B515" s="126"/>
      <c r="C515" s="117"/>
      <c r="D515" s="117"/>
    </row>
    <row r="516">
      <c r="A516" s="126"/>
      <c r="B516" s="126"/>
      <c r="C516" s="117"/>
      <c r="D516" s="117"/>
    </row>
    <row r="517">
      <c r="A517" s="126"/>
      <c r="B517" s="126"/>
      <c r="C517" s="117"/>
      <c r="D517" s="117"/>
    </row>
    <row r="518">
      <c r="A518" s="126"/>
      <c r="B518" s="126"/>
      <c r="C518" s="117"/>
      <c r="D518" s="117"/>
    </row>
    <row r="519">
      <c r="A519" s="126"/>
      <c r="B519" s="126"/>
      <c r="C519" s="117"/>
      <c r="D519" s="117"/>
    </row>
    <row r="520">
      <c r="A520" s="126"/>
      <c r="B520" s="126"/>
      <c r="C520" s="117"/>
      <c r="D520" s="117"/>
    </row>
    <row r="521">
      <c r="A521" s="126"/>
      <c r="B521" s="126"/>
      <c r="C521" s="117"/>
      <c r="D521" s="117"/>
    </row>
    <row r="522">
      <c r="A522" s="126"/>
      <c r="B522" s="126"/>
      <c r="C522" s="117"/>
      <c r="D522" s="117"/>
    </row>
    <row r="523">
      <c r="A523" s="126"/>
      <c r="B523" s="126"/>
      <c r="C523" s="117"/>
      <c r="D523" s="117"/>
    </row>
    <row r="524">
      <c r="A524" s="126"/>
      <c r="B524" s="126"/>
      <c r="C524" s="117"/>
      <c r="D524" s="117"/>
    </row>
    <row r="525">
      <c r="A525" s="126"/>
      <c r="B525" s="126"/>
      <c r="C525" s="117"/>
      <c r="D525" s="117"/>
    </row>
    <row r="526">
      <c r="A526" s="126"/>
      <c r="B526" s="126"/>
      <c r="C526" s="117"/>
      <c r="D526" s="117"/>
    </row>
    <row r="527">
      <c r="A527" s="126"/>
      <c r="B527" s="126"/>
      <c r="C527" s="117"/>
      <c r="D527" s="117"/>
    </row>
    <row r="528">
      <c r="A528" s="126"/>
      <c r="B528" s="126"/>
      <c r="C528" s="117"/>
      <c r="D528" s="117"/>
    </row>
    <row r="529">
      <c r="A529" s="126"/>
      <c r="B529" s="126"/>
      <c r="C529" s="117"/>
      <c r="D529" s="117"/>
    </row>
    <row r="530">
      <c r="A530" s="126"/>
      <c r="B530" s="126"/>
      <c r="C530" s="117"/>
      <c r="D530" s="117"/>
    </row>
    <row r="531">
      <c r="A531" s="126"/>
      <c r="B531" s="126"/>
      <c r="C531" s="117"/>
      <c r="D531" s="117"/>
    </row>
    <row r="532">
      <c r="A532" s="126"/>
      <c r="B532" s="126"/>
      <c r="C532" s="117"/>
      <c r="D532" s="117"/>
    </row>
    <row r="533">
      <c r="A533" s="126"/>
      <c r="B533" s="126"/>
      <c r="C533" s="117"/>
      <c r="D533" s="117"/>
    </row>
    <row r="534">
      <c r="A534" s="126"/>
      <c r="B534" s="126"/>
      <c r="C534" s="117"/>
      <c r="D534" s="117"/>
    </row>
    <row r="535">
      <c r="A535" s="126"/>
      <c r="B535" s="126"/>
      <c r="C535" s="117"/>
      <c r="D535" s="117"/>
    </row>
    <row r="536">
      <c r="A536" s="126"/>
      <c r="B536" s="126"/>
      <c r="C536" s="117"/>
      <c r="D536" s="117"/>
    </row>
    <row r="537">
      <c r="A537" s="126"/>
      <c r="B537" s="126"/>
      <c r="C537" s="117"/>
      <c r="D537" s="117"/>
    </row>
    <row r="538">
      <c r="A538" s="126"/>
      <c r="B538" s="126"/>
      <c r="C538" s="117"/>
      <c r="D538" s="117"/>
    </row>
    <row r="539">
      <c r="A539" s="126"/>
      <c r="B539" s="126"/>
      <c r="C539" s="117"/>
      <c r="D539" s="117"/>
    </row>
    <row r="540">
      <c r="A540" s="126"/>
      <c r="B540" s="126"/>
      <c r="C540" s="117"/>
      <c r="D540" s="117"/>
    </row>
    <row r="541">
      <c r="A541" s="126"/>
      <c r="B541" s="126"/>
      <c r="C541" s="117"/>
      <c r="D541" s="117"/>
    </row>
    <row r="542">
      <c r="A542" s="126"/>
      <c r="B542" s="126"/>
      <c r="C542" s="117"/>
      <c r="D542" s="117"/>
    </row>
    <row r="543">
      <c r="A543" s="126"/>
      <c r="B543" s="126"/>
      <c r="C543" s="117"/>
      <c r="D543" s="117"/>
    </row>
    <row r="544">
      <c r="A544" s="126"/>
      <c r="B544" s="126"/>
      <c r="C544" s="117"/>
      <c r="D544" s="117"/>
    </row>
    <row r="545">
      <c r="A545" s="126"/>
      <c r="B545" s="126"/>
      <c r="C545" s="117"/>
      <c r="D545" s="117"/>
    </row>
    <row r="546">
      <c r="A546" s="126"/>
      <c r="B546" s="126"/>
      <c r="C546" s="117"/>
      <c r="D546" s="117"/>
    </row>
    <row r="547">
      <c r="A547" s="126"/>
      <c r="B547" s="126"/>
      <c r="C547" s="117"/>
      <c r="D547" s="117"/>
    </row>
    <row r="548">
      <c r="A548" s="126"/>
      <c r="B548" s="126"/>
      <c r="C548" s="117"/>
      <c r="D548" s="117"/>
    </row>
    <row r="549">
      <c r="A549" s="126"/>
      <c r="B549" s="126"/>
      <c r="C549" s="117"/>
      <c r="D549" s="117"/>
    </row>
    <row r="550">
      <c r="A550" s="126"/>
      <c r="B550" s="126"/>
      <c r="C550" s="117"/>
      <c r="D550" s="117"/>
    </row>
    <row r="551">
      <c r="A551" s="126"/>
      <c r="B551" s="126"/>
      <c r="C551" s="117"/>
      <c r="D551" s="117"/>
    </row>
    <row r="552">
      <c r="A552" s="126"/>
      <c r="B552" s="126"/>
      <c r="C552" s="117"/>
      <c r="D552" s="117"/>
    </row>
    <row r="553">
      <c r="A553" s="126"/>
      <c r="B553" s="126"/>
      <c r="C553" s="117"/>
      <c r="D553" s="117"/>
    </row>
    <row r="554">
      <c r="A554" s="126"/>
      <c r="B554" s="126"/>
      <c r="C554" s="117"/>
      <c r="D554" s="117"/>
    </row>
    <row r="555">
      <c r="A555" s="126"/>
      <c r="B555" s="126"/>
      <c r="C555" s="117"/>
      <c r="D555" s="117"/>
    </row>
    <row r="556">
      <c r="A556" s="126"/>
      <c r="B556" s="126"/>
      <c r="C556" s="117"/>
      <c r="D556" s="117"/>
    </row>
    <row r="557">
      <c r="A557" s="126"/>
      <c r="B557" s="126"/>
      <c r="C557" s="117"/>
      <c r="D557" s="117"/>
    </row>
    <row r="558">
      <c r="A558" s="126"/>
      <c r="B558" s="126"/>
      <c r="C558" s="117"/>
      <c r="D558" s="117"/>
    </row>
    <row r="559">
      <c r="A559" s="126"/>
      <c r="B559" s="126"/>
      <c r="C559" s="117"/>
      <c r="D559" s="117"/>
    </row>
    <row r="560">
      <c r="A560" s="126"/>
      <c r="B560" s="126"/>
      <c r="C560" s="117"/>
      <c r="D560" s="117"/>
    </row>
    <row r="561">
      <c r="A561" s="126"/>
      <c r="B561" s="126"/>
      <c r="C561" s="117"/>
      <c r="D561" s="117"/>
    </row>
    <row r="562">
      <c r="A562" s="126"/>
      <c r="B562" s="126"/>
      <c r="C562" s="117"/>
      <c r="D562" s="117"/>
    </row>
    <row r="563">
      <c r="A563" s="126"/>
      <c r="B563" s="126"/>
      <c r="C563" s="117"/>
      <c r="D563" s="117"/>
    </row>
    <row r="564">
      <c r="A564" s="126"/>
      <c r="B564" s="126"/>
      <c r="C564" s="117"/>
      <c r="D564" s="117"/>
    </row>
    <row r="565">
      <c r="A565" s="126"/>
      <c r="B565" s="126"/>
      <c r="C565" s="117"/>
      <c r="D565" s="117"/>
    </row>
    <row r="566">
      <c r="A566" s="126"/>
      <c r="B566" s="126"/>
      <c r="C566" s="117"/>
      <c r="D566" s="117"/>
    </row>
    <row r="567">
      <c r="A567" s="126"/>
      <c r="B567" s="126"/>
      <c r="C567" s="117"/>
      <c r="D567" s="117"/>
    </row>
    <row r="568">
      <c r="A568" s="126"/>
      <c r="B568" s="126"/>
      <c r="C568" s="117"/>
      <c r="D568" s="117"/>
    </row>
    <row r="569">
      <c r="A569" s="126"/>
      <c r="B569" s="126"/>
      <c r="C569" s="117"/>
      <c r="D569" s="117"/>
    </row>
    <row r="570">
      <c r="A570" s="126"/>
      <c r="B570" s="126"/>
      <c r="C570" s="117"/>
      <c r="D570" s="117"/>
    </row>
    <row r="571">
      <c r="A571" s="126"/>
      <c r="B571" s="126"/>
      <c r="C571" s="117"/>
      <c r="D571" s="117"/>
    </row>
    <row r="572">
      <c r="A572" s="126"/>
      <c r="B572" s="126"/>
      <c r="C572" s="117"/>
      <c r="D572" s="117"/>
    </row>
    <row r="573">
      <c r="A573" s="126"/>
      <c r="B573" s="126"/>
      <c r="C573" s="117"/>
      <c r="D573" s="117"/>
    </row>
    <row r="574">
      <c r="A574" s="126"/>
      <c r="B574" s="126"/>
      <c r="C574" s="117"/>
      <c r="D574" s="117"/>
    </row>
    <row r="575">
      <c r="A575" s="126"/>
      <c r="B575" s="126"/>
      <c r="C575" s="117"/>
      <c r="D575" s="117"/>
    </row>
    <row r="576">
      <c r="A576" s="126"/>
      <c r="B576" s="126"/>
      <c r="C576" s="117"/>
      <c r="D576" s="117"/>
    </row>
    <row r="577">
      <c r="A577" s="126"/>
      <c r="B577" s="126"/>
      <c r="C577" s="117"/>
      <c r="D577" s="117"/>
    </row>
    <row r="578">
      <c r="A578" s="126"/>
      <c r="B578" s="126"/>
      <c r="C578" s="117"/>
      <c r="D578" s="117"/>
    </row>
    <row r="579">
      <c r="A579" s="126"/>
      <c r="B579" s="126"/>
      <c r="C579" s="117"/>
      <c r="D579" s="117"/>
    </row>
    <row r="580">
      <c r="A580" s="126"/>
      <c r="B580" s="126"/>
      <c r="C580" s="117"/>
      <c r="D580" s="117"/>
    </row>
    <row r="581">
      <c r="A581" s="126"/>
      <c r="B581" s="126"/>
      <c r="C581" s="117"/>
      <c r="D581" s="117"/>
    </row>
    <row r="582">
      <c r="A582" s="126"/>
      <c r="B582" s="126"/>
      <c r="C582" s="117"/>
      <c r="D582" s="117"/>
    </row>
    <row r="583">
      <c r="A583" s="126"/>
      <c r="B583" s="126"/>
      <c r="C583" s="117"/>
      <c r="D583" s="117"/>
    </row>
    <row r="584">
      <c r="A584" s="126"/>
      <c r="B584" s="126"/>
      <c r="C584" s="117"/>
      <c r="D584" s="117"/>
    </row>
    <row r="585">
      <c r="A585" s="126"/>
      <c r="B585" s="126"/>
      <c r="C585" s="117"/>
      <c r="D585" s="117"/>
    </row>
    <row r="586">
      <c r="A586" s="126"/>
      <c r="B586" s="126"/>
      <c r="C586" s="117"/>
      <c r="D586" s="117"/>
    </row>
    <row r="587">
      <c r="A587" s="126"/>
      <c r="B587" s="126"/>
      <c r="C587" s="117"/>
      <c r="D587" s="117"/>
    </row>
    <row r="588">
      <c r="A588" s="126"/>
      <c r="B588" s="126"/>
      <c r="C588" s="117"/>
      <c r="D588" s="117"/>
    </row>
    <row r="589">
      <c r="A589" s="126"/>
      <c r="B589" s="126"/>
      <c r="C589" s="117"/>
      <c r="D589" s="117"/>
    </row>
    <row r="590">
      <c r="A590" s="126"/>
      <c r="B590" s="126"/>
      <c r="C590" s="117"/>
      <c r="D590" s="117"/>
    </row>
    <row r="591">
      <c r="A591" s="126"/>
      <c r="B591" s="126"/>
      <c r="C591" s="117"/>
      <c r="D591" s="117"/>
    </row>
    <row r="592">
      <c r="A592" s="126"/>
      <c r="B592" s="126"/>
      <c r="C592" s="117"/>
      <c r="D592" s="117"/>
    </row>
    <row r="593">
      <c r="A593" s="126"/>
      <c r="B593" s="126"/>
      <c r="C593" s="117"/>
      <c r="D593" s="117"/>
    </row>
    <row r="594">
      <c r="A594" s="126"/>
      <c r="B594" s="126"/>
      <c r="C594" s="117"/>
      <c r="D594" s="117"/>
    </row>
    <row r="595">
      <c r="A595" s="126"/>
      <c r="B595" s="126"/>
      <c r="C595" s="117"/>
      <c r="D595" s="117"/>
    </row>
    <row r="596">
      <c r="A596" s="126"/>
      <c r="B596" s="126"/>
      <c r="C596" s="117"/>
      <c r="D596" s="117"/>
    </row>
    <row r="597">
      <c r="A597" s="126"/>
      <c r="B597" s="126"/>
      <c r="C597" s="117"/>
      <c r="D597" s="117"/>
    </row>
    <row r="598">
      <c r="A598" s="126"/>
      <c r="B598" s="126"/>
      <c r="C598" s="117"/>
      <c r="D598" s="117"/>
    </row>
    <row r="599">
      <c r="A599" s="126"/>
      <c r="B599" s="126"/>
      <c r="C599" s="117"/>
      <c r="D599" s="117"/>
    </row>
    <row r="600">
      <c r="A600" s="126"/>
      <c r="B600" s="126"/>
      <c r="C600" s="117"/>
      <c r="D600" s="117"/>
    </row>
    <row r="601">
      <c r="A601" s="126"/>
      <c r="B601" s="126"/>
      <c r="C601" s="117"/>
      <c r="D601" s="117"/>
    </row>
    <row r="602">
      <c r="A602" s="126"/>
      <c r="B602" s="126"/>
      <c r="C602" s="117"/>
      <c r="D602" s="117"/>
    </row>
    <row r="603">
      <c r="A603" s="126"/>
      <c r="B603" s="126"/>
      <c r="C603" s="117"/>
      <c r="D603" s="117"/>
    </row>
    <row r="604">
      <c r="A604" s="126"/>
      <c r="B604" s="126"/>
      <c r="C604" s="117"/>
      <c r="D604" s="117"/>
    </row>
    <row r="605">
      <c r="A605" s="126"/>
      <c r="B605" s="126"/>
      <c r="C605" s="117"/>
      <c r="D605" s="117"/>
    </row>
    <row r="606">
      <c r="A606" s="126"/>
      <c r="B606" s="126"/>
      <c r="C606" s="117"/>
      <c r="D606" s="117"/>
    </row>
    <row r="607">
      <c r="A607" s="126"/>
      <c r="B607" s="126"/>
      <c r="C607" s="117"/>
      <c r="D607" s="117"/>
    </row>
    <row r="608">
      <c r="A608" s="126"/>
      <c r="B608" s="126"/>
      <c r="C608" s="117"/>
      <c r="D608" s="117"/>
    </row>
    <row r="609">
      <c r="A609" s="126"/>
      <c r="B609" s="126"/>
      <c r="C609" s="117"/>
      <c r="D609" s="117"/>
    </row>
    <row r="610">
      <c r="A610" s="126"/>
      <c r="B610" s="126"/>
      <c r="C610" s="117"/>
      <c r="D610" s="117"/>
    </row>
    <row r="611">
      <c r="A611" s="126"/>
      <c r="B611" s="126"/>
      <c r="C611" s="117"/>
      <c r="D611" s="117"/>
    </row>
    <row r="612">
      <c r="A612" s="126"/>
      <c r="B612" s="126"/>
      <c r="C612" s="117"/>
      <c r="D612" s="117"/>
    </row>
    <row r="613">
      <c r="A613" s="126"/>
      <c r="B613" s="126"/>
      <c r="C613" s="117"/>
      <c r="D613" s="117"/>
    </row>
    <row r="614">
      <c r="A614" s="126"/>
      <c r="B614" s="126"/>
      <c r="C614" s="117"/>
      <c r="D614" s="117"/>
    </row>
    <row r="615">
      <c r="A615" s="126"/>
      <c r="B615" s="126"/>
      <c r="C615" s="117"/>
      <c r="D615" s="117"/>
    </row>
    <row r="616">
      <c r="A616" s="126"/>
      <c r="B616" s="126"/>
      <c r="C616" s="117"/>
      <c r="D616" s="117"/>
    </row>
    <row r="617">
      <c r="A617" s="126"/>
      <c r="B617" s="126"/>
      <c r="C617" s="117"/>
      <c r="D617" s="117"/>
    </row>
    <row r="618">
      <c r="A618" s="126"/>
      <c r="B618" s="126"/>
      <c r="C618" s="117"/>
      <c r="D618" s="117"/>
    </row>
    <row r="619">
      <c r="A619" s="126"/>
      <c r="B619" s="126"/>
      <c r="C619" s="117"/>
      <c r="D619" s="117"/>
    </row>
    <row r="620">
      <c r="A620" s="126"/>
      <c r="B620" s="126"/>
      <c r="C620" s="117"/>
      <c r="D620" s="117"/>
    </row>
    <row r="621">
      <c r="A621" s="126"/>
      <c r="B621" s="126"/>
      <c r="C621" s="117"/>
      <c r="D621" s="117"/>
    </row>
    <row r="622">
      <c r="A622" s="126"/>
      <c r="B622" s="126"/>
      <c r="C622" s="117"/>
      <c r="D622" s="117"/>
    </row>
    <row r="623">
      <c r="A623" s="126"/>
      <c r="B623" s="126"/>
      <c r="C623" s="117"/>
      <c r="D623" s="117"/>
    </row>
    <row r="624">
      <c r="A624" s="126"/>
      <c r="B624" s="126"/>
      <c r="C624" s="117"/>
      <c r="D624" s="117"/>
    </row>
    <row r="625">
      <c r="A625" s="126"/>
      <c r="B625" s="126"/>
      <c r="C625" s="117"/>
      <c r="D625" s="117"/>
    </row>
    <row r="626">
      <c r="A626" s="126"/>
      <c r="B626" s="126"/>
      <c r="C626" s="117"/>
      <c r="D626" s="117"/>
    </row>
    <row r="627">
      <c r="A627" s="126"/>
      <c r="B627" s="126"/>
      <c r="C627" s="117"/>
      <c r="D627" s="117"/>
    </row>
    <row r="628">
      <c r="A628" s="126"/>
      <c r="B628" s="126"/>
      <c r="C628" s="117"/>
      <c r="D628" s="117"/>
    </row>
    <row r="629">
      <c r="A629" s="126"/>
      <c r="B629" s="126"/>
      <c r="C629" s="117"/>
      <c r="D629" s="117"/>
    </row>
    <row r="630">
      <c r="A630" s="126"/>
      <c r="B630" s="126"/>
      <c r="C630" s="117"/>
      <c r="D630" s="117"/>
    </row>
    <row r="631">
      <c r="A631" s="126"/>
      <c r="B631" s="126"/>
      <c r="C631" s="117"/>
      <c r="D631" s="117"/>
    </row>
    <row r="632">
      <c r="A632" s="126"/>
      <c r="B632" s="126"/>
      <c r="C632" s="117"/>
      <c r="D632" s="117"/>
    </row>
    <row r="633">
      <c r="A633" s="126"/>
      <c r="B633" s="126"/>
      <c r="C633" s="117"/>
      <c r="D633" s="117"/>
    </row>
    <row r="634">
      <c r="A634" s="126"/>
      <c r="B634" s="126"/>
      <c r="C634" s="117"/>
      <c r="D634" s="117"/>
    </row>
    <row r="635">
      <c r="A635" s="126"/>
      <c r="B635" s="126"/>
      <c r="C635" s="117"/>
      <c r="D635" s="117"/>
    </row>
    <row r="636">
      <c r="A636" s="126"/>
      <c r="B636" s="126"/>
      <c r="C636" s="117"/>
      <c r="D636" s="117"/>
    </row>
    <row r="637">
      <c r="A637" s="126"/>
      <c r="B637" s="126"/>
      <c r="C637" s="117"/>
      <c r="D637" s="117"/>
    </row>
    <row r="638">
      <c r="A638" s="126"/>
      <c r="B638" s="126"/>
      <c r="C638" s="117"/>
      <c r="D638" s="117"/>
    </row>
    <row r="639">
      <c r="A639" s="126"/>
      <c r="B639" s="126"/>
      <c r="C639" s="117"/>
      <c r="D639" s="117"/>
    </row>
    <row r="640">
      <c r="A640" s="126"/>
      <c r="B640" s="126"/>
      <c r="C640" s="117"/>
      <c r="D640" s="117"/>
    </row>
    <row r="641">
      <c r="A641" s="126"/>
      <c r="B641" s="126"/>
      <c r="C641" s="117"/>
      <c r="D641" s="117"/>
    </row>
    <row r="642">
      <c r="A642" s="126"/>
      <c r="B642" s="126"/>
      <c r="C642" s="117"/>
      <c r="D642" s="117"/>
    </row>
    <row r="643">
      <c r="A643" s="126"/>
      <c r="B643" s="126"/>
      <c r="C643" s="117"/>
      <c r="D643" s="117"/>
    </row>
    <row r="644">
      <c r="A644" s="126"/>
      <c r="B644" s="126"/>
      <c r="C644" s="117"/>
      <c r="D644" s="117"/>
    </row>
    <row r="645">
      <c r="A645" s="126"/>
      <c r="B645" s="126"/>
      <c r="C645" s="117"/>
      <c r="D645" s="117"/>
    </row>
    <row r="646">
      <c r="A646" s="126"/>
      <c r="B646" s="126"/>
      <c r="C646" s="117"/>
      <c r="D646" s="117"/>
    </row>
    <row r="647">
      <c r="A647" s="126"/>
      <c r="B647" s="126"/>
      <c r="C647" s="117"/>
      <c r="D647" s="117"/>
    </row>
    <row r="648">
      <c r="A648" s="126"/>
      <c r="B648" s="126"/>
      <c r="C648" s="117"/>
      <c r="D648" s="117"/>
    </row>
    <row r="649">
      <c r="A649" s="126"/>
      <c r="B649" s="126"/>
      <c r="C649" s="117"/>
      <c r="D649" s="117"/>
    </row>
    <row r="650">
      <c r="A650" s="126"/>
      <c r="B650" s="126"/>
      <c r="C650" s="117"/>
      <c r="D650" s="117"/>
    </row>
    <row r="651">
      <c r="A651" s="126"/>
      <c r="B651" s="126"/>
      <c r="C651" s="117"/>
      <c r="D651" s="117"/>
    </row>
    <row r="652">
      <c r="A652" s="126"/>
      <c r="B652" s="126"/>
      <c r="C652" s="117"/>
      <c r="D652" s="117"/>
    </row>
    <row r="653">
      <c r="A653" s="126"/>
      <c r="B653" s="126"/>
      <c r="C653" s="117"/>
      <c r="D653" s="117"/>
    </row>
    <row r="654">
      <c r="A654" s="126"/>
      <c r="B654" s="126"/>
      <c r="C654" s="117"/>
      <c r="D654" s="117"/>
    </row>
    <row r="655">
      <c r="A655" s="126"/>
      <c r="B655" s="126"/>
      <c r="C655" s="117"/>
      <c r="D655" s="117"/>
    </row>
    <row r="656">
      <c r="A656" s="126"/>
      <c r="B656" s="126"/>
      <c r="C656" s="117"/>
      <c r="D656" s="117"/>
    </row>
    <row r="657">
      <c r="A657" s="126"/>
      <c r="B657" s="126"/>
      <c r="C657" s="117"/>
      <c r="D657" s="117"/>
    </row>
    <row r="658">
      <c r="A658" s="126"/>
      <c r="B658" s="126"/>
      <c r="C658" s="117"/>
      <c r="D658" s="117"/>
    </row>
    <row r="659">
      <c r="A659" s="126"/>
      <c r="B659" s="126"/>
      <c r="C659" s="117"/>
      <c r="D659" s="117"/>
    </row>
    <row r="660">
      <c r="A660" s="126"/>
      <c r="B660" s="126"/>
      <c r="C660" s="117"/>
      <c r="D660" s="117"/>
    </row>
    <row r="661">
      <c r="A661" s="126"/>
      <c r="B661" s="126"/>
      <c r="C661" s="117"/>
      <c r="D661" s="117"/>
    </row>
    <row r="662">
      <c r="A662" s="126"/>
      <c r="B662" s="126"/>
      <c r="C662" s="117"/>
      <c r="D662" s="117"/>
    </row>
    <row r="663">
      <c r="A663" s="126"/>
      <c r="B663" s="126"/>
      <c r="C663" s="117"/>
      <c r="D663" s="117"/>
    </row>
    <row r="664">
      <c r="A664" s="126"/>
      <c r="B664" s="126"/>
      <c r="C664" s="117"/>
      <c r="D664" s="117"/>
    </row>
    <row r="665">
      <c r="A665" s="126"/>
      <c r="B665" s="126"/>
      <c r="C665" s="117"/>
      <c r="D665" s="117"/>
    </row>
    <row r="666">
      <c r="A666" s="126"/>
      <c r="B666" s="126"/>
      <c r="C666" s="117"/>
      <c r="D666" s="117"/>
    </row>
    <row r="667">
      <c r="A667" s="126"/>
      <c r="B667" s="126"/>
      <c r="C667" s="117"/>
      <c r="D667" s="117"/>
    </row>
    <row r="668">
      <c r="A668" s="126"/>
      <c r="B668" s="126"/>
      <c r="C668" s="117"/>
      <c r="D668" s="117"/>
    </row>
    <row r="669">
      <c r="A669" s="126"/>
      <c r="B669" s="126"/>
      <c r="C669" s="117"/>
      <c r="D669" s="117"/>
    </row>
    <row r="670">
      <c r="A670" s="126"/>
      <c r="B670" s="126"/>
      <c r="C670" s="117"/>
      <c r="D670" s="117"/>
    </row>
    <row r="671">
      <c r="A671" s="126"/>
      <c r="B671" s="126"/>
      <c r="C671" s="117"/>
      <c r="D671" s="117"/>
    </row>
    <row r="672">
      <c r="A672" s="126"/>
      <c r="B672" s="126"/>
      <c r="C672" s="117"/>
      <c r="D672" s="117"/>
    </row>
    <row r="673">
      <c r="A673" s="126"/>
      <c r="B673" s="126"/>
      <c r="C673" s="117"/>
      <c r="D673" s="117"/>
    </row>
    <row r="674">
      <c r="A674" s="126"/>
      <c r="B674" s="126"/>
      <c r="C674" s="117"/>
      <c r="D674" s="117"/>
    </row>
    <row r="675">
      <c r="A675" s="126"/>
      <c r="B675" s="126"/>
      <c r="C675" s="117"/>
      <c r="D675" s="117"/>
    </row>
    <row r="676">
      <c r="A676" s="126"/>
      <c r="B676" s="126"/>
      <c r="C676" s="117"/>
      <c r="D676" s="117"/>
    </row>
    <row r="677">
      <c r="A677" s="126"/>
      <c r="B677" s="126"/>
      <c r="C677" s="117"/>
      <c r="D677" s="117"/>
    </row>
    <row r="678">
      <c r="A678" s="126"/>
      <c r="B678" s="126"/>
      <c r="C678" s="117"/>
      <c r="D678" s="117"/>
    </row>
    <row r="679">
      <c r="A679" s="126"/>
      <c r="B679" s="126"/>
      <c r="C679" s="117"/>
      <c r="D679" s="117"/>
    </row>
    <row r="680">
      <c r="A680" s="126"/>
      <c r="B680" s="126"/>
      <c r="C680" s="117"/>
      <c r="D680" s="117"/>
    </row>
    <row r="681">
      <c r="A681" s="126"/>
      <c r="B681" s="126"/>
      <c r="C681" s="117"/>
      <c r="D681" s="117"/>
    </row>
    <row r="682">
      <c r="A682" s="126"/>
      <c r="B682" s="126"/>
      <c r="C682" s="117"/>
      <c r="D682" s="117"/>
    </row>
    <row r="683">
      <c r="A683" s="126"/>
      <c r="B683" s="126"/>
      <c r="C683" s="117"/>
      <c r="D683" s="117"/>
    </row>
    <row r="684">
      <c r="A684" s="126"/>
      <c r="B684" s="126"/>
      <c r="C684" s="117"/>
      <c r="D684" s="117"/>
    </row>
    <row r="685">
      <c r="A685" s="126"/>
      <c r="B685" s="126"/>
      <c r="C685" s="117"/>
      <c r="D685" s="117"/>
    </row>
    <row r="686">
      <c r="A686" s="126"/>
      <c r="B686" s="126"/>
      <c r="C686" s="117"/>
      <c r="D686" s="117"/>
    </row>
    <row r="687">
      <c r="A687" s="126"/>
      <c r="B687" s="126"/>
      <c r="C687" s="117"/>
      <c r="D687" s="117"/>
    </row>
    <row r="688">
      <c r="A688" s="126"/>
      <c r="B688" s="126"/>
      <c r="C688" s="117"/>
      <c r="D688" s="117"/>
    </row>
    <row r="689">
      <c r="A689" s="126"/>
      <c r="B689" s="126"/>
      <c r="C689" s="117"/>
      <c r="D689" s="117"/>
    </row>
    <row r="690">
      <c r="A690" s="126"/>
      <c r="B690" s="126"/>
      <c r="C690" s="117"/>
      <c r="D690" s="117"/>
    </row>
    <row r="691">
      <c r="A691" s="126"/>
      <c r="B691" s="126"/>
      <c r="C691" s="117"/>
      <c r="D691" s="117"/>
    </row>
    <row r="692">
      <c r="A692" s="126"/>
      <c r="B692" s="126"/>
      <c r="C692" s="117"/>
      <c r="D692" s="117"/>
    </row>
    <row r="693">
      <c r="A693" s="126"/>
      <c r="B693" s="126"/>
      <c r="C693" s="117"/>
      <c r="D693" s="117"/>
    </row>
    <row r="694">
      <c r="A694" s="126"/>
      <c r="B694" s="126"/>
      <c r="C694" s="117"/>
      <c r="D694" s="117"/>
    </row>
    <row r="695">
      <c r="A695" s="126"/>
      <c r="B695" s="126"/>
      <c r="C695" s="117"/>
      <c r="D695" s="117"/>
    </row>
    <row r="696">
      <c r="A696" s="126"/>
      <c r="B696" s="126"/>
      <c r="C696" s="117"/>
      <c r="D696" s="117"/>
    </row>
    <row r="697">
      <c r="A697" s="126"/>
      <c r="B697" s="126"/>
      <c r="C697" s="117"/>
      <c r="D697" s="117"/>
    </row>
    <row r="698">
      <c r="A698" s="126"/>
      <c r="B698" s="126"/>
      <c r="C698" s="117"/>
      <c r="D698" s="117"/>
    </row>
    <row r="699">
      <c r="A699" s="126"/>
      <c r="B699" s="126"/>
      <c r="C699" s="117"/>
      <c r="D699" s="117"/>
    </row>
    <row r="700">
      <c r="A700" s="126"/>
      <c r="B700" s="126"/>
      <c r="C700" s="117"/>
      <c r="D700" s="117"/>
    </row>
    <row r="701">
      <c r="A701" s="126"/>
      <c r="B701" s="126"/>
      <c r="C701" s="117"/>
      <c r="D701" s="117"/>
    </row>
    <row r="702">
      <c r="A702" s="126"/>
      <c r="B702" s="126"/>
      <c r="C702" s="117"/>
      <c r="D702" s="117"/>
    </row>
    <row r="703">
      <c r="A703" s="126"/>
      <c r="B703" s="126"/>
      <c r="C703" s="117"/>
      <c r="D703" s="117"/>
    </row>
    <row r="704">
      <c r="A704" s="126"/>
      <c r="B704" s="126"/>
      <c r="C704" s="117"/>
      <c r="D704" s="117"/>
    </row>
    <row r="705">
      <c r="A705" s="126"/>
      <c r="B705" s="126"/>
      <c r="C705" s="117"/>
      <c r="D705" s="117"/>
    </row>
    <row r="706">
      <c r="A706" s="126"/>
      <c r="B706" s="126"/>
      <c r="C706" s="117"/>
      <c r="D706" s="117"/>
    </row>
    <row r="707">
      <c r="A707" s="126"/>
      <c r="B707" s="126"/>
      <c r="C707" s="117"/>
      <c r="D707" s="117"/>
    </row>
    <row r="708">
      <c r="A708" s="126"/>
      <c r="B708" s="126"/>
      <c r="C708" s="117"/>
      <c r="D708" s="117"/>
    </row>
    <row r="709">
      <c r="A709" s="126"/>
      <c r="B709" s="126"/>
      <c r="C709" s="117"/>
      <c r="D709" s="117"/>
    </row>
    <row r="710">
      <c r="A710" s="126"/>
      <c r="B710" s="126"/>
      <c r="C710" s="117"/>
      <c r="D710" s="117"/>
    </row>
    <row r="711">
      <c r="A711" s="126"/>
      <c r="B711" s="126"/>
      <c r="C711" s="117"/>
      <c r="D711" s="117"/>
    </row>
    <row r="712">
      <c r="A712" s="126"/>
      <c r="B712" s="126"/>
      <c r="C712" s="117"/>
      <c r="D712" s="117"/>
    </row>
    <row r="713">
      <c r="A713" s="126"/>
      <c r="B713" s="126"/>
      <c r="C713" s="117"/>
      <c r="D713" s="117"/>
    </row>
    <row r="714">
      <c r="A714" s="126"/>
      <c r="B714" s="126"/>
      <c r="C714" s="117"/>
      <c r="D714" s="117"/>
    </row>
    <row r="715">
      <c r="A715" s="126"/>
      <c r="B715" s="126"/>
      <c r="C715" s="117"/>
      <c r="D715" s="117"/>
    </row>
    <row r="716">
      <c r="A716" s="126"/>
      <c r="B716" s="126"/>
      <c r="C716" s="117"/>
      <c r="D716" s="117"/>
    </row>
    <row r="717">
      <c r="A717" s="126"/>
      <c r="B717" s="126"/>
      <c r="C717" s="117"/>
      <c r="D717" s="117"/>
    </row>
    <row r="718">
      <c r="A718" s="126"/>
      <c r="B718" s="126"/>
      <c r="C718" s="117"/>
      <c r="D718" s="117"/>
    </row>
    <row r="719">
      <c r="A719" s="126"/>
      <c r="B719" s="126"/>
      <c r="C719" s="117"/>
      <c r="D719" s="117"/>
    </row>
    <row r="720">
      <c r="A720" s="126"/>
      <c r="B720" s="126"/>
      <c r="C720" s="117"/>
      <c r="D720" s="117"/>
    </row>
    <row r="721">
      <c r="A721" s="126"/>
      <c r="B721" s="126"/>
      <c r="C721" s="117"/>
      <c r="D721" s="117"/>
    </row>
    <row r="722">
      <c r="A722" s="126"/>
      <c r="B722" s="126"/>
      <c r="C722" s="117"/>
      <c r="D722" s="117"/>
    </row>
    <row r="723">
      <c r="A723" s="126"/>
      <c r="B723" s="126"/>
      <c r="C723" s="117"/>
      <c r="D723" s="117"/>
    </row>
    <row r="724">
      <c r="A724" s="126"/>
      <c r="B724" s="126"/>
      <c r="C724" s="117"/>
      <c r="D724" s="117"/>
    </row>
    <row r="725">
      <c r="A725" s="126"/>
      <c r="B725" s="126"/>
      <c r="C725" s="117"/>
      <c r="D725" s="117"/>
    </row>
    <row r="726">
      <c r="A726" s="126"/>
      <c r="B726" s="126"/>
      <c r="C726" s="117"/>
      <c r="D726" s="117"/>
    </row>
    <row r="727">
      <c r="A727" s="126"/>
      <c r="B727" s="126"/>
      <c r="C727" s="117"/>
      <c r="D727" s="117"/>
    </row>
    <row r="728">
      <c r="A728" s="126"/>
      <c r="B728" s="126"/>
      <c r="C728" s="117"/>
      <c r="D728" s="117"/>
    </row>
    <row r="729">
      <c r="A729" s="126"/>
      <c r="B729" s="126"/>
      <c r="C729" s="117"/>
      <c r="D729" s="117"/>
    </row>
    <row r="730">
      <c r="A730" s="126"/>
      <c r="B730" s="126"/>
      <c r="C730" s="117"/>
      <c r="D730" s="117"/>
    </row>
    <row r="731">
      <c r="A731" s="126"/>
      <c r="B731" s="126"/>
      <c r="C731" s="117"/>
      <c r="D731" s="117"/>
    </row>
    <row r="732">
      <c r="A732" s="126"/>
      <c r="B732" s="126"/>
      <c r="C732" s="117"/>
      <c r="D732" s="117"/>
    </row>
    <row r="733">
      <c r="A733" s="126"/>
      <c r="B733" s="126"/>
      <c r="C733" s="117"/>
      <c r="D733" s="117"/>
    </row>
    <row r="734">
      <c r="A734" s="126"/>
      <c r="B734" s="126"/>
      <c r="C734" s="117"/>
      <c r="D734" s="117"/>
    </row>
    <row r="735">
      <c r="A735" s="126"/>
      <c r="B735" s="126"/>
      <c r="C735" s="117"/>
      <c r="D735" s="117"/>
    </row>
    <row r="736">
      <c r="A736" s="126"/>
      <c r="B736" s="126"/>
      <c r="C736" s="117"/>
      <c r="D736" s="117"/>
    </row>
    <row r="737">
      <c r="A737" s="126"/>
      <c r="B737" s="126"/>
      <c r="C737" s="117"/>
      <c r="D737" s="117"/>
    </row>
    <row r="738">
      <c r="A738" s="126"/>
      <c r="B738" s="126"/>
      <c r="C738" s="117"/>
      <c r="D738" s="117"/>
    </row>
    <row r="739">
      <c r="A739" s="126"/>
      <c r="B739" s="126"/>
      <c r="C739" s="117"/>
      <c r="D739" s="117"/>
    </row>
    <row r="740">
      <c r="A740" s="126"/>
      <c r="B740" s="126"/>
      <c r="C740" s="117"/>
      <c r="D740" s="117"/>
    </row>
    <row r="741">
      <c r="A741" s="126"/>
      <c r="B741" s="126"/>
      <c r="C741" s="117"/>
      <c r="D741" s="117"/>
    </row>
    <row r="742">
      <c r="A742" s="126"/>
      <c r="B742" s="126"/>
      <c r="C742" s="117"/>
      <c r="D742" s="117"/>
    </row>
    <row r="743">
      <c r="A743" s="126"/>
      <c r="B743" s="126"/>
      <c r="C743" s="117"/>
      <c r="D743" s="117"/>
    </row>
    <row r="744">
      <c r="A744" s="126"/>
      <c r="B744" s="126"/>
      <c r="C744" s="117"/>
      <c r="D744" s="117"/>
    </row>
    <row r="745">
      <c r="A745" s="126"/>
      <c r="B745" s="126"/>
      <c r="C745" s="117"/>
      <c r="D745" s="117"/>
    </row>
    <row r="746">
      <c r="A746" s="126"/>
      <c r="B746" s="126"/>
      <c r="C746" s="117"/>
      <c r="D746" s="117"/>
    </row>
    <row r="747">
      <c r="A747" s="126"/>
      <c r="B747" s="126"/>
      <c r="C747" s="117"/>
      <c r="D747" s="117"/>
    </row>
    <row r="748">
      <c r="A748" s="126"/>
      <c r="B748" s="126"/>
      <c r="C748" s="117"/>
      <c r="D748" s="117"/>
    </row>
    <row r="749">
      <c r="A749" s="126"/>
      <c r="B749" s="126"/>
      <c r="C749" s="117"/>
      <c r="D749" s="117"/>
    </row>
    <row r="750">
      <c r="A750" s="126"/>
      <c r="B750" s="126"/>
      <c r="C750" s="117"/>
      <c r="D750" s="117"/>
    </row>
    <row r="751">
      <c r="A751" s="126"/>
      <c r="B751" s="126"/>
      <c r="C751" s="117"/>
      <c r="D751" s="117"/>
    </row>
    <row r="752">
      <c r="A752" s="126"/>
      <c r="B752" s="126"/>
      <c r="C752" s="117"/>
      <c r="D752" s="117"/>
    </row>
    <row r="753">
      <c r="A753" s="126"/>
      <c r="B753" s="126"/>
      <c r="C753" s="117"/>
      <c r="D753" s="117"/>
    </row>
    <row r="754">
      <c r="A754" s="126"/>
      <c r="B754" s="126"/>
      <c r="C754" s="117"/>
      <c r="D754" s="117"/>
    </row>
    <row r="755">
      <c r="A755" s="126"/>
      <c r="B755" s="126"/>
      <c r="C755" s="117"/>
      <c r="D755" s="117"/>
    </row>
    <row r="756">
      <c r="A756" s="126"/>
      <c r="B756" s="126"/>
      <c r="C756" s="117"/>
      <c r="D756" s="117"/>
    </row>
    <row r="757">
      <c r="A757" s="126"/>
      <c r="B757" s="126"/>
      <c r="C757" s="117"/>
      <c r="D757" s="117"/>
    </row>
    <row r="758">
      <c r="A758" s="126"/>
      <c r="B758" s="126"/>
      <c r="C758" s="117"/>
      <c r="D758" s="117"/>
    </row>
    <row r="759">
      <c r="A759" s="126"/>
      <c r="B759" s="126"/>
      <c r="C759" s="117"/>
      <c r="D759" s="117"/>
    </row>
    <row r="760">
      <c r="A760" s="126"/>
      <c r="B760" s="126"/>
      <c r="C760" s="117"/>
      <c r="D760" s="117"/>
    </row>
    <row r="761">
      <c r="A761" s="126"/>
      <c r="B761" s="126"/>
      <c r="C761" s="117"/>
      <c r="D761" s="117"/>
    </row>
    <row r="762">
      <c r="A762" s="126"/>
      <c r="B762" s="126"/>
      <c r="C762" s="117"/>
      <c r="D762" s="117"/>
    </row>
    <row r="763">
      <c r="A763" s="126"/>
      <c r="B763" s="126"/>
      <c r="C763" s="117"/>
      <c r="D763" s="117"/>
    </row>
    <row r="764">
      <c r="A764" s="126"/>
      <c r="B764" s="126"/>
      <c r="C764" s="117"/>
      <c r="D764" s="117"/>
    </row>
    <row r="765">
      <c r="A765" s="126"/>
      <c r="B765" s="126"/>
      <c r="C765" s="117"/>
      <c r="D765" s="117"/>
    </row>
    <row r="766">
      <c r="A766" s="126"/>
      <c r="B766" s="126"/>
      <c r="C766" s="117"/>
      <c r="D766" s="117"/>
    </row>
    <row r="767">
      <c r="A767" s="126"/>
      <c r="B767" s="126"/>
      <c r="C767" s="117"/>
      <c r="D767" s="117"/>
    </row>
    <row r="768">
      <c r="A768" s="126"/>
      <c r="B768" s="126"/>
      <c r="C768" s="117"/>
      <c r="D768" s="117"/>
    </row>
    <row r="769">
      <c r="A769" s="126"/>
      <c r="B769" s="126"/>
      <c r="C769" s="117"/>
      <c r="D769" s="117"/>
    </row>
    <row r="770">
      <c r="A770" s="126"/>
      <c r="B770" s="126"/>
      <c r="C770" s="117"/>
      <c r="D770" s="117"/>
    </row>
    <row r="771">
      <c r="A771" s="126"/>
      <c r="B771" s="126"/>
      <c r="C771" s="117"/>
      <c r="D771" s="117"/>
    </row>
    <row r="772">
      <c r="A772" s="126"/>
      <c r="B772" s="126"/>
      <c r="C772" s="117"/>
      <c r="D772" s="117"/>
    </row>
    <row r="773">
      <c r="A773" s="126"/>
      <c r="B773" s="126"/>
      <c r="C773" s="117"/>
      <c r="D773" s="117"/>
    </row>
    <row r="774">
      <c r="A774" s="126"/>
      <c r="B774" s="126"/>
      <c r="C774" s="117"/>
      <c r="D774" s="117"/>
    </row>
    <row r="775">
      <c r="A775" s="126"/>
      <c r="B775" s="126"/>
      <c r="C775" s="117"/>
      <c r="D775" s="117"/>
    </row>
    <row r="776">
      <c r="A776" s="126"/>
      <c r="B776" s="126"/>
      <c r="C776" s="117"/>
      <c r="D776" s="117"/>
    </row>
    <row r="777">
      <c r="A777" s="126"/>
      <c r="B777" s="126"/>
      <c r="C777" s="117"/>
      <c r="D777" s="117"/>
    </row>
    <row r="778">
      <c r="A778" s="126"/>
      <c r="B778" s="126"/>
      <c r="C778" s="117"/>
      <c r="D778" s="117"/>
    </row>
    <row r="779">
      <c r="A779" s="126"/>
      <c r="B779" s="126"/>
      <c r="C779" s="117"/>
      <c r="D779" s="117"/>
    </row>
    <row r="780">
      <c r="A780" s="126"/>
      <c r="B780" s="126"/>
      <c r="C780" s="117"/>
      <c r="D780" s="117"/>
    </row>
    <row r="781">
      <c r="A781" s="126"/>
      <c r="B781" s="126"/>
      <c r="C781" s="117"/>
      <c r="D781" s="117"/>
    </row>
    <row r="782">
      <c r="A782" s="126"/>
      <c r="B782" s="126"/>
      <c r="C782" s="117"/>
      <c r="D782" s="117"/>
    </row>
    <row r="783">
      <c r="A783" s="126"/>
      <c r="B783" s="126"/>
      <c r="C783" s="117"/>
      <c r="D783" s="117"/>
    </row>
    <row r="784">
      <c r="A784" s="126"/>
      <c r="B784" s="126"/>
      <c r="C784" s="117"/>
      <c r="D784" s="117"/>
    </row>
    <row r="785">
      <c r="A785" s="126"/>
      <c r="B785" s="126"/>
      <c r="C785" s="117"/>
      <c r="D785" s="117"/>
    </row>
    <row r="786">
      <c r="A786" s="126"/>
      <c r="B786" s="126"/>
      <c r="C786" s="117"/>
      <c r="D786" s="117"/>
    </row>
    <row r="787">
      <c r="A787" s="126"/>
      <c r="B787" s="126"/>
      <c r="C787" s="117"/>
      <c r="D787" s="117"/>
    </row>
    <row r="788">
      <c r="A788" s="126"/>
      <c r="B788" s="126"/>
      <c r="C788" s="117"/>
      <c r="D788" s="117"/>
    </row>
    <row r="789">
      <c r="A789" s="126"/>
      <c r="B789" s="126"/>
      <c r="C789" s="117"/>
      <c r="D789" s="117"/>
    </row>
    <row r="790">
      <c r="A790" s="126"/>
      <c r="B790" s="126"/>
      <c r="C790" s="117"/>
      <c r="D790" s="117"/>
    </row>
    <row r="791">
      <c r="A791" s="126"/>
      <c r="B791" s="126"/>
      <c r="C791" s="117"/>
      <c r="D791" s="117"/>
    </row>
    <row r="792">
      <c r="A792" s="126"/>
      <c r="B792" s="126"/>
      <c r="C792" s="117"/>
      <c r="D792" s="117"/>
    </row>
    <row r="793">
      <c r="A793" s="126"/>
      <c r="B793" s="126"/>
      <c r="C793" s="117"/>
      <c r="D793" s="117"/>
    </row>
    <row r="794">
      <c r="A794" s="126"/>
      <c r="B794" s="126"/>
      <c r="C794" s="117"/>
      <c r="D794" s="117"/>
    </row>
    <row r="795">
      <c r="A795" s="126"/>
      <c r="B795" s="126"/>
      <c r="C795" s="117"/>
      <c r="D795" s="117"/>
    </row>
    <row r="796">
      <c r="A796" s="126"/>
      <c r="B796" s="126"/>
      <c r="C796" s="117"/>
      <c r="D796" s="117"/>
    </row>
    <row r="797">
      <c r="A797" s="126"/>
      <c r="B797" s="126"/>
      <c r="C797" s="117"/>
      <c r="D797" s="117"/>
    </row>
    <row r="798">
      <c r="A798" s="126"/>
      <c r="B798" s="126"/>
      <c r="C798" s="117"/>
      <c r="D798" s="117"/>
    </row>
    <row r="799">
      <c r="A799" s="126"/>
      <c r="B799" s="126"/>
      <c r="C799" s="117"/>
      <c r="D799" s="117"/>
    </row>
    <row r="800">
      <c r="A800" s="126"/>
      <c r="B800" s="126"/>
      <c r="C800" s="117"/>
      <c r="D800" s="117"/>
    </row>
    <row r="801">
      <c r="A801" s="126"/>
      <c r="B801" s="126"/>
      <c r="C801" s="117"/>
      <c r="D801" s="117"/>
    </row>
    <row r="802">
      <c r="A802" s="126"/>
      <c r="B802" s="126"/>
      <c r="C802" s="117"/>
      <c r="D802" s="117"/>
    </row>
    <row r="803">
      <c r="A803" s="126"/>
      <c r="B803" s="126"/>
      <c r="C803" s="117"/>
      <c r="D803" s="117"/>
    </row>
    <row r="804">
      <c r="A804" s="126"/>
      <c r="B804" s="126"/>
      <c r="C804" s="117"/>
      <c r="D804" s="117"/>
    </row>
    <row r="805">
      <c r="A805" s="126"/>
      <c r="B805" s="126"/>
      <c r="C805" s="117"/>
      <c r="D805" s="117"/>
    </row>
    <row r="806">
      <c r="A806" s="126"/>
      <c r="B806" s="126"/>
      <c r="C806" s="117"/>
      <c r="D806" s="117"/>
    </row>
    <row r="807">
      <c r="A807" s="126"/>
      <c r="B807" s="126"/>
      <c r="C807" s="117"/>
      <c r="D807" s="117"/>
    </row>
    <row r="808">
      <c r="A808" s="126"/>
      <c r="B808" s="126"/>
      <c r="C808" s="117"/>
      <c r="D808" s="117"/>
    </row>
    <row r="809">
      <c r="A809" s="126"/>
      <c r="B809" s="126"/>
      <c r="C809" s="117"/>
      <c r="D809" s="117"/>
    </row>
    <row r="810">
      <c r="A810" s="126"/>
      <c r="B810" s="126"/>
      <c r="C810" s="117"/>
      <c r="D810" s="117"/>
    </row>
    <row r="811">
      <c r="A811" s="126"/>
      <c r="B811" s="126"/>
      <c r="C811" s="117"/>
      <c r="D811" s="117"/>
    </row>
    <row r="812">
      <c r="A812" s="126"/>
      <c r="B812" s="126"/>
      <c r="C812" s="117"/>
      <c r="D812" s="117"/>
    </row>
    <row r="813">
      <c r="A813" s="126"/>
      <c r="B813" s="126"/>
      <c r="C813" s="117"/>
      <c r="D813" s="117"/>
    </row>
    <row r="814">
      <c r="A814" s="126"/>
      <c r="B814" s="126"/>
      <c r="C814" s="117"/>
      <c r="D814" s="117"/>
    </row>
    <row r="815">
      <c r="A815" s="126"/>
      <c r="B815" s="126"/>
      <c r="C815" s="117"/>
      <c r="D815" s="117"/>
    </row>
    <row r="816">
      <c r="A816" s="126"/>
      <c r="B816" s="126"/>
      <c r="C816" s="117"/>
      <c r="D816" s="117"/>
    </row>
    <row r="817">
      <c r="A817" s="126"/>
      <c r="B817" s="126"/>
      <c r="C817" s="117"/>
      <c r="D817" s="117"/>
    </row>
    <row r="818">
      <c r="A818" s="126"/>
      <c r="B818" s="126"/>
      <c r="C818" s="117"/>
      <c r="D818" s="117"/>
    </row>
    <row r="819">
      <c r="A819" s="126"/>
      <c r="B819" s="126"/>
      <c r="C819" s="117"/>
      <c r="D819" s="117"/>
    </row>
    <row r="820">
      <c r="A820" s="126"/>
      <c r="B820" s="126"/>
      <c r="C820" s="117"/>
      <c r="D820" s="117"/>
    </row>
    <row r="821">
      <c r="A821" s="126"/>
      <c r="B821" s="126"/>
      <c r="C821" s="117"/>
      <c r="D821" s="117"/>
    </row>
    <row r="822">
      <c r="A822" s="126"/>
      <c r="B822" s="126"/>
      <c r="C822" s="117"/>
      <c r="D822" s="117"/>
    </row>
    <row r="823">
      <c r="A823" s="126"/>
      <c r="B823" s="126"/>
      <c r="C823" s="117"/>
      <c r="D823" s="117"/>
    </row>
    <row r="824">
      <c r="A824" s="126"/>
      <c r="B824" s="126"/>
      <c r="C824" s="117"/>
      <c r="D824" s="117"/>
    </row>
    <row r="825">
      <c r="A825" s="126"/>
      <c r="B825" s="126"/>
      <c r="C825" s="117"/>
      <c r="D825" s="117"/>
    </row>
    <row r="826">
      <c r="A826" s="126"/>
      <c r="B826" s="126"/>
      <c r="C826" s="117"/>
      <c r="D826" s="117"/>
    </row>
    <row r="827">
      <c r="A827" s="126"/>
      <c r="B827" s="126"/>
      <c r="C827" s="117"/>
      <c r="D827" s="117"/>
    </row>
    <row r="828">
      <c r="A828" s="126"/>
      <c r="B828" s="126"/>
      <c r="C828" s="117"/>
      <c r="D828" s="117"/>
    </row>
    <row r="829">
      <c r="A829" s="126"/>
      <c r="B829" s="126"/>
      <c r="C829" s="117"/>
      <c r="D829" s="117"/>
    </row>
    <row r="830">
      <c r="A830" s="126"/>
      <c r="B830" s="126"/>
      <c r="C830" s="117"/>
      <c r="D830" s="117"/>
    </row>
    <row r="831">
      <c r="A831" s="126"/>
      <c r="B831" s="126"/>
      <c r="C831" s="117"/>
      <c r="D831" s="117"/>
    </row>
    <row r="832">
      <c r="A832" s="126"/>
      <c r="B832" s="126"/>
      <c r="C832" s="117"/>
      <c r="D832" s="117"/>
    </row>
    <row r="833">
      <c r="A833" s="126"/>
      <c r="B833" s="126"/>
      <c r="C833" s="117"/>
      <c r="D833" s="117"/>
    </row>
    <row r="834">
      <c r="A834" s="126"/>
      <c r="B834" s="126"/>
      <c r="C834" s="117"/>
      <c r="D834" s="117"/>
    </row>
    <row r="835">
      <c r="A835" s="126"/>
      <c r="B835" s="126"/>
      <c r="C835" s="117"/>
      <c r="D835" s="117"/>
    </row>
    <row r="836">
      <c r="A836" s="126"/>
      <c r="B836" s="126"/>
      <c r="C836" s="117"/>
      <c r="D836" s="117"/>
    </row>
    <row r="837">
      <c r="A837" s="126"/>
      <c r="B837" s="126"/>
      <c r="C837" s="117"/>
      <c r="D837" s="117"/>
    </row>
    <row r="838">
      <c r="A838" s="126"/>
      <c r="B838" s="126"/>
      <c r="C838" s="117"/>
      <c r="D838" s="117"/>
    </row>
    <row r="839">
      <c r="A839" s="126"/>
      <c r="B839" s="126"/>
      <c r="C839" s="117"/>
      <c r="D839" s="117"/>
    </row>
    <row r="840">
      <c r="A840" s="126"/>
      <c r="B840" s="126"/>
      <c r="C840" s="117"/>
      <c r="D840" s="117"/>
    </row>
    <row r="841">
      <c r="A841" s="126"/>
      <c r="B841" s="126"/>
      <c r="C841" s="117"/>
      <c r="D841" s="117"/>
    </row>
    <row r="842">
      <c r="A842" s="126"/>
      <c r="B842" s="126"/>
      <c r="C842" s="117"/>
      <c r="D842" s="117"/>
    </row>
    <row r="843">
      <c r="A843" s="126"/>
      <c r="B843" s="126"/>
      <c r="C843" s="117"/>
      <c r="D843" s="117"/>
    </row>
    <row r="844">
      <c r="A844" s="126"/>
      <c r="B844" s="126"/>
      <c r="C844" s="117"/>
      <c r="D844" s="117"/>
    </row>
    <row r="845">
      <c r="A845" s="126"/>
      <c r="B845" s="126"/>
      <c r="C845" s="117"/>
      <c r="D845" s="117"/>
    </row>
    <row r="846">
      <c r="A846" s="126"/>
      <c r="B846" s="126"/>
      <c r="C846" s="117"/>
      <c r="D846" s="117"/>
    </row>
    <row r="847">
      <c r="A847" s="126"/>
      <c r="B847" s="126"/>
      <c r="C847" s="117"/>
      <c r="D847" s="117"/>
    </row>
    <row r="848">
      <c r="A848" s="126"/>
      <c r="B848" s="126"/>
      <c r="C848" s="117"/>
      <c r="D848" s="117"/>
    </row>
    <row r="849">
      <c r="A849" s="126"/>
      <c r="B849" s="126"/>
      <c r="C849" s="117"/>
      <c r="D849" s="117"/>
    </row>
    <row r="850">
      <c r="A850" s="126"/>
      <c r="B850" s="126"/>
      <c r="C850" s="117"/>
      <c r="D850" s="117"/>
    </row>
    <row r="851">
      <c r="A851" s="126"/>
      <c r="B851" s="126"/>
      <c r="C851" s="117"/>
      <c r="D851" s="117"/>
    </row>
    <row r="852">
      <c r="A852" s="126"/>
      <c r="B852" s="126"/>
      <c r="C852" s="117"/>
      <c r="D852" s="117"/>
    </row>
    <row r="853">
      <c r="A853" s="126"/>
      <c r="B853" s="126"/>
      <c r="C853" s="117"/>
      <c r="D853" s="117"/>
    </row>
    <row r="854">
      <c r="A854" s="126"/>
      <c r="B854" s="126"/>
      <c r="C854" s="117"/>
      <c r="D854" s="117"/>
    </row>
    <row r="855">
      <c r="A855" s="126"/>
      <c r="B855" s="126"/>
      <c r="C855" s="117"/>
      <c r="D855" s="117"/>
    </row>
    <row r="856">
      <c r="A856" s="126"/>
      <c r="B856" s="126"/>
      <c r="C856" s="117"/>
      <c r="D856" s="117"/>
    </row>
    <row r="857">
      <c r="A857" s="126"/>
      <c r="B857" s="126"/>
      <c r="C857" s="117"/>
      <c r="D857" s="117"/>
    </row>
    <row r="858">
      <c r="A858" s="126"/>
      <c r="B858" s="126"/>
      <c r="C858" s="117"/>
      <c r="D858" s="117"/>
    </row>
    <row r="859">
      <c r="A859" s="126"/>
      <c r="B859" s="126"/>
      <c r="C859" s="117"/>
      <c r="D859" s="117"/>
    </row>
    <row r="860">
      <c r="A860" s="126"/>
      <c r="B860" s="126"/>
      <c r="C860" s="117"/>
      <c r="D860" s="117"/>
    </row>
    <row r="861">
      <c r="A861" s="126"/>
      <c r="B861" s="126"/>
      <c r="C861" s="117"/>
      <c r="D861" s="117"/>
    </row>
    <row r="862">
      <c r="A862" s="126"/>
      <c r="B862" s="126"/>
      <c r="C862" s="117"/>
      <c r="D862" s="117"/>
    </row>
    <row r="863">
      <c r="A863" s="126"/>
      <c r="B863" s="126"/>
      <c r="C863" s="117"/>
      <c r="D863" s="117"/>
    </row>
    <row r="864">
      <c r="A864" s="126"/>
      <c r="B864" s="126"/>
      <c r="C864" s="117"/>
      <c r="D864" s="117"/>
    </row>
    <row r="865">
      <c r="A865" s="126"/>
      <c r="B865" s="126"/>
      <c r="C865" s="117"/>
      <c r="D865" s="117"/>
    </row>
    <row r="866">
      <c r="A866" s="126"/>
      <c r="B866" s="126"/>
      <c r="C866" s="117"/>
      <c r="D866" s="117"/>
    </row>
    <row r="867">
      <c r="A867" s="126"/>
      <c r="B867" s="126"/>
      <c r="C867" s="117"/>
      <c r="D867" s="117"/>
    </row>
    <row r="868">
      <c r="A868" s="126"/>
      <c r="B868" s="126"/>
      <c r="C868" s="117"/>
      <c r="D868" s="117"/>
    </row>
    <row r="869">
      <c r="A869" s="126"/>
      <c r="B869" s="126"/>
      <c r="C869" s="117"/>
      <c r="D869" s="117"/>
    </row>
    <row r="870">
      <c r="A870" s="126"/>
      <c r="B870" s="126"/>
      <c r="C870" s="117"/>
      <c r="D870" s="117"/>
    </row>
    <row r="871">
      <c r="A871" s="126"/>
      <c r="B871" s="126"/>
      <c r="C871" s="117"/>
      <c r="D871" s="117"/>
    </row>
    <row r="872">
      <c r="A872" s="126"/>
      <c r="B872" s="126"/>
      <c r="C872" s="117"/>
      <c r="D872" s="117"/>
    </row>
    <row r="873">
      <c r="A873" s="126"/>
      <c r="B873" s="126"/>
      <c r="C873" s="117"/>
      <c r="D873" s="117"/>
    </row>
    <row r="874">
      <c r="A874" s="126"/>
      <c r="B874" s="126"/>
      <c r="C874" s="117"/>
      <c r="D874" s="117"/>
    </row>
    <row r="875">
      <c r="A875" s="126"/>
      <c r="B875" s="126"/>
      <c r="C875" s="117"/>
      <c r="D875" s="117"/>
    </row>
    <row r="876">
      <c r="A876" s="126"/>
      <c r="B876" s="126"/>
      <c r="C876" s="117"/>
      <c r="D876" s="117"/>
    </row>
    <row r="877">
      <c r="A877" s="126"/>
      <c r="B877" s="126"/>
      <c r="C877" s="117"/>
      <c r="D877" s="117"/>
    </row>
    <row r="878">
      <c r="A878" s="126"/>
      <c r="B878" s="126"/>
      <c r="C878" s="117"/>
      <c r="D878" s="117"/>
    </row>
    <row r="879">
      <c r="A879" s="126"/>
      <c r="B879" s="126"/>
      <c r="C879" s="117"/>
      <c r="D879" s="117"/>
    </row>
    <row r="880">
      <c r="A880" s="126"/>
      <c r="B880" s="126"/>
      <c r="C880" s="117"/>
      <c r="D880" s="117"/>
    </row>
    <row r="881">
      <c r="A881" s="126"/>
      <c r="B881" s="126"/>
      <c r="C881" s="117"/>
      <c r="D881" s="117"/>
    </row>
    <row r="882">
      <c r="A882" s="126"/>
      <c r="B882" s="126"/>
      <c r="C882" s="117"/>
      <c r="D882" s="117"/>
    </row>
    <row r="883">
      <c r="A883" s="126"/>
      <c r="B883" s="126"/>
      <c r="C883" s="117"/>
      <c r="D883" s="117"/>
    </row>
    <row r="884">
      <c r="A884" s="126"/>
      <c r="B884" s="126"/>
      <c r="C884" s="117"/>
      <c r="D884" s="117"/>
    </row>
    <row r="885">
      <c r="A885" s="126"/>
      <c r="B885" s="126"/>
      <c r="C885" s="117"/>
      <c r="D885" s="117"/>
    </row>
    <row r="886">
      <c r="A886" s="126"/>
      <c r="B886" s="126"/>
      <c r="C886" s="117"/>
      <c r="D886" s="117"/>
    </row>
    <row r="887">
      <c r="A887" s="126"/>
      <c r="B887" s="126"/>
      <c r="C887" s="117"/>
      <c r="D887" s="117"/>
    </row>
    <row r="888">
      <c r="A888" s="126"/>
      <c r="B888" s="126"/>
      <c r="C888" s="117"/>
      <c r="D888" s="117"/>
    </row>
    <row r="889">
      <c r="A889" s="126"/>
      <c r="B889" s="126"/>
      <c r="C889" s="117"/>
      <c r="D889" s="117"/>
    </row>
    <row r="890">
      <c r="A890" s="126"/>
      <c r="B890" s="126"/>
      <c r="C890" s="117"/>
      <c r="D890" s="117"/>
    </row>
    <row r="891">
      <c r="A891" s="126"/>
      <c r="B891" s="126"/>
      <c r="C891" s="117"/>
      <c r="D891" s="117"/>
    </row>
    <row r="892">
      <c r="A892" s="126"/>
      <c r="B892" s="126"/>
      <c r="C892" s="117"/>
      <c r="D892" s="117"/>
    </row>
    <row r="893">
      <c r="A893" s="126"/>
      <c r="B893" s="126"/>
      <c r="C893" s="117"/>
      <c r="D893" s="117"/>
    </row>
    <row r="894">
      <c r="A894" s="126"/>
      <c r="B894" s="126"/>
      <c r="C894" s="117"/>
      <c r="D894" s="117"/>
    </row>
    <row r="895">
      <c r="A895" s="126"/>
      <c r="B895" s="126"/>
      <c r="C895" s="117"/>
      <c r="D895" s="117"/>
    </row>
    <row r="896">
      <c r="A896" s="126"/>
      <c r="B896" s="126"/>
      <c r="C896" s="117"/>
      <c r="D896" s="117"/>
    </row>
    <row r="897">
      <c r="A897" s="126"/>
      <c r="B897" s="126"/>
      <c r="C897" s="117"/>
      <c r="D897" s="117"/>
    </row>
    <row r="898">
      <c r="A898" s="126"/>
      <c r="B898" s="126"/>
      <c r="C898" s="117"/>
      <c r="D898" s="117"/>
    </row>
    <row r="899">
      <c r="A899" s="126"/>
      <c r="B899" s="126"/>
      <c r="C899" s="117"/>
      <c r="D899" s="117"/>
    </row>
    <row r="900">
      <c r="A900" s="126"/>
      <c r="B900" s="126"/>
      <c r="C900" s="117"/>
      <c r="D900" s="117"/>
    </row>
    <row r="901">
      <c r="A901" s="126"/>
      <c r="B901" s="126"/>
      <c r="C901" s="117"/>
      <c r="D901" s="117"/>
    </row>
    <row r="902">
      <c r="A902" s="126"/>
      <c r="B902" s="126"/>
      <c r="C902" s="117"/>
      <c r="D902" s="117"/>
    </row>
    <row r="903">
      <c r="A903" s="126"/>
      <c r="B903" s="126"/>
      <c r="C903" s="117"/>
      <c r="D903" s="117"/>
    </row>
    <row r="904">
      <c r="A904" s="126"/>
      <c r="B904" s="126"/>
      <c r="C904" s="117"/>
      <c r="D904" s="117"/>
    </row>
    <row r="905">
      <c r="A905" s="126"/>
      <c r="B905" s="126"/>
      <c r="C905" s="117"/>
      <c r="D905" s="117"/>
    </row>
    <row r="906">
      <c r="A906" s="126"/>
      <c r="B906" s="126"/>
      <c r="C906" s="117"/>
      <c r="D906" s="117"/>
    </row>
    <row r="907">
      <c r="A907" s="126"/>
      <c r="B907" s="126"/>
      <c r="C907" s="117"/>
      <c r="D907" s="117"/>
    </row>
    <row r="908">
      <c r="A908" s="126"/>
      <c r="B908" s="126"/>
      <c r="C908" s="117"/>
      <c r="D908" s="117"/>
    </row>
    <row r="909">
      <c r="A909" s="126"/>
      <c r="B909" s="126"/>
      <c r="C909" s="117"/>
      <c r="D909" s="117"/>
    </row>
    <row r="910">
      <c r="A910" s="126"/>
      <c r="B910" s="126"/>
      <c r="C910" s="117"/>
      <c r="D910" s="117"/>
    </row>
    <row r="911">
      <c r="A911" s="126"/>
      <c r="B911" s="126"/>
      <c r="C911" s="117"/>
      <c r="D911" s="117"/>
    </row>
    <row r="912">
      <c r="A912" s="126"/>
      <c r="B912" s="126"/>
      <c r="C912" s="117"/>
      <c r="D912" s="117"/>
    </row>
    <row r="913">
      <c r="A913" s="126"/>
      <c r="B913" s="126"/>
      <c r="C913" s="117"/>
      <c r="D913" s="117"/>
    </row>
    <row r="914">
      <c r="A914" s="126"/>
      <c r="B914" s="126"/>
      <c r="C914" s="117"/>
      <c r="D914" s="117"/>
    </row>
    <row r="915">
      <c r="A915" s="126"/>
      <c r="B915" s="126"/>
      <c r="C915" s="117"/>
      <c r="D915" s="117"/>
    </row>
    <row r="916">
      <c r="A916" s="126"/>
      <c r="B916" s="126"/>
      <c r="C916" s="117"/>
      <c r="D916" s="117"/>
    </row>
    <row r="917">
      <c r="A917" s="126"/>
      <c r="B917" s="126"/>
      <c r="C917" s="117"/>
      <c r="D917" s="117"/>
    </row>
    <row r="918">
      <c r="A918" s="126"/>
      <c r="B918" s="126"/>
      <c r="C918" s="117"/>
      <c r="D918" s="117"/>
    </row>
    <row r="919">
      <c r="A919" s="126"/>
      <c r="B919" s="126"/>
      <c r="C919" s="117"/>
      <c r="D919" s="117"/>
    </row>
    <row r="920">
      <c r="A920" s="126"/>
      <c r="B920" s="126"/>
      <c r="C920" s="117"/>
      <c r="D920" s="117"/>
    </row>
    <row r="921">
      <c r="A921" s="126"/>
      <c r="B921" s="126"/>
      <c r="C921" s="117"/>
      <c r="D921" s="117"/>
    </row>
    <row r="922">
      <c r="A922" s="126"/>
      <c r="B922" s="126"/>
      <c r="C922" s="117"/>
      <c r="D922" s="117"/>
    </row>
    <row r="923">
      <c r="A923" s="126"/>
      <c r="B923" s="126"/>
      <c r="C923" s="117"/>
      <c r="D923" s="117"/>
    </row>
    <row r="924">
      <c r="A924" s="126"/>
      <c r="B924" s="126"/>
      <c r="C924" s="117"/>
      <c r="D924" s="117"/>
    </row>
    <row r="925">
      <c r="A925" s="126"/>
      <c r="B925" s="126"/>
      <c r="C925" s="117"/>
      <c r="D925" s="117"/>
    </row>
    <row r="926">
      <c r="A926" s="126"/>
      <c r="B926" s="126"/>
      <c r="C926" s="117"/>
      <c r="D926" s="117"/>
    </row>
    <row r="927">
      <c r="A927" s="126"/>
      <c r="B927" s="126"/>
      <c r="C927" s="117"/>
      <c r="D927" s="117"/>
    </row>
    <row r="928">
      <c r="A928" s="126"/>
      <c r="B928" s="126"/>
      <c r="C928" s="117"/>
      <c r="D928" s="117"/>
    </row>
    <row r="929">
      <c r="A929" s="126"/>
      <c r="B929" s="126"/>
      <c r="C929" s="117"/>
      <c r="D929" s="117"/>
    </row>
    <row r="930">
      <c r="A930" s="126"/>
      <c r="B930" s="126"/>
      <c r="C930" s="117"/>
      <c r="D930" s="117"/>
    </row>
    <row r="931">
      <c r="A931" s="126"/>
      <c r="B931" s="126"/>
      <c r="C931" s="117"/>
      <c r="D931" s="117"/>
    </row>
    <row r="932">
      <c r="A932" s="126"/>
      <c r="B932" s="126"/>
      <c r="C932" s="117"/>
      <c r="D932" s="117"/>
    </row>
    <row r="933">
      <c r="A933" s="126"/>
      <c r="B933" s="126"/>
      <c r="C933" s="117"/>
      <c r="D933" s="117"/>
    </row>
    <row r="934">
      <c r="A934" s="126"/>
      <c r="B934" s="126"/>
      <c r="C934" s="117"/>
      <c r="D934" s="117"/>
    </row>
    <row r="935">
      <c r="A935" s="126"/>
      <c r="B935" s="126"/>
      <c r="C935" s="117"/>
      <c r="D935" s="117"/>
    </row>
    <row r="936">
      <c r="A936" s="126"/>
      <c r="B936" s="126"/>
      <c r="C936" s="117"/>
      <c r="D936" s="117"/>
    </row>
    <row r="937">
      <c r="A937" s="126"/>
      <c r="B937" s="126"/>
      <c r="C937" s="117"/>
      <c r="D937" s="117"/>
    </row>
    <row r="938">
      <c r="A938" s="126"/>
      <c r="B938" s="126"/>
      <c r="C938" s="117"/>
      <c r="D938" s="117"/>
    </row>
    <row r="939">
      <c r="A939" s="126"/>
      <c r="B939" s="126"/>
      <c r="C939" s="117"/>
      <c r="D939" s="117"/>
    </row>
    <row r="940">
      <c r="A940" s="126"/>
      <c r="B940" s="126"/>
      <c r="C940" s="117"/>
      <c r="D940" s="117"/>
    </row>
    <row r="941">
      <c r="A941" s="126"/>
      <c r="B941" s="126"/>
      <c r="C941" s="117"/>
      <c r="D941" s="117"/>
    </row>
    <row r="942">
      <c r="A942" s="126"/>
      <c r="B942" s="126"/>
      <c r="C942" s="117"/>
      <c r="D942" s="117"/>
    </row>
    <row r="943">
      <c r="A943" s="126"/>
      <c r="B943" s="126"/>
      <c r="C943" s="117"/>
      <c r="D943" s="117"/>
    </row>
    <row r="944">
      <c r="A944" s="126"/>
      <c r="B944" s="126"/>
      <c r="C944" s="117"/>
      <c r="D944" s="117"/>
    </row>
    <row r="945">
      <c r="A945" s="126"/>
      <c r="B945" s="126"/>
      <c r="C945" s="117"/>
      <c r="D945" s="117"/>
    </row>
    <row r="946">
      <c r="A946" s="126"/>
      <c r="B946" s="126"/>
      <c r="C946" s="117"/>
      <c r="D946" s="117"/>
    </row>
    <row r="947">
      <c r="A947" s="126"/>
      <c r="B947" s="126"/>
      <c r="C947" s="117"/>
      <c r="D947" s="117"/>
    </row>
    <row r="948">
      <c r="A948" s="126"/>
      <c r="B948" s="126"/>
      <c r="C948" s="117"/>
      <c r="D948" s="117"/>
    </row>
    <row r="949">
      <c r="A949" s="126"/>
      <c r="B949" s="126"/>
      <c r="C949" s="117"/>
      <c r="D949" s="117"/>
    </row>
    <row r="950">
      <c r="A950" s="126"/>
      <c r="B950" s="126"/>
      <c r="C950" s="117"/>
      <c r="D950" s="117"/>
    </row>
    <row r="951">
      <c r="A951" s="126"/>
      <c r="B951" s="126"/>
      <c r="C951" s="117"/>
      <c r="D951" s="117"/>
    </row>
    <row r="952">
      <c r="A952" s="126"/>
      <c r="B952" s="126"/>
      <c r="C952" s="117"/>
      <c r="D952" s="117"/>
    </row>
    <row r="953">
      <c r="A953" s="126"/>
      <c r="B953" s="126"/>
      <c r="C953" s="117"/>
      <c r="D953" s="117"/>
    </row>
    <row r="954">
      <c r="A954" s="126"/>
      <c r="B954" s="126"/>
      <c r="C954" s="117"/>
      <c r="D954" s="117"/>
    </row>
    <row r="955">
      <c r="A955" s="126"/>
      <c r="B955" s="126"/>
      <c r="C955" s="117"/>
      <c r="D955" s="117"/>
    </row>
    <row r="956">
      <c r="A956" s="126"/>
      <c r="B956" s="126"/>
      <c r="C956" s="117"/>
      <c r="D956" s="117"/>
    </row>
    <row r="957">
      <c r="A957" s="126"/>
      <c r="B957" s="126"/>
      <c r="C957" s="117"/>
      <c r="D957" s="117"/>
    </row>
    <row r="958">
      <c r="A958" s="126"/>
      <c r="B958" s="126"/>
      <c r="C958" s="117"/>
      <c r="D958" s="117"/>
    </row>
    <row r="959">
      <c r="A959" s="126"/>
      <c r="B959" s="126"/>
      <c r="C959" s="117"/>
      <c r="D959" s="117"/>
    </row>
    <row r="960">
      <c r="A960" s="126"/>
      <c r="B960" s="126"/>
      <c r="C960" s="117"/>
      <c r="D960" s="117"/>
    </row>
    <row r="961">
      <c r="A961" s="126"/>
      <c r="B961" s="126"/>
      <c r="C961" s="117"/>
      <c r="D961" s="117"/>
    </row>
    <row r="962">
      <c r="A962" s="126"/>
      <c r="B962" s="126"/>
      <c r="C962" s="117"/>
      <c r="D962" s="117"/>
    </row>
    <row r="963">
      <c r="A963" s="126"/>
      <c r="B963" s="126"/>
      <c r="C963" s="117"/>
      <c r="D963" s="117"/>
    </row>
    <row r="964">
      <c r="A964" s="126"/>
      <c r="B964" s="126"/>
      <c r="C964" s="117"/>
      <c r="D964" s="117"/>
    </row>
    <row r="965">
      <c r="A965" s="126"/>
      <c r="B965" s="126"/>
      <c r="C965" s="117"/>
      <c r="D965" s="117"/>
    </row>
    <row r="966">
      <c r="A966" s="126"/>
      <c r="B966" s="126"/>
      <c r="C966" s="117"/>
      <c r="D966" s="117"/>
    </row>
    <row r="967">
      <c r="A967" s="126"/>
      <c r="B967" s="126"/>
      <c r="C967" s="117"/>
      <c r="D967" s="117"/>
    </row>
    <row r="968">
      <c r="A968" s="126"/>
      <c r="B968" s="126"/>
      <c r="C968" s="117"/>
      <c r="D968" s="117"/>
    </row>
    <row r="969">
      <c r="A969" s="126"/>
      <c r="B969" s="126"/>
      <c r="C969" s="117"/>
      <c r="D969" s="117"/>
    </row>
    <row r="970">
      <c r="A970" s="126"/>
      <c r="B970" s="126"/>
      <c r="C970" s="117"/>
      <c r="D970" s="117"/>
    </row>
    <row r="971">
      <c r="A971" s="126"/>
      <c r="B971" s="126"/>
      <c r="C971" s="117"/>
      <c r="D971" s="117"/>
    </row>
    <row r="972">
      <c r="A972" s="126"/>
      <c r="B972" s="126"/>
      <c r="C972" s="117"/>
      <c r="D972" s="117"/>
    </row>
    <row r="973">
      <c r="A973" s="126"/>
      <c r="B973" s="126"/>
      <c r="C973" s="117"/>
      <c r="D973" s="117"/>
    </row>
    <row r="974">
      <c r="A974" s="126"/>
      <c r="B974" s="126"/>
      <c r="C974" s="117"/>
      <c r="D974" s="117"/>
    </row>
    <row r="975">
      <c r="A975" s="126"/>
      <c r="B975" s="126"/>
      <c r="C975" s="117"/>
      <c r="D975" s="117"/>
    </row>
    <row r="976">
      <c r="A976" s="126"/>
      <c r="B976" s="126"/>
      <c r="C976" s="117"/>
      <c r="D976" s="117"/>
    </row>
    <row r="977">
      <c r="A977" s="126"/>
      <c r="B977" s="126"/>
      <c r="C977" s="117"/>
      <c r="D977" s="117"/>
    </row>
    <row r="978">
      <c r="A978" s="126"/>
      <c r="B978" s="126"/>
      <c r="C978" s="117"/>
      <c r="D978" s="117"/>
    </row>
    <row r="979">
      <c r="A979" s="126"/>
      <c r="B979" s="126"/>
      <c r="C979" s="117"/>
      <c r="D979" s="117"/>
    </row>
    <row r="980">
      <c r="A980" s="126"/>
      <c r="B980" s="126"/>
      <c r="C980" s="117"/>
      <c r="D980" s="117"/>
    </row>
    <row r="981">
      <c r="A981" s="126"/>
      <c r="B981" s="126"/>
      <c r="C981" s="117"/>
      <c r="D981" s="117"/>
    </row>
    <row r="982">
      <c r="A982" s="126"/>
      <c r="B982" s="126"/>
      <c r="C982" s="117"/>
      <c r="D982" s="117"/>
    </row>
    <row r="983">
      <c r="A983" s="126"/>
      <c r="B983" s="126"/>
      <c r="C983" s="117"/>
      <c r="D983" s="117"/>
    </row>
    <row r="984">
      <c r="A984" s="126"/>
      <c r="B984" s="126"/>
      <c r="C984" s="117"/>
      <c r="D984" s="117"/>
    </row>
    <row r="985">
      <c r="A985" s="126"/>
      <c r="B985" s="126"/>
      <c r="C985" s="117"/>
      <c r="D985" s="117"/>
    </row>
    <row r="986">
      <c r="A986" s="126"/>
      <c r="B986" s="126"/>
      <c r="C986" s="117"/>
      <c r="D986" s="117"/>
    </row>
    <row r="987">
      <c r="A987" s="126"/>
      <c r="B987" s="126"/>
      <c r="C987" s="117"/>
      <c r="D987" s="117"/>
    </row>
    <row r="988">
      <c r="A988" s="126"/>
      <c r="B988" s="126"/>
      <c r="C988" s="117"/>
      <c r="D988" s="117"/>
    </row>
    <row r="989">
      <c r="A989" s="126"/>
      <c r="B989" s="126"/>
      <c r="C989" s="117"/>
      <c r="D989" s="117"/>
    </row>
    <row r="990">
      <c r="A990" s="126"/>
      <c r="B990" s="126"/>
      <c r="C990" s="117"/>
      <c r="D990" s="117"/>
    </row>
    <row r="991">
      <c r="A991" s="126"/>
      <c r="B991" s="126"/>
      <c r="C991" s="117"/>
      <c r="D991" s="117"/>
    </row>
    <row r="992">
      <c r="A992" s="126"/>
      <c r="B992" s="126"/>
      <c r="C992" s="117"/>
      <c r="D992" s="117"/>
    </row>
    <row r="993">
      <c r="A993" s="126"/>
      <c r="B993" s="126"/>
      <c r="C993" s="117"/>
      <c r="D993" s="117"/>
    </row>
    <row r="994">
      <c r="A994" s="126"/>
      <c r="B994" s="126"/>
      <c r="C994" s="117"/>
      <c r="D994" s="117"/>
    </row>
    <row r="995">
      <c r="A995" s="126"/>
      <c r="B995" s="126"/>
      <c r="C995" s="117"/>
      <c r="D995" s="117"/>
    </row>
    <row r="996">
      <c r="A996" s="126"/>
      <c r="B996" s="126"/>
      <c r="C996" s="117"/>
      <c r="D996" s="117"/>
    </row>
    <row r="997">
      <c r="A997" s="126"/>
      <c r="B997" s="126"/>
      <c r="C997" s="117"/>
      <c r="D997" s="117"/>
    </row>
    <row r="998">
      <c r="A998" s="126"/>
      <c r="B998" s="126"/>
      <c r="C998" s="117"/>
      <c r="D998" s="117"/>
    </row>
    <row r="999">
      <c r="A999" s="126"/>
      <c r="B999" s="126"/>
      <c r="C999" s="117"/>
      <c r="D999" s="117"/>
    </row>
    <row r="1000">
      <c r="A1000" s="126"/>
      <c r="B1000" s="126"/>
      <c r="C1000" s="117"/>
      <c r="D1000" s="117"/>
    </row>
    <row r="1001">
      <c r="A1001" s="126"/>
      <c r="B1001" s="126"/>
      <c r="C1001" s="117"/>
      <c r="D1001" s="117"/>
    </row>
    <row r="1002">
      <c r="A1002" s="126"/>
      <c r="B1002" s="126"/>
      <c r="C1002" s="117"/>
      <c r="D1002" s="117"/>
    </row>
    <row r="1003">
      <c r="A1003" s="126"/>
      <c r="B1003" s="126"/>
      <c r="C1003" s="117"/>
      <c r="D1003" s="117"/>
    </row>
    <row r="1004">
      <c r="A1004" s="126"/>
      <c r="B1004" s="126"/>
      <c r="C1004" s="117"/>
      <c r="D1004" s="11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20.13"/>
    <col customWidth="1" min="3" max="3" width="20.38"/>
    <col customWidth="1" min="4" max="5" width="22.0"/>
    <col customWidth="1" min="6" max="6" width="18.5"/>
    <col customWidth="1" min="7" max="7" width="17.75"/>
  </cols>
  <sheetData>
    <row r="1">
      <c r="A1" s="7" t="s">
        <v>355</v>
      </c>
      <c r="C1" s="7" t="s">
        <v>356</v>
      </c>
      <c r="E1" s="7" t="s">
        <v>357</v>
      </c>
    </row>
    <row r="2">
      <c r="A2" s="7" t="s">
        <v>358</v>
      </c>
      <c r="B2" s="7" t="s">
        <v>359</v>
      </c>
      <c r="C2" s="133" t="s">
        <v>360</v>
      </c>
      <c r="D2" s="133" t="s">
        <v>361</v>
      </c>
      <c r="E2" s="8" t="s">
        <v>362</v>
      </c>
    </row>
    <row r="3">
      <c r="A3" s="134">
        <v>2.0</v>
      </c>
      <c r="B3" s="134">
        <v>1.0</v>
      </c>
      <c r="C3" s="10">
        <f>0.5*A7*A19*((A7/PI()/A9^2/A19^2/1.225/2+1)^0.5+1)*2</f>
        <v>5247.095875</v>
      </c>
      <c r="D3" s="8">
        <f>0.5*B5*A19*((B5/PI()/B7^2/A19^2/1.225/2+1)^0.5+1)*B3</f>
        <v>2635.09326</v>
      </c>
      <c r="E3" s="135" t="s">
        <v>363</v>
      </c>
    </row>
    <row r="4">
      <c r="A4" s="7" t="s">
        <v>364</v>
      </c>
      <c r="B4" s="7" t="s">
        <v>365</v>
      </c>
      <c r="C4" s="7" t="s">
        <v>366</v>
      </c>
      <c r="D4" s="7" t="s">
        <v>367</v>
      </c>
      <c r="E4" s="8" t="s">
        <v>368</v>
      </c>
    </row>
    <row r="5">
      <c r="A5" s="8">
        <v>1250.0</v>
      </c>
      <c r="B5" s="134">
        <v>92.5</v>
      </c>
      <c r="C5" s="10">
        <f>C3/A17/A15/A13/A11</f>
        <v>7616.187005</v>
      </c>
      <c r="D5" s="136">
        <f>D3/A17/A15/A13/A11</f>
        <v>3824.851598</v>
      </c>
      <c r="E5" s="137" t="s">
        <v>369</v>
      </c>
    </row>
    <row r="6">
      <c r="A6" s="7" t="s">
        <v>370</v>
      </c>
      <c r="B6" s="7" t="s">
        <v>371</v>
      </c>
      <c r="C6" s="7" t="s">
        <v>372</v>
      </c>
      <c r="D6" s="7" t="s">
        <v>373</v>
      </c>
      <c r="E6" s="8" t="s">
        <v>374</v>
      </c>
    </row>
    <row r="7">
      <c r="A7" s="134">
        <f>185/2</f>
        <v>92.5</v>
      </c>
      <c r="B7" s="138">
        <v>0.75</v>
      </c>
      <c r="C7" s="10">
        <f>sqrt((2500/2)^3/2/1.225/pi()/A9^2)*2</f>
        <v>24507.1994</v>
      </c>
      <c r="D7" s="136">
        <f>sqrt((B5)^3/2/1.225/pi()/B7^2)</f>
        <v>427.5563464</v>
      </c>
      <c r="E7" s="135" t="s">
        <v>375</v>
      </c>
    </row>
    <row r="8">
      <c r="A8" s="7" t="s">
        <v>376</v>
      </c>
      <c r="C8" s="7" t="s">
        <v>377</v>
      </c>
      <c r="D8" s="7" t="s">
        <v>377</v>
      </c>
    </row>
    <row r="9">
      <c r="A9" s="139">
        <v>1.3</v>
      </c>
      <c r="C9" s="140">
        <f>C7/A17/A15/A13/A11</f>
        <v>35572.32763</v>
      </c>
      <c r="D9" s="20">
        <f>D7/A17/A15/A13/A11</f>
        <v>620.6002647</v>
      </c>
    </row>
    <row r="10">
      <c r="A10" s="7" t="s">
        <v>378</v>
      </c>
      <c r="C10" s="7" t="s">
        <v>379</v>
      </c>
      <c r="E10" s="7" t="s">
        <v>380</v>
      </c>
    </row>
    <row r="11">
      <c r="A11" s="8">
        <v>0.98</v>
      </c>
      <c r="C11" s="10">
        <f>(30*60*C5+5*60*C7)/(1-A29)</f>
        <v>24777995.8</v>
      </c>
      <c r="D11" s="8" t="s">
        <v>381</v>
      </c>
      <c r="E11" s="8" t="s">
        <v>382</v>
      </c>
      <c r="L11" s="134" t="s">
        <v>383</v>
      </c>
    </row>
    <row r="12">
      <c r="A12" s="7" t="s">
        <v>384</v>
      </c>
      <c r="C12" s="7" t="s">
        <v>385</v>
      </c>
      <c r="E12" s="8" t="s">
        <v>386</v>
      </c>
    </row>
    <row r="13">
      <c r="A13" s="8">
        <v>0.95</v>
      </c>
      <c r="C13" s="10">
        <f>A3*(max(C9,C5)/A21+max(C9,C5)/A23+0.5)+B3*(max(D9,D5)/A21+max(D9,D5)/A23+0.3)</f>
        <v>20.04237671</v>
      </c>
      <c r="D13" s="8" t="s">
        <v>55</v>
      </c>
    </row>
    <row r="14">
      <c r="A14" s="7" t="s">
        <v>387</v>
      </c>
      <c r="C14" s="7" t="s">
        <v>388</v>
      </c>
    </row>
    <row r="15">
      <c r="A15" s="8">
        <v>0.925</v>
      </c>
      <c r="C15" s="10">
        <f>C11/A25</f>
        <v>38.23764784</v>
      </c>
      <c r="D15" s="8" t="s">
        <v>55</v>
      </c>
      <c r="F15" s="7"/>
      <c r="G15" s="133"/>
      <c r="H15" s="7"/>
    </row>
    <row r="16">
      <c r="A16" s="7" t="s">
        <v>389</v>
      </c>
      <c r="C16" s="7" t="s">
        <v>390</v>
      </c>
      <c r="F16" s="134"/>
      <c r="G16" s="140"/>
      <c r="H16" s="140"/>
    </row>
    <row r="17">
      <c r="A17" s="8">
        <v>0.8</v>
      </c>
      <c r="C17" s="10">
        <f>C11/A27</f>
        <v>15.29505913</v>
      </c>
      <c r="D17" s="8" t="s">
        <v>391</v>
      </c>
    </row>
    <row r="18">
      <c r="A18" s="7" t="s">
        <v>392</v>
      </c>
      <c r="C18" s="7" t="s">
        <v>393</v>
      </c>
      <c r="D18" s="7" t="s">
        <v>394</v>
      </c>
    </row>
    <row r="19">
      <c r="A19" s="8">
        <v>28.3</v>
      </c>
      <c r="B19" s="8" t="s">
        <v>63</v>
      </c>
      <c r="C19" s="10">
        <f>(A7/1.225/pi()/A9^2*2+A19^2)^0.5</f>
        <v>28.79816921</v>
      </c>
      <c r="D19" s="10">
        <f>C19-A19</f>
        <v>0.4981692068</v>
      </c>
      <c r="E19" s="8" t="s">
        <v>63</v>
      </c>
    </row>
    <row r="20">
      <c r="A20" s="7" t="s">
        <v>395</v>
      </c>
      <c r="D20" s="10">
        <v>1.8576431711136614</v>
      </c>
      <c r="E20" s="8" t="s">
        <v>396</v>
      </c>
    </row>
    <row r="21">
      <c r="A21" s="8">
        <v>5000.0</v>
      </c>
      <c r="B21" s="8" t="s">
        <v>397</v>
      </c>
      <c r="C21" s="7"/>
    </row>
    <row r="22">
      <c r="A22" s="7" t="s">
        <v>398</v>
      </c>
      <c r="C22" s="141"/>
      <c r="D22" s="61"/>
    </row>
    <row r="23">
      <c r="A23" s="8">
        <v>20000.0</v>
      </c>
      <c r="B23" s="8" t="s">
        <v>397</v>
      </c>
      <c r="C23" s="7"/>
      <c r="D23" s="7"/>
    </row>
    <row r="24">
      <c r="A24" s="7" t="s">
        <v>399</v>
      </c>
    </row>
    <row r="25">
      <c r="A25" s="10">
        <f>180*3600</f>
        <v>648000</v>
      </c>
      <c r="B25" s="8" t="s">
        <v>400</v>
      </c>
      <c r="C25" s="7"/>
    </row>
    <row r="26">
      <c r="A26" s="7" t="s">
        <v>401</v>
      </c>
    </row>
    <row r="27">
      <c r="A27" s="10">
        <f>450*3600</f>
        <v>1620000</v>
      </c>
      <c r="B27" s="8" t="s">
        <v>402</v>
      </c>
      <c r="C27" s="7"/>
    </row>
    <row r="28">
      <c r="A28" s="7" t="s">
        <v>403</v>
      </c>
    </row>
    <row r="29">
      <c r="A29" s="8">
        <v>0.15</v>
      </c>
      <c r="C29" s="7"/>
    </row>
    <row r="30">
      <c r="A30" s="7" t="s">
        <v>404</v>
      </c>
    </row>
    <row r="31">
      <c r="A31" s="142">
        <v>20.0</v>
      </c>
      <c r="B31" s="8" t="s">
        <v>405</v>
      </c>
      <c r="C31" s="7"/>
    </row>
    <row r="33">
      <c r="C33" s="7"/>
      <c r="D33" s="7"/>
    </row>
    <row r="35">
      <c r="C35" s="7"/>
    </row>
    <row r="37">
      <c r="A37" s="7" t="s">
        <v>406</v>
      </c>
      <c r="C37" s="7"/>
    </row>
    <row r="38">
      <c r="A38" s="8" t="s">
        <v>407</v>
      </c>
      <c r="B38" s="143">
        <f>A9</f>
        <v>1.3</v>
      </c>
      <c r="C38" s="8" t="s">
        <v>408</v>
      </c>
    </row>
    <row r="39">
      <c r="A39" s="8" t="s">
        <v>409</v>
      </c>
      <c r="B39" s="8">
        <f>B38*PI()</f>
        <v>4.08407045</v>
      </c>
      <c r="C39" s="8" t="s">
        <v>408</v>
      </c>
    </row>
    <row r="40">
      <c r="A40" s="8" t="s">
        <v>410</v>
      </c>
      <c r="B40" s="8">
        <v>171.5</v>
      </c>
      <c r="C40" s="8" t="s">
        <v>63</v>
      </c>
    </row>
    <row r="41">
      <c r="A41" s="7" t="s">
        <v>411</v>
      </c>
      <c r="B41" s="10">
        <f>(B40/B39)*60</f>
        <v>2519.545176</v>
      </c>
      <c r="C41" s="8" t="s">
        <v>412</v>
      </c>
    </row>
    <row r="42">
      <c r="A42" s="8" t="s">
        <v>106</v>
      </c>
      <c r="B42" s="10">
        <f>C9/B41*60</f>
        <v>847.1130735</v>
      </c>
    </row>
  </sheetData>
  <hyperlinks>
    <hyperlink r:id="rId1" location=":~:text=In%20practice%2C%20the%20propulsive%20efficiency,shown%20in%20the%20following%20section." ref="E3"/>
    <hyperlink r:id="rId2" ref="E5"/>
    <hyperlink r:id="rId3" ref="E7"/>
  </hyperlin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4" max="4" width="13.38"/>
  </cols>
  <sheetData>
    <row r="1">
      <c r="A1" s="144" t="s">
        <v>413</v>
      </c>
      <c r="B1" s="145"/>
      <c r="C1" s="145"/>
      <c r="D1" s="145"/>
    </row>
    <row r="2">
      <c r="A2" s="146" t="s">
        <v>414</v>
      </c>
      <c r="B2" s="147"/>
      <c r="C2" s="147"/>
      <c r="D2" s="148"/>
    </row>
    <row r="3">
      <c r="A3" s="8" t="s">
        <v>415</v>
      </c>
      <c r="B3" s="80"/>
      <c r="C3" s="8" t="s">
        <v>29</v>
      </c>
      <c r="D3" s="8" t="s">
        <v>416</v>
      </c>
    </row>
    <row r="4">
      <c r="A4" s="146" t="s">
        <v>417</v>
      </c>
      <c r="B4" s="147"/>
      <c r="C4" s="147"/>
      <c r="D4" s="147"/>
    </row>
    <row r="5">
      <c r="A5" s="8" t="s">
        <v>418</v>
      </c>
      <c r="B5" s="8">
        <v>8.0</v>
      </c>
      <c r="C5" s="8" t="s">
        <v>27</v>
      </c>
    </row>
    <row r="6">
      <c r="A6" s="8" t="s">
        <v>419</v>
      </c>
      <c r="B6" s="8">
        <v>3.0</v>
      </c>
      <c r="C6" s="8" t="s">
        <v>27</v>
      </c>
      <c r="D6" s="8" t="s">
        <v>420</v>
      </c>
    </row>
    <row r="7">
      <c r="A7" s="146" t="s">
        <v>53</v>
      </c>
      <c r="B7" s="147"/>
      <c r="C7" s="147"/>
      <c r="D7" s="147"/>
    </row>
    <row r="8">
      <c r="A8" s="8" t="s">
        <v>180</v>
      </c>
      <c r="B8" s="80"/>
      <c r="C8" s="8" t="s">
        <v>55</v>
      </c>
    </row>
    <row r="9">
      <c r="A9" s="8" t="s">
        <v>421</v>
      </c>
      <c r="B9" s="80"/>
      <c r="C9" s="8" t="s">
        <v>55</v>
      </c>
    </row>
    <row r="10">
      <c r="A10" s="8" t="s">
        <v>194</v>
      </c>
      <c r="B10" s="80"/>
      <c r="C10" s="8" t="s">
        <v>55</v>
      </c>
    </row>
    <row r="11">
      <c r="A11" s="8" t="s">
        <v>422</v>
      </c>
      <c r="B11" s="80"/>
      <c r="C11" s="8" t="s">
        <v>423</v>
      </c>
    </row>
    <row r="12">
      <c r="A12" s="8" t="s">
        <v>424</v>
      </c>
    </row>
    <row r="13">
      <c r="A13" s="146" t="s">
        <v>425</v>
      </c>
      <c r="B13" s="147"/>
      <c r="C13" s="147"/>
      <c r="D13" s="147"/>
    </row>
    <row r="14">
      <c r="A14" s="8" t="s">
        <v>426</v>
      </c>
      <c r="B14" s="80"/>
      <c r="C14" s="8" t="s">
        <v>427</v>
      </c>
    </row>
    <row r="15">
      <c r="A15" s="8" t="s">
        <v>428</v>
      </c>
      <c r="B15" s="8">
        <v>240.0</v>
      </c>
      <c r="C15" s="8" t="s">
        <v>427</v>
      </c>
    </row>
    <row r="16">
      <c r="A16" s="8" t="s">
        <v>429</v>
      </c>
      <c r="B16" s="80"/>
      <c r="C16" s="8" t="s">
        <v>29</v>
      </c>
    </row>
    <row r="17">
      <c r="A17" s="8" t="s">
        <v>430</v>
      </c>
      <c r="B17" s="8">
        <v>0.75</v>
      </c>
      <c r="C17" s="8" t="s">
        <v>27</v>
      </c>
    </row>
    <row r="18">
      <c r="A18" s="8" t="s">
        <v>431</v>
      </c>
      <c r="B18" s="8">
        <v>1.4</v>
      </c>
      <c r="C18" s="8" t="s">
        <v>27</v>
      </c>
    </row>
    <row r="19">
      <c r="A19" s="137" t="s">
        <v>432</v>
      </c>
      <c r="B19" s="8"/>
      <c r="C19" s="8"/>
    </row>
    <row r="20">
      <c r="A20" s="146" t="s">
        <v>433</v>
      </c>
      <c r="B20" s="147"/>
      <c r="C20" s="147"/>
      <c r="D20" s="147"/>
    </row>
    <row r="21">
      <c r="A21" s="8" t="s">
        <v>434</v>
      </c>
      <c r="B21" s="80"/>
      <c r="C21" s="8" t="s">
        <v>27</v>
      </c>
    </row>
    <row r="22">
      <c r="A22" s="8" t="s">
        <v>435</v>
      </c>
      <c r="B22" s="80"/>
      <c r="C22" s="8" t="s">
        <v>27</v>
      </c>
    </row>
    <row r="23">
      <c r="A23" s="8" t="s">
        <v>436</v>
      </c>
      <c r="B23" s="80"/>
      <c r="C23" s="8" t="s">
        <v>27</v>
      </c>
    </row>
    <row r="24">
      <c r="A24" s="146" t="s">
        <v>185</v>
      </c>
      <c r="B24" s="149"/>
      <c r="C24" s="149"/>
      <c r="D24" s="149"/>
    </row>
    <row r="25">
      <c r="A25" s="137" t="s">
        <v>437</v>
      </c>
    </row>
    <row r="26">
      <c r="A26" s="8" t="s">
        <v>438</v>
      </c>
    </row>
    <row r="28">
      <c r="A28" s="144" t="s">
        <v>439</v>
      </c>
      <c r="B28" s="145"/>
      <c r="C28" s="145"/>
      <c r="D28" s="145"/>
    </row>
    <row r="29">
      <c r="A29" s="146" t="s">
        <v>53</v>
      </c>
      <c r="B29" s="147"/>
      <c r="C29" s="147"/>
      <c r="D29" s="147"/>
    </row>
    <row r="30">
      <c r="A30" s="8" t="s">
        <v>440</v>
      </c>
      <c r="B30" s="80"/>
      <c r="C30" s="8" t="s">
        <v>55</v>
      </c>
    </row>
    <row r="31">
      <c r="A31" s="8" t="s">
        <v>441</v>
      </c>
      <c r="B31" s="80"/>
      <c r="C31" s="8" t="s">
        <v>55</v>
      </c>
    </row>
    <row r="32">
      <c r="A32" s="146" t="s">
        <v>433</v>
      </c>
      <c r="B32" s="147"/>
      <c r="C32" s="147"/>
      <c r="D32" s="147"/>
    </row>
    <row r="33">
      <c r="A33" s="8" t="s">
        <v>442</v>
      </c>
      <c r="B33" s="80"/>
      <c r="C33" s="8" t="s">
        <v>29</v>
      </c>
    </row>
    <row r="34">
      <c r="A34" s="8" t="s">
        <v>443</v>
      </c>
      <c r="B34" s="80"/>
      <c r="C34" s="8" t="s">
        <v>27</v>
      </c>
    </row>
    <row r="35">
      <c r="A35" s="8" t="s">
        <v>444</v>
      </c>
      <c r="B35" s="80"/>
      <c r="C35" s="8" t="s">
        <v>29</v>
      </c>
    </row>
    <row r="36">
      <c r="A36" s="8" t="s">
        <v>445</v>
      </c>
      <c r="B36" s="80"/>
      <c r="C36" s="8" t="s">
        <v>29</v>
      </c>
    </row>
    <row r="37">
      <c r="A37" s="8" t="s">
        <v>446</v>
      </c>
      <c r="B37" s="80"/>
      <c r="C37" s="8" t="s">
        <v>29</v>
      </c>
    </row>
    <row r="38">
      <c r="A38" s="8" t="s">
        <v>447</v>
      </c>
      <c r="B38" s="80"/>
      <c r="C38" s="8" t="s">
        <v>29</v>
      </c>
    </row>
    <row r="39">
      <c r="A39" s="8" t="s">
        <v>448</v>
      </c>
      <c r="B39" s="80"/>
      <c r="C39" s="8" t="s">
        <v>29</v>
      </c>
    </row>
    <row r="40">
      <c r="A40" s="8" t="s">
        <v>449</v>
      </c>
      <c r="B40" s="80"/>
      <c r="C40" s="8" t="s">
        <v>29</v>
      </c>
    </row>
  </sheetData>
  <hyperlinks>
    <hyperlink r:id="rId1" ref="A19"/>
    <hyperlink r:id="rId2" ref="A25"/>
  </hyperlinks>
  <drawing r:id="rId3"/>
</worksheet>
</file>