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user/Downloads/forstudy/report/6/"/>
    </mc:Choice>
  </mc:AlternateContent>
  <bookViews>
    <workbookView xWindow="12080" yWindow="460" windowWidth="13520" windowHeight="14560" activeTab="3"/>
  </bookViews>
  <sheets>
    <sheet name="銅" sheetId="1" r:id="rId1"/>
    <sheet name="炭素強化" sheetId="5" r:id="rId2"/>
    <sheet name="ステンレス" sheetId="6" r:id="rId3"/>
    <sheet name="Sheet1" sheetId="7" r:id="rId4"/>
    <sheet name="Sheet2" sheetId="8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" i="7" l="1"/>
  <c r="J62" i="7"/>
  <c r="I62" i="7"/>
  <c r="H62" i="7"/>
  <c r="J13" i="7"/>
  <c r="J14" i="7"/>
  <c r="D2" i="7"/>
  <c r="J2" i="7"/>
  <c r="D3" i="7"/>
  <c r="J3" i="7"/>
  <c r="D4" i="7"/>
  <c r="J4" i="7"/>
  <c r="D5" i="7"/>
  <c r="J5" i="7"/>
  <c r="D6" i="7"/>
  <c r="J6" i="7"/>
  <c r="D7" i="7"/>
  <c r="J7" i="7"/>
  <c r="J17" i="7"/>
  <c r="J18" i="7"/>
  <c r="B21" i="8"/>
  <c r="B20" i="8"/>
  <c r="B19" i="8"/>
  <c r="B18" i="8"/>
  <c r="B17" i="8"/>
  <c r="B16" i="8"/>
  <c r="I8" i="7"/>
  <c r="J8" i="7"/>
  <c r="K8" i="7"/>
  <c r="B2" i="7"/>
  <c r="E9" i="8"/>
  <c r="D9" i="8"/>
  <c r="C9" i="8"/>
  <c r="B9" i="8"/>
  <c r="K12" i="7"/>
  <c r="J12" i="7"/>
  <c r="I12" i="7"/>
  <c r="H12" i="7"/>
  <c r="H14" i="7"/>
  <c r="I54" i="7"/>
  <c r="J54" i="7"/>
  <c r="K54" i="7"/>
  <c r="I53" i="7"/>
  <c r="J53" i="7"/>
  <c r="K53" i="7"/>
  <c r="H54" i="7"/>
  <c r="H53" i="7"/>
  <c r="K13" i="7"/>
  <c r="I13" i="7"/>
  <c r="H13" i="7"/>
  <c r="K14" i="7"/>
  <c r="K18" i="7"/>
  <c r="I14" i="7"/>
  <c r="I18" i="7"/>
  <c r="H18" i="7"/>
  <c r="C80" i="7"/>
  <c r="C2" i="7"/>
  <c r="I2" i="7"/>
  <c r="C3" i="7"/>
  <c r="I3" i="7"/>
  <c r="C5" i="7"/>
  <c r="I5" i="7"/>
  <c r="C6" i="7"/>
  <c r="I6" i="7"/>
  <c r="C7" i="7"/>
  <c r="I7" i="7"/>
  <c r="C8" i="7"/>
  <c r="C4" i="7"/>
  <c r="I4" i="7"/>
  <c r="I17" i="7"/>
  <c r="D80" i="7"/>
  <c r="D8" i="7"/>
  <c r="E80" i="7"/>
  <c r="E2" i="7"/>
  <c r="K2" i="7"/>
  <c r="E3" i="7"/>
  <c r="K3" i="7"/>
  <c r="E5" i="7"/>
  <c r="K5" i="7"/>
  <c r="E6" i="7"/>
  <c r="K6" i="7"/>
  <c r="E7" i="7"/>
  <c r="K7" i="7"/>
  <c r="E8" i="7"/>
  <c r="E4" i="7"/>
  <c r="K4" i="7"/>
  <c r="K17" i="7"/>
  <c r="B80" i="7"/>
  <c r="H2" i="7"/>
  <c r="B3" i="7"/>
  <c r="H3" i="7"/>
  <c r="B4" i="7"/>
  <c r="H4" i="7"/>
  <c r="B5" i="7"/>
  <c r="H5" i="7"/>
  <c r="B6" i="7"/>
  <c r="H6" i="7"/>
  <c r="B7" i="7"/>
  <c r="H7" i="7"/>
  <c r="B8" i="7"/>
  <c r="H8" i="7"/>
  <c r="H17" i="7"/>
  <c r="B92" i="7"/>
  <c r="I42" i="7"/>
  <c r="I43" i="7"/>
  <c r="J42" i="7"/>
  <c r="J43" i="7"/>
  <c r="K42" i="7"/>
  <c r="K43" i="7"/>
  <c r="H42" i="7"/>
  <c r="H43" i="7"/>
  <c r="B85" i="7"/>
  <c r="H33" i="7"/>
  <c r="H32" i="7"/>
  <c r="H31" i="7"/>
  <c r="H30" i="7"/>
  <c r="J27" i="7"/>
  <c r="J28" i="7"/>
  <c r="I27" i="7"/>
  <c r="I28" i="7"/>
  <c r="K27" i="7"/>
  <c r="K28" i="7"/>
  <c r="L27" i="7"/>
  <c r="L28" i="7"/>
  <c r="M27" i="7"/>
  <c r="M28" i="7"/>
  <c r="H27" i="7"/>
  <c r="H28" i="7"/>
  <c r="I24" i="7"/>
  <c r="I23" i="7"/>
  <c r="I22" i="7"/>
  <c r="I21" i="7"/>
  <c r="I20" i="7"/>
  <c r="I19" i="7"/>
  <c r="E31" i="7"/>
  <c r="E45" i="7"/>
  <c r="E59" i="7"/>
  <c r="E74" i="7"/>
  <c r="D31" i="7"/>
  <c r="D45" i="7"/>
  <c r="D59" i="7"/>
  <c r="D74" i="7"/>
  <c r="C45" i="7"/>
  <c r="C59" i="7"/>
  <c r="C73" i="7"/>
  <c r="C74" i="7"/>
  <c r="B31" i="7"/>
  <c r="B45" i="7"/>
  <c r="B59" i="7"/>
  <c r="B74" i="7"/>
  <c r="E75" i="7"/>
  <c r="C31" i="7"/>
  <c r="D75" i="7"/>
  <c r="C75" i="7"/>
  <c r="B75" i="7"/>
  <c r="B15" i="7"/>
  <c r="B14" i="7"/>
  <c r="B13" i="7"/>
  <c r="B12" i="7"/>
  <c r="B11" i="7"/>
  <c r="B10" i="7"/>
  <c r="C48" i="1"/>
  <c r="C48" i="5"/>
  <c r="B48" i="1"/>
  <c r="E2" i="1"/>
  <c r="F2" i="1"/>
  <c r="D22" i="1"/>
  <c r="F22" i="1"/>
  <c r="I27" i="1"/>
  <c r="E48" i="1"/>
  <c r="E2" i="5"/>
  <c r="F2" i="5"/>
  <c r="D22" i="5"/>
  <c r="F22" i="5"/>
  <c r="I27" i="5"/>
  <c r="B48" i="5"/>
  <c r="E48" i="5"/>
  <c r="E2" i="6"/>
  <c r="F2" i="6"/>
  <c r="D22" i="6"/>
  <c r="F22" i="6"/>
  <c r="I27" i="6"/>
  <c r="B48" i="6"/>
  <c r="C48" i="6"/>
  <c r="E48" i="6"/>
  <c r="C49" i="1"/>
  <c r="L25" i="1"/>
  <c r="L26" i="1"/>
  <c r="L27" i="1"/>
  <c r="L28" i="1"/>
  <c r="L29" i="1"/>
  <c r="L24" i="1"/>
  <c r="L29" i="5"/>
  <c r="L28" i="5"/>
  <c r="L27" i="5"/>
  <c r="L26" i="5"/>
  <c r="L25" i="5"/>
  <c r="L24" i="5"/>
  <c r="L25" i="6"/>
  <c r="L26" i="6"/>
  <c r="L27" i="6"/>
  <c r="L28" i="6"/>
  <c r="L29" i="6"/>
  <c r="L24" i="6"/>
  <c r="K2" i="5"/>
  <c r="I26" i="6"/>
  <c r="E5" i="6"/>
  <c r="F5" i="6"/>
  <c r="E6" i="6"/>
  <c r="F6" i="6"/>
  <c r="E7" i="6"/>
  <c r="F7" i="6"/>
  <c r="C44" i="6"/>
  <c r="E14" i="5"/>
  <c r="H14" i="5"/>
  <c r="F14" i="5"/>
  <c r="I14" i="5"/>
  <c r="G14" i="5"/>
  <c r="J14" i="5"/>
  <c r="K14" i="5"/>
  <c r="E7" i="5"/>
  <c r="F7" i="5"/>
  <c r="C44" i="5"/>
  <c r="B44" i="1"/>
  <c r="E3" i="5"/>
  <c r="F3" i="5"/>
  <c r="E5" i="5"/>
  <c r="F5" i="5"/>
  <c r="E6" i="5"/>
  <c r="F6" i="5"/>
  <c r="E20" i="5"/>
  <c r="H20" i="5"/>
  <c r="F20" i="5"/>
  <c r="I20" i="5"/>
  <c r="G20" i="5"/>
  <c r="J20" i="5"/>
  <c r="K20" i="5"/>
  <c r="I2" i="5"/>
  <c r="J2" i="5"/>
  <c r="M20" i="5"/>
  <c r="N20" i="5"/>
  <c r="O20" i="5"/>
  <c r="E16" i="5"/>
  <c r="H16" i="5"/>
  <c r="F16" i="5"/>
  <c r="I16" i="5"/>
  <c r="G16" i="5"/>
  <c r="J16" i="5"/>
  <c r="K16" i="5"/>
  <c r="L14" i="5"/>
  <c r="I3" i="5"/>
  <c r="I4" i="5"/>
  <c r="I5" i="5"/>
  <c r="I6" i="5"/>
  <c r="J6" i="5"/>
  <c r="K6" i="5"/>
  <c r="B22" i="5"/>
  <c r="M16" i="5"/>
  <c r="N16" i="5"/>
  <c r="O16" i="5"/>
  <c r="E10" i="5"/>
  <c r="H10" i="5"/>
  <c r="F10" i="5"/>
  <c r="I10" i="5"/>
  <c r="G10" i="5"/>
  <c r="J10" i="5"/>
  <c r="K10" i="5"/>
  <c r="L10" i="5"/>
  <c r="L2" i="5"/>
  <c r="K2" i="1"/>
  <c r="L4" i="1"/>
  <c r="L6" i="1"/>
  <c r="L5" i="1"/>
  <c r="M5" i="1"/>
  <c r="F10" i="1"/>
  <c r="F11" i="1"/>
  <c r="F12" i="1"/>
  <c r="F13" i="1"/>
  <c r="F14" i="1"/>
  <c r="F15" i="1"/>
  <c r="F16" i="1"/>
  <c r="F17" i="1"/>
  <c r="F18" i="1"/>
  <c r="F19" i="1"/>
  <c r="F20" i="1"/>
  <c r="F9" i="1"/>
  <c r="E10" i="1"/>
  <c r="E9" i="1"/>
  <c r="F12" i="5"/>
  <c r="I26" i="1"/>
  <c r="C42" i="1"/>
  <c r="B42" i="1"/>
  <c r="B49" i="1"/>
  <c r="C47" i="1"/>
  <c r="C44" i="1"/>
  <c r="F39" i="1"/>
  <c r="C39" i="1"/>
  <c r="B39" i="1"/>
  <c r="C45" i="1"/>
  <c r="G39" i="1"/>
  <c r="C39" i="5"/>
  <c r="E11" i="5"/>
  <c r="H11" i="5"/>
  <c r="F11" i="5"/>
  <c r="I11" i="5"/>
  <c r="G11" i="5"/>
  <c r="J11" i="5"/>
  <c r="K11" i="5"/>
  <c r="E19" i="5"/>
  <c r="H19" i="5"/>
  <c r="F19" i="5"/>
  <c r="I19" i="5"/>
  <c r="G19" i="5"/>
  <c r="J19" i="5"/>
  <c r="K19" i="5"/>
  <c r="L11" i="5"/>
  <c r="J3" i="5"/>
  <c r="K3" i="5"/>
  <c r="E3" i="6"/>
  <c r="F3" i="6"/>
  <c r="C40" i="5"/>
  <c r="D40" i="5"/>
  <c r="E40" i="5"/>
  <c r="F40" i="5"/>
  <c r="G40" i="5"/>
  <c r="B40" i="5"/>
  <c r="I26" i="5"/>
  <c r="I28" i="5"/>
  <c r="D39" i="5"/>
  <c r="E39" i="5"/>
  <c r="F39" i="5"/>
  <c r="G39" i="5"/>
  <c r="B39" i="5"/>
  <c r="E29" i="1"/>
  <c r="E28" i="1"/>
  <c r="E27" i="1"/>
  <c r="E26" i="1"/>
  <c r="E25" i="1"/>
  <c r="A28" i="6"/>
  <c r="B28" i="6"/>
  <c r="C28" i="6"/>
  <c r="D28" i="6"/>
  <c r="A32" i="6"/>
  <c r="B32" i="6"/>
  <c r="C32" i="6"/>
  <c r="D32" i="6"/>
  <c r="E28" i="6"/>
  <c r="I13" i="1"/>
  <c r="K13" i="1"/>
  <c r="L13" i="1"/>
  <c r="I14" i="1"/>
  <c r="K14" i="1"/>
  <c r="L14" i="1"/>
  <c r="I12" i="1"/>
  <c r="K12" i="1"/>
  <c r="L12" i="1"/>
  <c r="I11" i="1"/>
  <c r="K11" i="1"/>
  <c r="L11" i="1"/>
  <c r="I10" i="1"/>
  <c r="K10" i="1"/>
  <c r="L10" i="1"/>
  <c r="T19" i="5"/>
  <c r="S19" i="5"/>
  <c r="R19" i="5"/>
  <c r="T18" i="5"/>
  <c r="S18" i="5"/>
  <c r="R18" i="5"/>
  <c r="T17" i="5"/>
  <c r="S17" i="5"/>
  <c r="R17" i="5"/>
  <c r="T16" i="5"/>
  <c r="S16" i="5"/>
  <c r="R16" i="5"/>
  <c r="T15" i="5"/>
  <c r="S15" i="5"/>
  <c r="R15" i="5"/>
  <c r="T14" i="5"/>
  <c r="S14" i="5"/>
  <c r="R14" i="5"/>
  <c r="T13" i="5"/>
  <c r="S13" i="5"/>
  <c r="R13" i="5"/>
  <c r="T12" i="5"/>
  <c r="S12" i="5"/>
  <c r="R12" i="5"/>
  <c r="T11" i="5"/>
  <c r="S11" i="5"/>
  <c r="R11" i="5"/>
  <c r="T10" i="5"/>
  <c r="S10" i="5"/>
  <c r="R10" i="5"/>
  <c r="T9" i="5"/>
  <c r="S9" i="5"/>
  <c r="R9" i="5"/>
  <c r="T8" i="5"/>
  <c r="S8" i="5"/>
  <c r="R8" i="5"/>
  <c r="T7" i="5"/>
  <c r="S7" i="5"/>
  <c r="R7" i="5"/>
  <c r="T6" i="5"/>
  <c r="S6" i="5"/>
  <c r="R6" i="5"/>
  <c r="T5" i="5"/>
  <c r="S5" i="5"/>
  <c r="R5" i="5"/>
  <c r="T3" i="5"/>
  <c r="S3" i="5"/>
  <c r="R3" i="5"/>
  <c r="T2" i="5"/>
  <c r="S2" i="5"/>
  <c r="R2" i="5"/>
  <c r="T19" i="6"/>
  <c r="S19" i="6"/>
  <c r="R19" i="6"/>
  <c r="T18" i="6"/>
  <c r="S18" i="6"/>
  <c r="R18" i="6"/>
  <c r="T17" i="6"/>
  <c r="S17" i="6"/>
  <c r="R17" i="6"/>
  <c r="T16" i="6"/>
  <c r="S16" i="6"/>
  <c r="R16" i="6"/>
  <c r="T15" i="6"/>
  <c r="S15" i="6"/>
  <c r="R15" i="6"/>
  <c r="T14" i="6"/>
  <c r="S14" i="6"/>
  <c r="R14" i="6"/>
  <c r="T13" i="6"/>
  <c r="S13" i="6"/>
  <c r="R13" i="6"/>
  <c r="T12" i="6"/>
  <c r="S12" i="6"/>
  <c r="R12" i="6"/>
  <c r="T11" i="6"/>
  <c r="S11" i="6"/>
  <c r="R11" i="6"/>
  <c r="T10" i="6"/>
  <c r="S10" i="6"/>
  <c r="R10" i="6"/>
  <c r="T9" i="6"/>
  <c r="S9" i="6"/>
  <c r="R9" i="6"/>
  <c r="T8" i="6"/>
  <c r="S8" i="6"/>
  <c r="R8" i="6"/>
  <c r="T7" i="6"/>
  <c r="S7" i="6"/>
  <c r="R7" i="6"/>
  <c r="T6" i="6"/>
  <c r="S6" i="6"/>
  <c r="R6" i="6"/>
  <c r="T5" i="6"/>
  <c r="S5" i="6"/>
  <c r="R5" i="6"/>
  <c r="T3" i="6"/>
  <c r="S3" i="6"/>
  <c r="R3" i="6"/>
  <c r="T2" i="6"/>
  <c r="S2" i="6"/>
  <c r="R2" i="6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R6" i="1"/>
  <c r="S6" i="1"/>
  <c r="T6" i="1"/>
  <c r="R7" i="1"/>
  <c r="S7" i="1"/>
  <c r="T7" i="1"/>
  <c r="R5" i="1"/>
  <c r="S5" i="1"/>
  <c r="T5" i="1"/>
  <c r="R3" i="1"/>
  <c r="S3" i="1"/>
  <c r="T3" i="1"/>
  <c r="S2" i="1"/>
  <c r="T2" i="1"/>
  <c r="R2" i="1"/>
  <c r="E5" i="1"/>
  <c r="D39" i="1"/>
  <c r="E39" i="1"/>
  <c r="E6" i="1"/>
  <c r="C40" i="1"/>
  <c r="D40" i="1"/>
  <c r="E40" i="1"/>
  <c r="F40" i="1"/>
  <c r="G40" i="1"/>
  <c r="B40" i="1"/>
  <c r="E7" i="1"/>
  <c r="C49" i="5"/>
  <c r="C47" i="5"/>
  <c r="C46" i="5"/>
  <c r="C45" i="5"/>
  <c r="B45" i="5"/>
  <c r="B44" i="5"/>
  <c r="C42" i="5"/>
  <c r="B42" i="5"/>
  <c r="B49" i="5"/>
  <c r="B47" i="5"/>
  <c r="B46" i="5"/>
  <c r="C49" i="6"/>
  <c r="C47" i="6"/>
  <c r="C46" i="6"/>
  <c r="C45" i="6"/>
  <c r="B45" i="6"/>
  <c r="B44" i="6"/>
  <c r="C42" i="6"/>
  <c r="B42" i="6"/>
  <c r="B49" i="6"/>
  <c r="C40" i="6"/>
  <c r="D40" i="6"/>
  <c r="E40" i="6"/>
  <c r="F40" i="6"/>
  <c r="G40" i="6"/>
  <c r="B40" i="6"/>
  <c r="B47" i="6"/>
  <c r="E39" i="6"/>
  <c r="D39" i="6"/>
  <c r="C39" i="6"/>
  <c r="F39" i="6"/>
  <c r="G39" i="6"/>
  <c r="B39" i="6"/>
  <c r="B46" i="6"/>
  <c r="F7" i="1"/>
  <c r="F6" i="1"/>
  <c r="F5" i="1"/>
  <c r="C46" i="1"/>
  <c r="E3" i="1"/>
  <c r="F3" i="1"/>
  <c r="E49" i="5"/>
  <c r="E49" i="6"/>
  <c r="B45" i="1"/>
  <c r="B46" i="1"/>
  <c r="B47" i="1"/>
  <c r="I28" i="6"/>
  <c r="C35" i="5"/>
  <c r="B35" i="5"/>
  <c r="A35" i="5"/>
  <c r="D35" i="5"/>
  <c r="C34" i="5"/>
  <c r="B34" i="5"/>
  <c r="A34" i="5"/>
  <c r="D34" i="5"/>
  <c r="C33" i="5"/>
  <c r="B33" i="5"/>
  <c r="A33" i="5"/>
  <c r="D33" i="5"/>
  <c r="C32" i="5"/>
  <c r="B32" i="5"/>
  <c r="A32" i="5"/>
  <c r="D32" i="5"/>
  <c r="C31" i="5"/>
  <c r="B31" i="5"/>
  <c r="A31" i="5"/>
  <c r="D31" i="5"/>
  <c r="I7" i="5"/>
  <c r="F30" i="5"/>
  <c r="C30" i="5"/>
  <c r="A30" i="5"/>
  <c r="B30" i="5"/>
  <c r="D30" i="5"/>
  <c r="E30" i="5"/>
  <c r="F29" i="5"/>
  <c r="C29" i="5"/>
  <c r="B29" i="5"/>
  <c r="A29" i="5"/>
  <c r="D29" i="5"/>
  <c r="E29" i="5"/>
  <c r="F28" i="5"/>
  <c r="C28" i="5"/>
  <c r="A28" i="5"/>
  <c r="B28" i="5"/>
  <c r="D28" i="5"/>
  <c r="F27" i="5"/>
  <c r="C27" i="5"/>
  <c r="B27" i="5"/>
  <c r="A27" i="5"/>
  <c r="D27" i="5"/>
  <c r="E27" i="5"/>
  <c r="F26" i="5"/>
  <c r="C26" i="5"/>
  <c r="A26" i="5"/>
  <c r="B26" i="5"/>
  <c r="D26" i="5"/>
  <c r="E26" i="5"/>
  <c r="F25" i="5"/>
  <c r="C25" i="5"/>
  <c r="B25" i="5"/>
  <c r="A25" i="5"/>
  <c r="D25" i="5"/>
  <c r="E25" i="5"/>
  <c r="C24" i="5"/>
  <c r="B24" i="5"/>
  <c r="A24" i="5"/>
  <c r="D24" i="5"/>
  <c r="E24" i="5"/>
  <c r="C35" i="6"/>
  <c r="B35" i="6"/>
  <c r="A35" i="6"/>
  <c r="D35" i="6"/>
  <c r="C34" i="6"/>
  <c r="B34" i="6"/>
  <c r="A34" i="6"/>
  <c r="D34" i="6"/>
  <c r="C33" i="6"/>
  <c r="B33" i="6"/>
  <c r="A33" i="6"/>
  <c r="D33" i="6"/>
  <c r="C31" i="6"/>
  <c r="B31" i="6"/>
  <c r="A31" i="6"/>
  <c r="D31" i="6"/>
  <c r="I2" i="6"/>
  <c r="I3" i="6"/>
  <c r="I4" i="6"/>
  <c r="I5" i="6"/>
  <c r="I6" i="6"/>
  <c r="I7" i="6"/>
  <c r="F30" i="6"/>
  <c r="C30" i="6"/>
  <c r="A30" i="6"/>
  <c r="B30" i="6"/>
  <c r="D30" i="6"/>
  <c r="E30" i="6"/>
  <c r="F29" i="6"/>
  <c r="C29" i="6"/>
  <c r="B29" i="6"/>
  <c r="A29" i="6"/>
  <c r="D29" i="6"/>
  <c r="E29" i="6"/>
  <c r="F28" i="6"/>
  <c r="F27" i="6"/>
  <c r="C27" i="6"/>
  <c r="B27" i="6"/>
  <c r="A27" i="6"/>
  <c r="D27" i="6"/>
  <c r="E27" i="6"/>
  <c r="F26" i="6"/>
  <c r="C26" i="6"/>
  <c r="A26" i="6"/>
  <c r="B26" i="6"/>
  <c r="D26" i="6"/>
  <c r="F25" i="6"/>
  <c r="C25" i="6"/>
  <c r="B25" i="6"/>
  <c r="A25" i="6"/>
  <c r="D25" i="6"/>
  <c r="E25" i="6"/>
  <c r="C24" i="6"/>
  <c r="B24" i="6"/>
  <c r="A24" i="6"/>
  <c r="D24" i="6"/>
  <c r="E24" i="6"/>
  <c r="B35" i="1"/>
  <c r="B34" i="1"/>
  <c r="B33" i="1"/>
  <c r="B32" i="1"/>
  <c r="B31" i="1"/>
  <c r="B30" i="1"/>
  <c r="B29" i="1"/>
  <c r="B28" i="1"/>
  <c r="B27" i="1"/>
  <c r="B26" i="1"/>
  <c r="B25" i="1"/>
  <c r="B24" i="1"/>
  <c r="C24" i="1"/>
  <c r="C25" i="1"/>
  <c r="C26" i="1"/>
  <c r="C27" i="1"/>
  <c r="C28" i="1"/>
  <c r="C29" i="1"/>
  <c r="C30" i="1"/>
  <c r="C31" i="1"/>
  <c r="C32" i="1"/>
  <c r="C33" i="1"/>
  <c r="C34" i="1"/>
  <c r="C35" i="1"/>
  <c r="A25" i="1"/>
  <c r="A26" i="1"/>
  <c r="A27" i="1"/>
  <c r="A28" i="1"/>
  <c r="A29" i="1"/>
  <c r="A30" i="1"/>
  <c r="A31" i="1"/>
  <c r="A32" i="1"/>
  <c r="A33" i="1"/>
  <c r="A34" i="1"/>
  <c r="A35" i="1"/>
  <c r="A24" i="1"/>
  <c r="E26" i="6"/>
  <c r="E28" i="5"/>
  <c r="D24" i="1"/>
  <c r="E24" i="1"/>
  <c r="D32" i="1"/>
  <c r="D28" i="1"/>
  <c r="D31" i="1"/>
  <c r="D34" i="1"/>
  <c r="D30" i="1"/>
  <c r="E30" i="1"/>
  <c r="D26" i="1"/>
  <c r="D35" i="1"/>
  <c r="D27" i="1"/>
  <c r="D33" i="1"/>
  <c r="D29" i="1"/>
  <c r="D25" i="1"/>
  <c r="M19" i="5"/>
  <c r="N19" i="5"/>
  <c r="O19" i="5"/>
  <c r="E18" i="5"/>
  <c r="H18" i="5"/>
  <c r="F18" i="5"/>
  <c r="I18" i="5"/>
  <c r="G18" i="5"/>
  <c r="J18" i="5"/>
  <c r="K18" i="5"/>
  <c r="J4" i="5"/>
  <c r="M18" i="5"/>
  <c r="N18" i="5"/>
  <c r="O18" i="5"/>
  <c r="E17" i="5"/>
  <c r="H17" i="5"/>
  <c r="F17" i="5"/>
  <c r="I17" i="5"/>
  <c r="G17" i="5"/>
  <c r="J17" i="5"/>
  <c r="K17" i="5"/>
  <c r="J5" i="5"/>
  <c r="M17" i="5"/>
  <c r="N17" i="5"/>
  <c r="O17" i="5"/>
  <c r="E15" i="5"/>
  <c r="H15" i="5"/>
  <c r="F15" i="5"/>
  <c r="I15" i="5"/>
  <c r="G15" i="5"/>
  <c r="J15" i="5"/>
  <c r="K15" i="5"/>
  <c r="J7" i="5"/>
  <c r="M15" i="5"/>
  <c r="N15" i="5"/>
  <c r="O15" i="5"/>
  <c r="M14" i="5"/>
  <c r="N14" i="5"/>
  <c r="O14" i="5"/>
  <c r="E13" i="5"/>
  <c r="H13" i="5"/>
  <c r="F13" i="5"/>
  <c r="I13" i="5"/>
  <c r="G13" i="5"/>
  <c r="J13" i="5"/>
  <c r="K13" i="5"/>
  <c r="M13" i="5"/>
  <c r="N13" i="5"/>
  <c r="O13" i="5"/>
  <c r="E12" i="5"/>
  <c r="H12" i="5"/>
  <c r="I12" i="5"/>
  <c r="G12" i="5"/>
  <c r="J12" i="5"/>
  <c r="K12" i="5"/>
  <c r="M12" i="5"/>
  <c r="N12" i="5"/>
  <c r="O12" i="5"/>
  <c r="M11" i="5"/>
  <c r="N11" i="5"/>
  <c r="O11" i="5"/>
  <c r="M10" i="5"/>
  <c r="N10" i="5"/>
  <c r="O10" i="5"/>
  <c r="E18" i="6"/>
  <c r="H18" i="6"/>
  <c r="F18" i="6"/>
  <c r="I18" i="6"/>
  <c r="G18" i="6"/>
  <c r="J18" i="6"/>
  <c r="K18" i="6"/>
  <c r="J4" i="6"/>
  <c r="M18" i="6"/>
  <c r="N18" i="6"/>
  <c r="O18" i="6"/>
  <c r="E17" i="6"/>
  <c r="H17" i="6"/>
  <c r="F17" i="6"/>
  <c r="I17" i="6"/>
  <c r="G17" i="6"/>
  <c r="J17" i="6"/>
  <c r="K17" i="6"/>
  <c r="J5" i="6"/>
  <c r="M17" i="6"/>
  <c r="N17" i="6"/>
  <c r="O17" i="6"/>
  <c r="E16" i="6"/>
  <c r="H16" i="6"/>
  <c r="F16" i="6"/>
  <c r="I16" i="6"/>
  <c r="G16" i="6"/>
  <c r="J16" i="6"/>
  <c r="K16" i="6"/>
  <c r="J6" i="6"/>
  <c r="M16" i="6"/>
  <c r="N16" i="6"/>
  <c r="O16" i="6"/>
  <c r="E15" i="6"/>
  <c r="H15" i="6"/>
  <c r="F15" i="6"/>
  <c r="I15" i="6"/>
  <c r="G15" i="6"/>
  <c r="J15" i="6"/>
  <c r="K15" i="6"/>
  <c r="J7" i="6"/>
  <c r="M15" i="6"/>
  <c r="N15" i="6"/>
  <c r="O15" i="6"/>
  <c r="E14" i="6"/>
  <c r="H14" i="6"/>
  <c r="F14" i="6"/>
  <c r="I14" i="6"/>
  <c r="G14" i="6"/>
  <c r="J14" i="6"/>
  <c r="K14" i="6"/>
  <c r="M14" i="6"/>
  <c r="N14" i="6"/>
  <c r="O14" i="6"/>
  <c r="E13" i="6"/>
  <c r="H13" i="6"/>
  <c r="F13" i="6"/>
  <c r="I13" i="6"/>
  <c r="G13" i="6"/>
  <c r="J13" i="6"/>
  <c r="K13" i="6"/>
  <c r="M13" i="6"/>
  <c r="N13" i="6"/>
  <c r="O13" i="6"/>
  <c r="E12" i="6"/>
  <c r="H12" i="6"/>
  <c r="F12" i="6"/>
  <c r="I12" i="6"/>
  <c r="G12" i="6"/>
  <c r="J12" i="6"/>
  <c r="K12" i="6"/>
  <c r="M12" i="6"/>
  <c r="N12" i="6"/>
  <c r="O12" i="6"/>
  <c r="E11" i="6"/>
  <c r="H11" i="6"/>
  <c r="F11" i="6"/>
  <c r="I11" i="6"/>
  <c r="G11" i="6"/>
  <c r="J11" i="6"/>
  <c r="K11" i="6"/>
  <c r="J3" i="6"/>
  <c r="M11" i="6"/>
  <c r="N11" i="6"/>
  <c r="O11" i="6"/>
  <c r="E10" i="6"/>
  <c r="H10" i="6"/>
  <c r="F10" i="6"/>
  <c r="I10" i="6"/>
  <c r="G10" i="6"/>
  <c r="J10" i="6"/>
  <c r="K10" i="6"/>
  <c r="J2" i="6"/>
  <c r="M10" i="6"/>
  <c r="N10" i="6"/>
  <c r="O10" i="6"/>
  <c r="B22" i="6"/>
  <c r="G20" i="6"/>
  <c r="J20" i="6"/>
  <c r="F20" i="6"/>
  <c r="I20" i="6"/>
  <c r="E20" i="6"/>
  <c r="H20" i="6"/>
  <c r="G19" i="6"/>
  <c r="J19" i="6"/>
  <c r="F19" i="6"/>
  <c r="I19" i="6"/>
  <c r="E19" i="6"/>
  <c r="H19" i="6"/>
  <c r="G9" i="6"/>
  <c r="J9" i="6"/>
  <c r="F9" i="6"/>
  <c r="I9" i="6"/>
  <c r="E9" i="6"/>
  <c r="H9" i="6"/>
  <c r="G9" i="5"/>
  <c r="J9" i="5"/>
  <c r="F9" i="5"/>
  <c r="I9" i="5"/>
  <c r="E9" i="5"/>
  <c r="H9" i="5"/>
  <c r="L15" i="5"/>
  <c r="L13" i="6"/>
  <c r="K20" i="6"/>
  <c r="M20" i="6"/>
  <c r="N20" i="6"/>
  <c r="O20" i="6"/>
  <c r="L15" i="6"/>
  <c r="K19" i="6"/>
  <c r="M19" i="6"/>
  <c r="N19" i="6"/>
  <c r="O19" i="6"/>
  <c r="B22" i="1"/>
  <c r="G10" i="1"/>
  <c r="J10" i="1"/>
  <c r="H9" i="1"/>
  <c r="I9" i="1"/>
  <c r="G9" i="1"/>
  <c r="J9" i="1"/>
  <c r="H10" i="1"/>
  <c r="E11" i="1"/>
  <c r="H11" i="1"/>
  <c r="G11" i="1"/>
  <c r="J11" i="1"/>
  <c r="E12" i="1"/>
  <c r="H12" i="1"/>
  <c r="G12" i="1"/>
  <c r="J12" i="1"/>
  <c r="E13" i="1"/>
  <c r="H13" i="1"/>
  <c r="G13" i="1"/>
  <c r="J13" i="1"/>
  <c r="E14" i="1"/>
  <c r="H14" i="1"/>
  <c r="G14" i="1"/>
  <c r="J14" i="1"/>
  <c r="E15" i="1"/>
  <c r="H15" i="1"/>
  <c r="I15" i="1"/>
  <c r="G15" i="1"/>
  <c r="J15" i="1"/>
  <c r="E16" i="1"/>
  <c r="H16" i="1"/>
  <c r="I16" i="1"/>
  <c r="G16" i="1"/>
  <c r="J16" i="1"/>
  <c r="E17" i="1"/>
  <c r="H17" i="1"/>
  <c r="I17" i="1"/>
  <c r="G17" i="1"/>
  <c r="J17" i="1"/>
  <c r="E18" i="1"/>
  <c r="H18" i="1"/>
  <c r="I18" i="1"/>
  <c r="G18" i="1"/>
  <c r="J18" i="1"/>
  <c r="E19" i="1"/>
  <c r="H19" i="1"/>
  <c r="I19" i="1"/>
  <c r="G19" i="1"/>
  <c r="J19" i="1"/>
  <c r="E20" i="1"/>
  <c r="H20" i="1"/>
  <c r="I20" i="1"/>
  <c r="G20" i="1"/>
  <c r="J20" i="1"/>
  <c r="I2" i="1"/>
  <c r="F25" i="1"/>
  <c r="K20" i="1"/>
  <c r="K16" i="1"/>
  <c r="M2" i="5"/>
  <c r="L3" i="5"/>
  <c r="M3" i="5"/>
  <c r="L13" i="5"/>
  <c r="L12" i="5"/>
  <c r="L14" i="6"/>
  <c r="L12" i="6"/>
  <c r="K4" i="6"/>
  <c r="L4" i="6"/>
  <c r="M4" i="6"/>
  <c r="L10" i="6"/>
  <c r="K2" i="6"/>
  <c r="L2" i="6"/>
  <c r="M2" i="6"/>
  <c r="L11" i="6"/>
  <c r="K3" i="6"/>
  <c r="L3" i="6"/>
  <c r="M3" i="6"/>
  <c r="K5" i="6"/>
  <c r="L5" i="6"/>
  <c r="M5" i="6"/>
  <c r="I3" i="1"/>
  <c r="F26" i="1"/>
  <c r="J2" i="1"/>
  <c r="K18" i="1"/>
  <c r="K17" i="1"/>
  <c r="K19" i="1"/>
  <c r="K15" i="1"/>
  <c r="L15" i="1"/>
  <c r="I28" i="1"/>
  <c r="E49" i="1"/>
  <c r="M20" i="1"/>
  <c r="N20" i="1"/>
  <c r="O20" i="1"/>
  <c r="M10" i="1"/>
  <c r="L2" i="1"/>
  <c r="M2" i="1"/>
  <c r="K4" i="5"/>
  <c r="L4" i="5"/>
  <c r="M4" i="5"/>
  <c r="K7" i="6"/>
  <c r="L7" i="6"/>
  <c r="M7" i="6"/>
  <c r="K6" i="6"/>
  <c r="L6" i="6"/>
  <c r="M6" i="6"/>
  <c r="K5" i="5"/>
  <c r="L5" i="5"/>
  <c r="M5" i="5"/>
  <c r="I4" i="1"/>
  <c r="F27" i="1"/>
  <c r="J3" i="1"/>
  <c r="M19" i="1"/>
  <c r="N19" i="1"/>
  <c r="N10" i="1"/>
  <c r="O10" i="1"/>
  <c r="O19" i="1"/>
  <c r="K3" i="1"/>
  <c r="L3" i="1"/>
  <c r="M3" i="1"/>
  <c r="M11" i="1"/>
  <c r="K7" i="5"/>
  <c r="L7" i="5"/>
  <c r="M7" i="5"/>
  <c r="L6" i="5"/>
  <c r="M6" i="5"/>
  <c r="I5" i="1"/>
  <c r="F28" i="1"/>
  <c r="J4" i="1"/>
  <c r="M18" i="1"/>
  <c r="N18" i="1"/>
  <c r="O18" i="1"/>
  <c r="N11" i="1"/>
  <c r="O11" i="1"/>
  <c r="K4" i="1"/>
  <c r="M4" i="1"/>
  <c r="M12" i="1"/>
  <c r="I6" i="1"/>
  <c r="F29" i="1"/>
  <c r="J5" i="1"/>
  <c r="M17" i="1"/>
  <c r="N12" i="1"/>
  <c r="O12" i="1"/>
  <c r="N17" i="1"/>
  <c r="O17" i="1"/>
  <c r="K5" i="1"/>
  <c r="M13" i="1"/>
  <c r="I7" i="1"/>
  <c r="F30" i="1"/>
  <c r="J6" i="1"/>
  <c r="M16" i="1"/>
  <c r="N16" i="1"/>
  <c r="O16" i="1"/>
  <c r="N13" i="1"/>
  <c r="O13" i="1"/>
  <c r="K6" i="1"/>
  <c r="M6" i="1"/>
  <c r="M14" i="1"/>
  <c r="J7" i="1"/>
  <c r="N14" i="1"/>
  <c r="O14" i="1"/>
  <c r="K7" i="1"/>
  <c r="L7" i="1"/>
  <c r="M7" i="1"/>
  <c r="M15" i="1"/>
  <c r="N15" i="1"/>
  <c r="O15" i="1"/>
</calcChain>
</file>

<file path=xl/sharedStrings.xml><?xml version="1.0" encoding="utf-8"?>
<sst xmlns="http://schemas.openxmlformats.org/spreadsheetml/2006/main" count="443" uniqueCount="172">
  <si>
    <t>g</t>
    <phoneticPr fontId="3"/>
  </si>
  <si>
    <t>l</t>
    <phoneticPr fontId="3"/>
  </si>
  <si>
    <t>d</t>
    <phoneticPr fontId="3"/>
  </si>
  <si>
    <t>b</t>
    <phoneticPr fontId="3"/>
  </si>
  <si>
    <t>r</t>
    <phoneticPr fontId="3"/>
  </si>
  <si>
    <t>１回目</t>
    <rPh sb="0" eb="3">
      <t>イッカイメ</t>
    </rPh>
    <phoneticPr fontId="3"/>
  </si>
  <si>
    <t>２回目</t>
    <rPh sb="1" eb="3">
      <t>カイメ</t>
    </rPh>
    <phoneticPr fontId="3"/>
  </si>
  <si>
    <t>３回目</t>
    <rPh sb="1" eb="3">
      <t>カイメ</t>
    </rPh>
    <phoneticPr fontId="3"/>
  </si>
  <si>
    <t>平均m</t>
    <rPh sb="0" eb="2">
      <t>ヘイキン</t>
    </rPh>
    <phoneticPr fontId="3"/>
  </si>
  <si>
    <t>平均mm</t>
    <rPh sb="0" eb="2">
      <t>ヘイキン</t>
    </rPh>
    <phoneticPr fontId="3"/>
  </si>
  <si>
    <t>g</t>
    <phoneticPr fontId="3"/>
  </si>
  <si>
    <t>a</t>
    <phoneticPr fontId="3"/>
  </si>
  <si>
    <t>m1</t>
    <phoneticPr fontId="3"/>
  </si>
  <si>
    <t>m2</t>
    <phoneticPr fontId="3"/>
  </si>
  <si>
    <t>m3</t>
    <phoneticPr fontId="3"/>
  </si>
  <si>
    <t>m4</t>
    <phoneticPr fontId="3"/>
  </si>
  <si>
    <t>m5</t>
    <phoneticPr fontId="3"/>
  </si>
  <si>
    <t>１回目s</t>
    <rPh sb="0" eb="3">
      <t>イッカイメ</t>
    </rPh>
    <phoneticPr fontId="3"/>
  </si>
  <si>
    <t>２回目s</t>
    <rPh sb="1" eb="3">
      <t>カイメ</t>
    </rPh>
    <phoneticPr fontId="3"/>
  </si>
  <si>
    <t>３回目s</t>
    <rPh sb="1" eb="3">
      <t>カイメ</t>
    </rPh>
    <phoneticPr fontId="3"/>
  </si>
  <si>
    <t>１回目sm</t>
    <rPh sb="0" eb="3">
      <t>イッカイメ</t>
    </rPh>
    <phoneticPr fontId="3"/>
  </si>
  <si>
    <t>２回目sm</t>
    <rPh sb="1" eb="3">
      <t>カイメ</t>
    </rPh>
    <phoneticPr fontId="3"/>
  </si>
  <si>
    <t>３回目sm</t>
    <rPh sb="1" eb="3">
      <t>カイメ</t>
    </rPh>
    <phoneticPr fontId="3"/>
  </si>
  <si>
    <t>aveS</t>
    <phoneticPr fontId="3"/>
  </si>
  <si>
    <t>aveS真</t>
    <rPh sb="4" eb="5">
      <t>シン</t>
    </rPh>
    <phoneticPr fontId="3"/>
  </si>
  <si>
    <t>ひだりの</t>
    <phoneticPr fontId="3"/>
  </si>
  <si>
    <t>まんなかの</t>
    <phoneticPr fontId="3"/>
  </si>
  <si>
    <t>せき</t>
    <phoneticPr fontId="3"/>
  </si>
  <si>
    <t>ひだり</t>
    <phoneticPr fontId="3"/>
  </si>
  <si>
    <t>ヤング率</t>
    <rPh sb="3" eb="4">
      <t>リツ</t>
    </rPh>
    <phoneticPr fontId="3"/>
  </si>
  <si>
    <t>g計</t>
    <rPh sb="1" eb="2">
      <t>ケイ</t>
    </rPh>
    <phoneticPr fontId="3"/>
  </si>
  <si>
    <t>kg計</t>
    <rPh sb="2" eb="3">
      <t>ケイ</t>
    </rPh>
    <phoneticPr fontId="3"/>
  </si>
  <si>
    <t>ヤング率(GPa)</t>
    <rPh sb="3" eb="4">
      <t>リツ</t>
    </rPh>
    <phoneticPr fontId="3"/>
  </si>
  <si>
    <t>m6</t>
    <phoneticPr fontId="3"/>
  </si>
  <si>
    <t>ひだり</t>
    <phoneticPr fontId="3"/>
  </si>
  <si>
    <t>Δm</t>
    <phoneticPr fontId="3"/>
  </si>
  <si>
    <t>Δs</t>
    <phoneticPr fontId="3"/>
  </si>
  <si>
    <t>ヤング</t>
    <phoneticPr fontId="3"/>
  </si>
  <si>
    <t>ヤングgpa</t>
    <phoneticPr fontId="3"/>
  </si>
  <si>
    <t>Δa</t>
    <phoneticPr fontId="3"/>
  </si>
  <si>
    <t>Δr</t>
    <phoneticPr fontId="3"/>
  </si>
  <si>
    <t>Δb</t>
    <phoneticPr fontId="3"/>
  </si>
  <si>
    <t>mm</t>
    <phoneticPr fontId="3"/>
  </si>
  <si>
    <t>Δk</t>
    <phoneticPr fontId="3"/>
  </si>
  <si>
    <t>1回目</t>
    <rPh sb="0" eb="3">
      <t>イッカイメ</t>
    </rPh>
    <phoneticPr fontId="3"/>
  </si>
  <si>
    <t>2回目</t>
    <rPh sb="1" eb="3">
      <t>カイメ</t>
    </rPh>
    <phoneticPr fontId="3"/>
  </si>
  <si>
    <t>3回目</t>
    <rPh sb="1" eb="3">
      <t>カイメ</t>
    </rPh>
    <phoneticPr fontId="3"/>
  </si>
  <si>
    <t>l/mm</t>
    <phoneticPr fontId="3"/>
  </si>
  <si>
    <t>r/mm</t>
    <phoneticPr fontId="3"/>
  </si>
  <si>
    <t>a/mm</t>
    <phoneticPr fontId="3"/>
  </si>
  <si>
    <t>b/mm</t>
    <phoneticPr fontId="3"/>
  </si>
  <si>
    <t>d/mm</t>
    <phoneticPr fontId="3"/>
  </si>
  <si>
    <t>s1/mm</t>
    <phoneticPr fontId="3"/>
  </si>
  <si>
    <t>s2/mm</t>
    <phoneticPr fontId="3"/>
  </si>
  <si>
    <t>s3/mm</t>
    <phoneticPr fontId="3"/>
  </si>
  <si>
    <t>s4/mm</t>
    <phoneticPr fontId="3"/>
  </si>
  <si>
    <t>s5/mm</t>
    <phoneticPr fontId="3"/>
  </si>
  <si>
    <t>s6/mm</t>
    <phoneticPr fontId="3"/>
  </si>
  <si>
    <t>s4/mm</t>
    <phoneticPr fontId="3"/>
  </si>
  <si>
    <t>s3/mm</t>
    <phoneticPr fontId="3"/>
  </si>
  <si>
    <t>s2/mm</t>
    <phoneticPr fontId="3"/>
  </si>
  <si>
    <t>s0/mm</t>
    <phoneticPr fontId="3"/>
  </si>
  <si>
    <t>Δl</t>
    <phoneticPr fontId="3"/>
  </si>
  <si>
    <t>Δd</t>
    <phoneticPr fontId="3"/>
  </si>
  <si>
    <t>みぎ</t>
    <phoneticPr fontId="3"/>
  </si>
  <si>
    <t>S平均</t>
  </si>
  <si>
    <t>S平均</t>
    <rPh sb="1" eb="3">
      <t>ヘイキン</t>
    </rPh>
    <phoneticPr fontId="3"/>
  </si>
  <si>
    <t>mm</t>
  </si>
  <si>
    <t>mm</t>
    <phoneticPr fontId="3"/>
  </si>
  <si>
    <t>Δm</t>
  </si>
  <si>
    <t>Δm</t>
    <phoneticPr fontId="3"/>
  </si>
  <si>
    <t>Δs</t>
  </si>
  <si>
    <t>δm</t>
  </si>
  <si>
    <t>δm</t>
    <phoneticPr fontId="3"/>
  </si>
  <si>
    <t>δs</t>
  </si>
  <si>
    <t>δs</t>
    <phoneticPr fontId="3"/>
  </si>
  <si>
    <t>Δやんぐ</t>
    <phoneticPr fontId="3"/>
  </si>
  <si>
    <t>Δやんぐgpa</t>
    <phoneticPr fontId="3"/>
  </si>
  <si>
    <t>dE/dg</t>
    <phoneticPr fontId="3"/>
  </si>
  <si>
    <t>dE/dd</t>
    <phoneticPr fontId="3"/>
  </si>
  <si>
    <t>dE/da</t>
    <phoneticPr fontId="3"/>
  </si>
  <si>
    <t>dE/db</t>
    <phoneticPr fontId="3"/>
  </si>
  <si>
    <t>dE/dr</t>
    <phoneticPr fontId="3"/>
  </si>
  <si>
    <t>dE/dl</t>
    <phoneticPr fontId="3"/>
  </si>
  <si>
    <t>軟鉄</t>
    <rPh sb="0" eb="2">
      <t>ナンテツ</t>
    </rPh>
    <phoneticPr fontId="3"/>
  </si>
  <si>
    <t>ステンレス</t>
    <phoneticPr fontId="3"/>
  </si>
  <si>
    <t>黄銅</t>
    <rPh sb="0" eb="2">
      <t>oudou</t>
    </rPh>
    <phoneticPr fontId="3"/>
  </si>
  <si>
    <t>dg</t>
    <phoneticPr fontId="3"/>
  </si>
  <si>
    <t>dl</t>
    <phoneticPr fontId="3"/>
  </si>
  <si>
    <t>dd</t>
    <phoneticPr fontId="3"/>
  </si>
  <si>
    <t>da</t>
    <phoneticPr fontId="3"/>
  </si>
  <si>
    <t>db</t>
    <phoneticPr fontId="3"/>
  </si>
  <si>
    <t>dr</t>
    <phoneticPr fontId="3"/>
  </si>
  <si>
    <t>dE/d(Dm/Ds)</t>
    <phoneticPr fontId="3"/>
  </si>
  <si>
    <t>d(Dm/Ds)</t>
    <phoneticPr fontId="3"/>
  </si>
  <si>
    <t>S_1</t>
    <phoneticPr fontId="3"/>
  </si>
  <si>
    <t>S_2</t>
  </si>
  <si>
    <t>S_3</t>
  </si>
  <si>
    <t>S_4</t>
  </si>
  <si>
    <t>S_5</t>
  </si>
  <si>
    <t>S_6</t>
  </si>
  <si>
    <t>S_7</t>
  </si>
  <si>
    <t>S_8</t>
  </si>
  <si>
    <t>S_9</t>
  </si>
  <si>
    <t>S_10</t>
  </si>
  <si>
    <t>S_11</t>
  </si>
  <si>
    <t>S_0</t>
    <phoneticPr fontId="3"/>
  </si>
  <si>
    <t>S_合計</t>
    <rPh sb="2" eb="4">
      <t>ゴウケイ</t>
    </rPh>
    <phoneticPr fontId="3"/>
  </si>
  <si>
    <t>DS_平均</t>
    <rPh sb="3" eb="5">
      <t>ヘイキン</t>
    </rPh>
    <phoneticPr fontId="3"/>
  </si>
  <si>
    <t>D1</t>
    <phoneticPr fontId="3"/>
  </si>
  <si>
    <t>D2</t>
  </si>
  <si>
    <t>D3</t>
  </si>
  <si>
    <t>(dE/dg)^2(dg)^2</t>
    <phoneticPr fontId="3"/>
  </si>
  <si>
    <t>(dE/dl)^2(dl)^2</t>
    <phoneticPr fontId="3"/>
  </si>
  <si>
    <t>(dE/dd)^2(dd)^2</t>
    <phoneticPr fontId="3"/>
  </si>
  <si>
    <t>(dE/da)^2(da)^2</t>
    <phoneticPr fontId="3"/>
  </si>
  <si>
    <t>(dE/db)^2(Db)^2</t>
    <phoneticPr fontId="3"/>
  </si>
  <si>
    <t>(dE/dr)^2(Dr)^2</t>
    <phoneticPr fontId="3"/>
  </si>
  <si>
    <t>(dE/d(Dm/Ds))^2(D(Dm/Ds))^2</t>
    <phoneticPr fontId="3"/>
  </si>
  <si>
    <t>S_12</t>
  </si>
  <si>
    <t>l_1</t>
    <phoneticPr fontId="3"/>
  </si>
  <si>
    <t>l_2</t>
  </si>
  <si>
    <t>l_3</t>
  </si>
  <si>
    <t>l_平均</t>
    <rPh sb="2" eb="4">
      <t>ヘイキn</t>
    </rPh>
    <phoneticPr fontId="3"/>
  </si>
  <si>
    <t>重力加速度g</t>
    <rPh sb="0" eb="5">
      <t>ジュウリョクカソクド</t>
    </rPh>
    <phoneticPr fontId="3"/>
  </si>
  <si>
    <t>m_1</t>
  </si>
  <si>
    <t>m_2</t>
  </si>
  <si>
    <t>m_3</t>
  </si>
  <si>
    <t>m_4</t>
  </si>
  <si>
    <t>m_5</t>
  </si>
  <si>
    <t>m_6</t>
  </si>
  <si>
    <t>m(それぞれ)</t>
    <phoneticPr fontId="3"/>
  </si>
  <si>
    <t>m(合計)</t>
    <phoneticPr fontId="3"/>
  </si>
  <si>
    <t>x</t>
    <phoneticPr fontId="3"/>
  </si>
  <si>
    <t>dm(メモリ)横</t>
    <rPh sb="7" eb="8">
      <t>ヨコ</t>
    </rPh>
    <phoneticPr fontId="3"/>
  </si>
  <si>
    <t>ds(メモリ)縦</t>
    <rPh sb="7" eb="8">
      <t>タテ</t>
    </rPh>
    <phoneticPr fontId="3"/>
  </si>
  <si>
    <t>dm横</t>
    <rPh sb="2" eb="3">
      <t>ヨコ</t>
    </rPh>
    <phoneticPr fontId="3"/>
  </si>
  <si>
    <t>ds縦</t>
    <rPh sb="2" eb="3">
      <t>タテ</t>
    </rPh>
    <phoneticPr fontId="3"/>
  </si>
  <si>
    <t>l_平均</t>
    <rPh sb="2" eb="4">
      <t>ヘイキン</t>
    </rPh>
    <phoneticPr fontId="3"/>
  </si>
  <si>
    <t>r_1</t>
    <phoneticPr fontId="3"/>
  </si>
  <si>
    <t>r_2</t>
  </si>
  <si>
    <t>r_3</t>
  </si>
  <si>
    <t>r_平均</t>
  </si>
  <si>
    <t>r_平均</t>
    <phoneticPr fontId="3"/>
  </si>
  <si>
    <t>D_平均（＝d）</t>
    <rPh sb="2" eb="4">
      <t>ヘイキン</t>
    </rPh>
    <phoneticPr fontId="3"/>
  </si>
  <si>
    <t>軟鉄</t>
  </si>
  <si>
    <t>ステンレス</t>
  </si>
  <si>
    <t>黄銅</t>
  </si>
  <si>
    <t>a_1</t>
    <phoneticPr fontId="3"/>
  </si>
  <si>
    <t>a_2</t>
  </si>
  <si>
    <t>a_3</t>
  </si>
  <si>
    <t>b_1</t>
    <phoneticPr fontId="3"/>
  </si>
  <si>
    <t>b_2</t>
  </si>
  <si>
    <t>b_3</t>
  </si>
  <si>
    <t>a_平均</t>
    <rPh sb="2" eb="4">
      <t>ヘイキン</t>
    </rPh>
    <phoneticPr fontId="3"/>
  </si>
  <si>
    <t>b_平均</t>
    <rPh sb="2" eb="4">
      <t>ヘイキン</t>
    </rPh>
    <phoneticPr fontId="3"/>
  </si>
  <si>
    <t>Dm/Ds</t>
    <phoneticPr fontId="3"/>
  </si>
  <si>
    <t>DE</t>
    <phoneticPr fontId="3"/>
  </si>
  <si>
    <t>E</t>
  </si>
  <si>
    <t>E</t>
    <phoneticPr fontId="3"/>
  </si>
  <si>
    <t>結果</t>
    <rPh sb="0" eb="2">
      <t>ケッカ</t>
    </rPh>
    <phoneticPr fontId="3"/>
  </si>
  <si>
    <t>それぞれの値の不確かさ</t>
    <rPh sb="5" eb="6">
      <t>アタイノ</t>
    </rPh>
    <rPh sb="7" eb="9">
      <t>フタシカサ</t>
    </rPh>
    <phoneticPr fontId="3"/>
  </si>
  <si>
    <t>てすと</t>
    <phoneticPr fontId="3"/>
  </si>
  <si>
    <t>202 x 10^9</t>
    <phoneticPr fontId="3"/>
  </si>
  <si>
    <t>187 x 10^9</t>
    <phoneticPr fontId="3"/>
  </si>
  <si>
    <t>177 x 10^9</t>
    <phoneticPr fontId="3"/>
  </si>
  <si>
    <t>84.0 x10^9</t>
    <phoneticPr fontId="3"/>
  </si>
  <si>
    <t>ヤング率</t>
    <phoneticPr fontId="3"/>
  </si>
  <si>
    <t>ずれ弾性率</t>
    <phoneticPr fontId="3"/>
  </si>
  <si>
    <t>体積弾性率</t>
    <rPh sb="0" eb="5">
      <t>タイセキ</t>
    </rPh>
    <phoneticPr fontId="3"/>
  </si>
  <si>
    <t>空欄</t>
    <rPh sb="0" eb="2">
      <t>クウラン</t>
    </rPh>
    <phoneticPr fontId="3"/>
  </si>
  <si>
    <t>相対誤差</t>
    <rPh sb="0" eb="4">
      <t>ソウタイゴサ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</si>
</sst>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85" formatCode="0.000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2" borderId="0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1" fillId="0" borderId="3" xfId="0" applyFont="1" applyBorder="1">
      <alignment vertical="center"/>
    </xf>
    <xf numFmtId="0" fontId="0" fillId="0" borderId="1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5" xfId="0" applyBorder="1">
      <alignment vertical="center"/>
    </xf>
    <xf numFmtId="0" fontId="0" fillId="0" borderId="20" xfId="0" applyBorder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21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185" fontId="0" fillId="0" borderId="0" xfId="0" applyNumberFormat="1">
      <alignment vertical="center"/>
    </xf>
    <xf numFmtId="185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Fill="1" applyBorder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2" zoomScale="87" zoomScaleNormal="75" zoomScalePageLayoutView="75" workbookViewId="0">
      <selection activeCell="E48" sqref="E48"/>
    </sheetView>
  </sheetViews>
  <sheetFormatPr baseColWidth="12" defaultColWidth="8.83203125" defaultRowHeight="18" x14ac:dyDescent="0.25"/>
  <cols>
    <col min="2" max="2" width="14" bestFit="1" customWidth="1"/>
    <col min="3" max="3" width="13.33203125" bestFit="1" customWidth="1"/>
    <col min="5" max="5" width="12.5" bestFit="1" customWidth="1"/>
    <col min="6" max="6" width="13.33203125" bestFit="1" customWidth="1"/>
    <col min="8" max="8" width="12.6640625" bestFit="1" customWidth="1"/>
    <col min="12" max="12" width="12.6640625" bestFit="1" customWidth="1"/>
    <col min="13" max="13" width="13.33203125" bestFit="1" customWidth="1"/>
    <col min="14" max="14" width="12.6640625" bestFit="1" customWidth="1"/>
    <col min="15" max="15" width="14.6640625" bestFit="1" customWidth="1"/>
  </cols>
  <sheetData>
    <row r="1" spans="1:20" ht="19" thickBot="1" x14ac:dyDescent="0.3">
      <c r="A1" s="15"/>
      <c r="B1" s="16" t="s">
        <v>5</v>
      </c>
      <c r="C1" s="16" t="s">
        <v>6</v>
      </c>
      <c r="D1" s="16" t="s">
        <v>7</v>
      </c>
      <c r="E1" s="16" t="s">
        <v>9</v>
      </c>
      <c r="F1" s="17" t="s">
        <v>8</v>
      </c>
      <c r="G1" s="15"/>
      <c r="H1" s="16" t="s">
        <v>10</v>
      </c>
      <c r="I1" s="16" t="s">
        <v>30</v>
      </c>
      <c r="J1" s="17" t="s">
        <v>31</v>
      </c>
      <c r="K1" s="15" t="s">
        <v>28</v>
      </c>
      <c r="L1" s="16" t="s">
        <v>29</v>
      </c>
      <c r="M1" s="17" t="s">
        <v>32</v>
      </c>
      <c r="Q1" s="15"/>
      <c r="R1" s="16" t="s">
        <v>44</v>
      </c>
      <c r="S1" s="16" t="s">
        <v>45</v>
      </c>
      <c r="T1" s="17" t="s">
        <v>46</v>
      </c>
    </row>
    <row r="2" spans="1:20" x14ac:dyDescent="0.25">
      <c r="A2" s="13" t="s">
        <v>1</v>
      </c>
      <c r="B2" s="5">
        <v>400.5</v>
      </c>
      <c r="C2" s="5">
        <v>400.5</v>
      </c>
      <c r="D2" s="5">
        <v>400.5</v>
      </c>
      <c r="E2" s="6">
        <f>AVERAGE(B2:D2)</f>
        <v>400.5</v>
      </c>
      <c r="F2" s="7">
        <f>E2/1000</f>
        <v>0.40050000000000002</v>
      </c>
      <c r="G2" s="13" t="s">
        <v>12</v>
      </c>
      <c r="H2" s="5">
        <v>199.9</v>
      </c>
      <c r="I2" s="6">
        <f>H2</f>
        <v>199.9</v>
      </c>
      <c r="J2" s="7">
        <f>I2/1000</f>
        <v>0.19989999999999999</v>
      </c>
      <c r="K2" s="13">
        <f>J2/L10</f>
        <v>35.276470588235291</v>
      </c>
      <c r="L2" s="18">
        <f t="shared" ref="L2:L7" si="0">F$22*K2</f>
        <v>88698021138.412766</v>
      </c>
      <c r="M2" s="19">
        <f>L2/10^9</f>
        <v>88.69802113841277</v>
      </c>
      <c r="Q2" s="13" t="s">
        <v>47</v>
      </c>
      <c r="R2" s="6">
        <f>B2</f>
        <v>400.5</v>
      </c>
      <c r="S2" s="6">
        <f t="shared" ref="S2:T2" si="1">C2</f>
        <v>400.5</v>
      </c>
      <c r="T2" s="7">
        <f t="shared" si="1"/>
        <v>400.5</v>
      </c>
    </row>
    <row r="3" spans="1:20" ht="19" thickBot="1" x14ac:dyDescent="0.3">
      <c r="A3" s="13" t="s">
        <v>4</v>
      </c>
      <c r="B3" s="5">
        <v>33.5</v>
      </c>
      <c r="C3" s="5">
        <v>33.5</v>
      </c>
      <c r="D3" s="5">
        <v>33.5</v>
      </c>
      <c r="E3" s="6">
        <f>AVERAGE(B3:D3)</f>
        <v>33.5</v>
      </c>
      <c r="F3" s="7">
        <f>E3/1000</f>
        <v>3.3500000000000002E-2</v>
      </c>
      <c r="G3" s="13" t="s">
        <v>13</v>
      </c>
      <c r="H3" s="5">
        <v>199.8</v>
      </c>
      <c r="I3" s="6">
        <f>I2+H3</f>
        <v>399.70000000000005</v>
      </c>
      <c r="J3" s="7">
        <f t="shared" ref="J3:J7" si="2">I3/1000</f>
        <v>0.39970000000000006</v>
      </c>
      <c r="K3" s="13">
        <f t="shared" ref="K3:K7" si="3">J3/L11</f>
        <v>38.680645161290329</v>
      </c>
      <c r="L3" s="18">
        <f t="shared" si="0"/>
        <v>97257368011.973892</v>
      </c>
      <c r="M3" s="19">
        <f t="shared" ref="M3:M6" si="4">L3/10^9</f>
        <v>97.257368011973895</v>
      </c>
      <c r="Q3" s="13" t="s">
        <v>48</v>
      </c>
      <c r="R3" s="6">
        <f>B3</f>
        <v>33.5</v>
      </c>
      <c r="S3" s="6">
        <f t="shared" ref="S3" si="5">C3</f>
        <v>33.5</v>
      </c>
      <c r="T3" s="7">
        <f t="shared" ref="T3" si="6">D3</f>
        <v>33.5</v>
      </c>
    </row>
    <row r="4" spans="1:20" ht="19" thickBot="1" x14ac:dyDescent="0.3">
      <c r="A4" s="13" t="s">
        <v>0</v>
      </c>
      <c r="B4" s="5">
        <v>9.7978871999999999</v>
      </c>
      <c r="C4" s="6"/>
      <c r="D4" s="6"/>
      <c r="E4" s="6"/>
      <c r="F4" s="7"/>
      <c r="G4" s="13" t="s">
        <v>14</v>
      </c>
      <c r="H4" s="5">
        <v>199.9</v>
      </c>
      <c r="I4" s="6">
        <f>I3+H4</f>
        <v>599.6</v>
      </c>
      <c r="J4" s="7">
        <f t="shared" si="2"/>
        <v>0.59960000000000002</v>
      </c>
      <c r="K4" s="13">
        <f t="shared" si="3"/>
        <v>38.850971922246224</v>
      </c>
      <c r="L4" s="18">
        <f>F$22*K4</f>
        <v>97685632132.272308</v>
      </c>
      <c r="M4" s="19">
        <f t="shared" si="4"/>
        <v>97.685632132272303</v>
      </c>
      <c r="Q4" s="15"/>
      <c r="R4" s="16"/>
      <c r="S4" s="16"/>
      <c r="T4" s="17"/>
    </row>
    <row r="5" spans="1:20" x14ac:dyDescent="0.25">
      <c r="A5" s="12" t="s">
        <v>11</v>
      </c>
      <c r="B5" s="22">
        <v>6.2549999999999999</v>
      </c>
      <c r="C5" s="22">
        <v>5.9950000000000001</v>
      </c>
      <c r="D5" s="22">
        <v>6.1349999999999998</v>
      </c>
      <c r="E5" s="2">
        <f t="shared" ref="E5:E7" si="7">AVERAGE(B5:D5)</f>
        <v>6.128333333333333</v>
      </c>
      <c r="F5" s="3">
        <f t="shared" ref="F5:F7" si="8">E5/1000</f>
        <v>6.1283333333333329E-3</v>
      </c>
      <c r="G5" s="13" t="s">
        <v>15</v>
      </c>
      <c r="H5" s="5">
        <v>199.7</v>
      </c>
      <c r="I5" s="6">
        <f>I4+H5</f>
        <v>799.3</v>
      </c>
      <c r="J5" s="7">
        <f t="shared" si="2"/>
        <v>0.7992999999999999</v>
      </c>
      <c r="K5" s="13">
        <f t="shared" si="3"/>
        <v>40.573604060913709</v>
      </c>
      <c r="L5" s="18">
        <f t="shared" si="0"/>
        <v>102016962883.37627</v>
      </c>
      <c r="M5" s="19">
        <f>L5/10^9</f>
        <v>102.01696288337627</v>
      </c>
      <c r="Q5" s="13" t="s">
        <v>49</v>
      </c>
      <c r="R5" s="6">
        <f t="shared" ref="R5:T7" si="9">B5</f>
        <v>6.2549999999999999</v>
      </c>
      <c r="S5" s="6">
        <f t="shared" si="9"/>
        <v>5.9950000000000001</v>
      </c>
      <c r="T5" s="7">
        <f t="shared" si="9"/>
        <v>6.1349999999999998</v>
      </c>
    </row>
    <row r="6" spans="1:20" x14ac:dyDescent="0.25">
      <c r="A6" s="13" t="s">
        <v>3</v>
      </c>
      <c r="B6" s="5">
        <v>15.01</v>
      </c>
      <c r="C6" s="5">
        <v>14.98</v>
      </c>
      <c r="D6" s="5">
        <v>14.97</v>
      </c>
      <c r="E6" s="6">
        <f t="shared" si="7"/>
        <v>14.986666666666666</v>
      </c>
      <c r="F6" s="7">
        <f t="shared" si="8"/>
        <v>1.4986666666666665E-2</v>
      </c>
      <c r="G6" s="13" t="s">
        <v>16</v>
      </c>
      <c r="H6" s="5">
        <v>199.8</v>
      </c>
      <c r="I6" s="6">
        <f>I5+H6</f>
        <v>999.09999999999991</v>
      </c>
      <c r="J6" s="7">
        <f t="shared" si="2"/>
        <v>0.99909999999999988</v>
      </c>
      <c r="K6" s="13">
        <f t="shared" si="3"/>
        <v>40.449392712550605</v>
      </c>
      <c r="L6" s="18">
        <f>F$22*K6</f>
        <v>101704649870.7923</v>
      </c>
      <c r="M6" s="19">
        <f t="shared" si="4"/>
        <v>101.7046498707923</v>
      </c>
      <c r="Q6" s="13" t="s">
        <v>50</v>
      </c>
      <c r="R6" s="6">
        <f t="shared" si="9"/>
        <v>15.01</v>
      </c>
      <c r="S6" s="6">
        <f t="shared" si="9"/>
        <v>14.98</v>
      </c>
      <c r="T6" s="7">
        <f t="shared" si="9"/>
        <v>14.97</v>
      </c>
    </row>
    <row r="7" spans="1:20" ht="19" thickBot="1" x14ac:dyDescent="0.3">
      <c r="A7" s="14" t="s">
        <v>2</v>
      </c>
      <c r="B7" s="9">
        <v>923.2</v>
      </c>
      <c r="C7" s="9"/>
      <c r="D7" s="9"/>
      <c r="E7" s="10">
        <f t="shared" si="7"/>
        <v>923.2</v>
      </c>
      <c r="F7" s="11">
        <f t="shared" si="8"/>
        <v>0.92320000000000002</v>
      </c>
      <c r="G7" s="14" t="s">
        <v>33</v>
      </c>
      <c r="H7" s="9">
        <v>200</v>
      </c>
      <c r="I7" s="10">
        <f>I6+H7</f>
        <v>1199.0999999999999</v>
      </c>
      <c r="J7" s="11">
        <f t="shared" si="2"/>
        <v>1.1990999999999998</v>
      </c>
      <c r="K7" s="14">
        <f t="shared" si="3"/>
        <v>40.647457627118641</v>
      </c>
      <c r="L7" s="20">
        <f t="shared" si="0"/>
        <v>102202657910.8878</v>
      </c>
      <c r="M7" s="21">
        <f>L7/10^9</f>
        <v>102.20265791088781</v>
      </c>
      <c r="Q7" s="13" t="s">
        <v>51</v>
      </c>
      <c r="R7" s="6">
        <f t="shared" si="9"/>
        <v>923.2</v>
      </c>
      <c r="S7" s="6">
        <f t="shared" si="9"/>
        <v>0</v>
      </c>
      <c r="T7" s="7">
        <f t="shared" si="9"/>
        <v>0</v>
      </c>
    </row>
    <row r="8" spans="1:20" ht="19" thickBot="1" x14ac:dyDescent="0.3">
      <c r="A8" s="15"/>
      <c r="B8" s="16" t="s">
        <v>5</v>
      </c>
      <c r="C8" s="16" t="s">
        <v>6</v>
      </c>
      <c r="D8" s="16" t="s">
        <v>7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6" t="s">
        <v>23</v>
      </c>
      <c r="L8" s="17" t="s">
        <v>24</v>
      </c>
      <c r="Q8" s="13" t="s">
        <v>61</v>
      </c>
      <c r="R8" s="6">
        <f t="shared" ref="R8:R19" si="10">B9</f>
        <v>100</v>
      </c>
      <c r="S8" s="6">
        <f t="shared" ref="S8:S19" si="11">C9</f>
        <v>100</v>
      </c>
      <c r="T8" s="7">
        <f t="shared" ref="T8:T19" si="12">D9</f>
        <v>100</v>
      </c>
    </row>
    <row r="9" spans="1:20" ht="19" thickBot="1" x14ac:dyDescent="0.3">
      <c r="A9" s="13">
        <v>0</v>
      </c>
      <c r="B9" s="5">
        <v>100</v>
      </c>
      <c r="C9" s="5">
        <v>100</v>
      </c>
      <c r="D9" s="5">
        <v>100</v>
      </c>
      <c r="E9" s="6">
        <f>B9-B$9</f>
        <v>0</v>
      </c>
      <c r="F9" s="6">
        <f>C9-C$9</f>
        <v>0</v>
      </c>
      <c r="G9" s="6">
        <f t="shared" ref="G9:G20" si="13">D9-D$9</f>
        <v>0</v>
      </c>
      <c r="H9" s="6">
        <f>E9/1000</f>
        <v>0</v>
      </c>
      <c r="I9" s="6">
        <f t="shared" ref="I9:J20" si="14">F9/1000</f>
        <v>0</v>
      </c>
      <c r="J9" s="6">
        <f t="shared" si="14"/>
        <v>0</v>
      </c>
      <c r="K9" s="6"/>
      <c r="L9" s="6"/>
      <c r="M9" s="23" t="s">
        <v>34</v>
      </c>
      <c r="N9" s="16" t="s">
        <v>29</v>
      </c>
      <c r="O9" s="17" t="s">
        <v>32</v>
      </c>
      <c r="Q9" s="13" t="s">
        <v>52</v>
      </c>
      <c r="R9" s="6">
        <f t="shared" si="10"/>
        <v>105</v>
      </c>
      <c r="S9" s="6">
        <f t="shared" si="11"/>
        <v>107</v>
      </c>
      <c r="T9" s="7">
        <f t="shared" si="12"/>
        <v>105</v>
      </c>
    </row>
    <row r="10" spans="1:20" x14ac:dyDescent="0.25">
      <c r="A10" s="13">
        <v>1</v>
      </c>
      <c r="B10" s="5">
        <v>105</v>
      </c>
      <c r="C10" s="5">
        <v>107</v>
      </c>
      <c r="D10" s="5">
        <v>105</v>
      </c>
      <c r="E10" s="6">
        <f>B10-B$9</f>
        <v>5</v>
      </c>
      <c r="F10" s="6">
        <f t="shared" ref="F10:F20" si="15">C10-C$9</f>
        <v>7</v>
      </c>
      <c r="G10" s="6">
        <f>D10-D$9</f>
        <v>5</v>
      </c>
      <c r="H10" s="6">
        <f t="shared" ref="H10:H20" si="16">E10/1000</f>
        <v>5.0000000000000001E-3</v>
      </c>
      <c r="I10" s="6">
        <f t="shared" si="14"/>
        <v>7.0000000000000001E-3</v>
      </c>
      <c r="J10" s="6">
        <f t="shared" si="14"/>
        <v>5.0000000000000001E-3</v>
      </c>
      <c r="K10" s="6">
        <f>AVERAGE(H10:J10)</f>
        <v>5.6666666666666671E-3</v>
      </c>
      <c r="L10" s="6">
        <f>(K10+0)</f>
        <v>5.6666666666666671E-3</v>
      </c>
      <c r="M10" s="1">
        <f>J2/K10</f>
        <v>35.276470588235291</v>
      </c>
      <c r="N10" s="18">
        <f>F$22*M10</f>
        <v>88698021138.412766</v>
      </c>
      <c r="O10" s="24">
        <f t="shared" ref="O10:O13" si="17">N10/10^9</f>
        <v>88.69802113841277</v>
      </c>
      <c r="Q10" s="13" t="s">
        <v>53</v>
      </c>
      <c r="R10" s="6">
        <f t="shared" si="10"/>
        <v>110.1</v>
      </c>
      <c r="S10" s="6">
        <f t="shared" si="11"/>
        <v>112.9</v>
      </c>
      <c r="T10" s="7">
        <f t="shared" si="12"/>
        <v>108</v>
      </c>
    </row>
    <row r="11" spans="1:20" x14ac:dyDescent="0.25">
      <c r="A11" s="13">
        <v>2</v>
      </c>
      <c r="B11" s="5">
        <v>110.1</v>
      </c>
      <c r="C11" s="5">
        <v>112.9</v>
      </c>
      <c r="D11" s="5">
        <v>108</v>
      </c>
      <c r="E11" s="6">
        <f t="shared" ref="E11:E20" si="18">B11-B$9</f>
        <v>10.099999999999994</v>
      </c>
      <c r="F11" s="6">
        <f t="shared" si="15"/>
        <v>12.900000000000006</v>
      </c>
      <c r="G11" s="6">
        <f t="shared" si="13"/>
        <v>8</v>
      </c>
      <c r="H11" s="6">
        <f t="shared" si="16"/>
        <v>1.0099999999999994E-2</v>
      </c>
      <c r="I11" s="6">
        <f t="shared" si="14"/>
        <v>1.2900000000000005E-2</v>
      </c>
      <c r="J11" s="6">
        <f t="shared" si="14"/>
        <v>8.0000000000000002E-3</v>
      </c>
      <c r="K11" s="6">
        <f t="shared" ref="K11:K20" si="19">AVERAGE(H11:J11)</f>
        <v>1.0333333333333333E-2</v>
      </c>
      <c r="L11" s="6">
        <f>(K11+0)</f>
        <v>1.0333333333333333E-2</v>
      </c>
      <c r="M11" s="4">
        <f t="shared" ref="M11:M15" si="20">J3/K11</f>
        <v>38.680645161290329</v>
      </c>
      <c r="N11" s="18">
        <f t="shared" ref="N11:N20" si="21">F$22*M11</f>
        <v>97257368011.973892</v>
      </c>
      <c r="O11" s="19">
        <f t="shared" si="17"/>
        <v>97.257368011973895</v>
      </c>
      <c r="Q11" s="13" t="s">
        <v>54</v>
      </c>
      <c r="R11" s="6">
        <f t="shared" si="10"/>
        <v>114.9</v>
      </c>
      <c r="S11" s="6">
        <f t="shared" si="11"/>
        <v>118.1</v>
      </c>
      <c r="T11" s="7">
        <f t="shared" si="12"/>
        <v>113.3</v>
      </c>
    </row>
    <row r="12" spans="1:20" x14ac:dyDescent="0.25">
      <c r="A12" s="13">
        <v>3</v>
      </c>
      <c r="B12" s="5">
        <v>114.9</v>
      </c>
      <c r="C12" s="5">
        <v>118.1</v>
      </c>
      <c r="D12" s="5">
        <v>113.3</v>
      </c>
      <c r="E12" s="6">
        <f t="shared" si="18"/>
        <v>14.900000000000006</v>
      </c>
      <c r="F12" s="6">
        <f t="shared" si="15"/>
        <v>18.099999999999994</v>
      </c>
      <c r="G12" s="6">
        <f t="shared" si="13"/>
        <v>13.299999999999997</v>
      </c>
      <c r="H12" s="6">
        <f t="shared" si="16"/>
        <v>1.4900000000000005E-2</v>
      </c>
      <c r="I12" s="6">
        <f t="shared" si="14"/>
        <v>1.8099999999999995E-2</v>
      </c>
      <c r="J12" s="6">
        <f t="shared" si="14"/>
        <v>1.3299999999999998E-2</v>
      </c>
      <c r="K12" s="6">
        <f t="shared" si="19"/>
        <v>1.5433333333333334E-2</v>
      </c>
      <c r="L12" s="6">
        <f>(K12+0)</f>
        <v>1.5433333333333334E-2</v>
      </c>
      <c r="M12" s="4">
        <f>J4/K12</f>
        <v>38.850971922246224</v>
      </c>
      <c r="N12" s="18">
        <f t="shared" si="21"/>
        <v>97685632132.272308</v>
      </c>
      <c r="O12" s="19">
        <f t="shared" si="17"/>
        <v>97.685632132272303</v>
      </c>
      <c r="Q12" s="13" t="s">
        <v>55</v>
      </c>
      <c r="R12" s="6">
        <f t="shared" si="10"/>
        <v>118.5</v>
      </c>
      <c r="S12" s="6">
        <f t="shared" si="11"/>
        <v>122.5</v>
      </c>
      <c r="T12" s="7">
        <f t="shared" si="12"/>
        <v>118.1</v>
      </c>
    </row>
    <row r="13" spans="1:20" x14ac:dyDescent="0.25">
      <c r="A13" s="13">
        <v>4</v>
      </c>
      <c r="B13" s="5">
        <v>118.5</v>
      </c>
      <c r="C13" s="5">
        <v>122.5</v>
      </c>
      <c r="D13" s="5">
        <v>118.1</v>
      </c>
      <c r="E13" s="6">
        <f t="shared" si="18"/>
        <v>18.5</v>
      </c>
      <c r="F13" s="6">
        <f t="shared" si="15"/>
        <v>22.5</v>
      </c>
      <c r="G13" s="6">
        <f t="shared" si="13"/>
        <v>18.099999999999994</v>
      </c>
      <c r="H13" s="6">
        <f t="shared" si="16"/>
        <v>1.8499999999999999E-2</v>
      </c>
      <c r="I13" s="6">
        <f t="shared" si="14"/>
        <v>2.2499999999999999E-2</v>
      </c>
      <c r="J13" s="6">
        <f t="shared" si="14"/>
        <v>1.8099999999999995E-2</v>
      </c>
      <c r="K13" s="6">
        <f t="shared" si="19"/>
        <v>1.9699999999999995E-2</v>
      </c>
      <c r="L13" s="6">
        <f>(K13+0)</f>
        <v>1.9699999999999995E-2</v>
      </c>
      <c r="M13" s="4">
        <f t="shared" si="20"/>
        <v>40.573604060913709</v>
      </c>
      <c r="N13" s="18">
        <f t="shared" si="21"/>
        <v>102016962883.37627</v>
      </c>
      <c r="O13" s="19">
        <f t="shared" si="17"/>
        <v>102.01696288337627</v>
      </c>
      <c r="Q13" s="13" t="s">
        <v>56</v>
      </c>
      <c r="R13" s="6">
        <f t="shared" si="10"/>
        <v>123.2</v>
      </c>
      <c r="S13" s="6">
        <f t="shared" si="11"/>
        <v>127.5</v>
      </c>
      <c r="T13" s="7">
        <f t="shared" si="12"/>
        <v>123.4</v>
      </c>
    </row>
    <row r="14" spans="1:20" ht="19" thickBot="1" x14ac:dyDescent="0.3">
      <c r="A14" s="13">
        <v>5</v>
      </c>
      <c r="B14" s="5">
        <v>123.2</v>
      </c>
      <c r="C14" s="5">
        <v>127.5</v>
      </c>
      <c r="D14" s="5">
        <v>123.4</v>
      </c>
      <c r="E14" s="6">
        <f t="shared" si="18"/>
        <v>23.200000000000003</v>
      </c>
      <c r="F14" s="6">
        <f t="shared" si="15"/>
        <v>27.5</v>
      </c>
      <c r="G14" s="6">
        <f t="shared" si="13"/>
        <v>23.400000000000006</v>
      </c>
      <c r="H14" s="6">
        <f t="shared" si="16"/>
        <v>2.3200000000000002E-2</v>
      </c>
      <c r="I14" s="6">
        <f t="shared" si="14"/>
        <v>2.75E-2</v>
      </c>
      <c r="J14" s="6">
        <f t="shared" si="14"/>
        <v>2.3400000000000004E-2</v>
      </c>
      <c r="K14" s="6">
        <f t="shared" si="19"/>
        <v>2.47E-2</v>
      </c>
      <c r="L14" s="6">
        <f>(K14+0)</f>
        <v>2.47E-2</v>
      </c>
      <c r="M14" s="4">
        <f t="shared" si="20"/>
        <v>40.449392712550605</v>
      </c>
      <c r="N14" s="18">
        <f t="shared" si="21"/>
        <v>101704649870.7923</v>
      </c>
      <c r="O14" s="21">
        <f>N14/10^9</f>
        <v>101.7046498707923</v>
      </c>
      <c r="Q14" s="13" t="s">
        <v>57</v>
      </c>
      <c r="R14" s="6">
        <f t="shared" si="10"/>
        <v>127</v>
      </c>
      <c r="S14" s="6">
        <f t="shared" si="11"/>
        <v>133</v>
      </c>
      <c r="T14" s="7">
        <f t="shared" si="12"/>
        <v>128.5</v>
      </c>
    </row>
    <row r="15" spans="1:20" x14ac:dyDescent="0.25">
      <c r="A15" s="13">
        <v>6</v>
      </c>
      <c r="B15" s="5">
        <v>127</v>
      </c>
      <c r="C15" s="5">
        <v>133</v>
      </c>
      <c r="D15" s="5">
        <v>128.5</v>
      </c>
      <c r="E15" s="6">
        <f t="shared" si="18"/>
        <v>27</v>
      </c>
      <c r="F15" s="6">
        <f t="shared" si="15"/>
        <v>33</v>
      </c>
      <c r="G15" s="6">
        <f t="shared" si="13"/>
        <v>28.5</v>
      </c>
      <c r="H15" s="6">
        <f t="shared" si="16"/>
        <v>2.7E-2</v>
      </c>
      <c r="I15" s="6">
        <f t="shared" si="14"/>
        <v>3.3000000000000002E-2</v>
      </c>
      <c r="J15" s="6">
        <f t="shared" si="14"/>
        <v>2.8500000000000001E-2</v>
      </c>
      <c r="K15" s="6">
        <f t="shared" si="19"/>
        <v>2.9499999999999998E-2</v>
      </c>
      <c r="L15" s="6">
        <f>K15</f>
        <v>2.9499999999999998E-2</v>
      </c>
      <c r="M15" s="4">
        <f t="shared" si="20"/>
        <v>40.647457627118641</v>
      </c>
      <c r="N15" s="18">
        <f t="shared" si="21"/>
        <v>102202657910.8878</v>
      </c>
      <c r="O15" s="19">
        <f>N15/10^9</f>
        <v>102.20265791088781</v>
      </c>
      <c r="Q15" s="13" t="s">
        <v>56</v>
      </c>
      <c r="R15" s="6">
        <f t="shared" si="10"/>
        <v>0</v>
      </c>
      <c r="S15" s="6">
        <f t="shared" si="11"/>
        <v>0</v>
      </c>
      <c r="T15" s="7">
        <f t="shared" si="12"/>
        <v>0</v>
      </c>
    </row>
    <row r="16" spans="1:20" x14ac:dyDescent="0.25">
      <c r="A16" s="13">
        <v>5</v>
      </c>
      <c r="B16" s="5"/>
      <c r="C16" s="5"/>
      <c r="D16" s="5"/>
      <c r="E16" s="6">
        <f t="shared" si="18"/>
        <v>-100</v>
      </c>
      <c r="F16" s="6">
        <f t="shared" si="15"/>
        <v>-100</v>
      </c>
      <c r="G16" s="6">
        <f t="shared" si="13"/>
        <v>-100</v>
      </c>
      <c r="H16" s="6">
        <f t="shared" si="16"/>
        <v>-0.1</v>
      </c>
      <c r="I16" s="6">
        <f t="shared" si="14"/>
        <v>-0.1</v>
      </c>
      <c r="J16" s="6">
        <f t="shared" si="14"/>
        <v>-0.1</v>
      </c>
      <c r="K16" s="6">
        <f t="shared" si="19"/>
        <v>-0.10000000000000002</v>
      </c>
      <c r="L16" s="6"/>
      <c r="M16" s="4">
        <f>J6/K16</f>
        <v>-9.9909999999999961</v>
      </c>
      <c r="N16" s="18">
        <f t="shared" si="21"/>
        <v>-25121048518.08569</v>
      </c>
      <c r="O16" s="19">
        <f t="shared" ref="O16:O19" si="22">N16/10^9</f>
        <v>-25.12104851808569</v>
      </c>
      <c r="Q16" s="13" t="s">
        <v>58</v>
      </c>
      <c r="R16" s="6">
        <f t="shared" si="10"/>
        <v>0</v>
      </c>
      <c r="S16" s="6">
        <f t="shared" si="11"/>
        <v>0</v>
      </c>
      <c r="T16" s="7">
        <f t="shared" si="12"/>
        <v>0</v>
      </c>
    </row>
    <row r="17" spans="1:20" x14ac:dyDescent="0.25">
      <c r="A17" s="13">
        <v>4</v>
      </c>
      <c r="B17" s="5"/>
      <c r="C17" s="5"/>
      <c r="D17" s="5"/>
      <c r="E17" s="6">
        <f t="shared" si="18"/>
        <v>-100</v>
      </c>
      <c r="F17" s="6">
        <f t="shared" si="15"/>
        <v>-100</v>
      </c>
      <c r="G17" s="6">
        <f t="shared" si="13"/>
        <v>-100</v>
      </c>
      <c r="H17" s="6">
        <f t="shared" si="16"/>
        <v>-0.1</v>
      </c>
      <c r="I17" s="6">
        <f t="shared" si="14"/>
        <v>-0.1</v>
      </c>
      <c r="J17" s="6">
        <f t="shared" si="14"/>
        <v>-0.1</v>
      </c>
      <c r="K17" s="6">
        <f t="shared" si="19"/>
        <v>-0.10000000000000002</v>
      </c>
      <c r="L17" s="6"/>
      <c r="M17" s="4">
        <f>J5/K17</f>
        <v>-7.9929999999999977</v>
      </c>
      <c r="N17" s="18">
        <f t="shared" si="21"/>
        <v>-20097341688.025116</v>
      </c>
      <c r="O17" s="19">
        <f t="shared" si="22"/>
        <v>-20.097341688025114</v>
      </c>
      <c r="Q17" s="13" t="s">
        <v>59</v>
      </c>
      <c r="R17" s="6">
        <f t="shared" si="10"/>
        <v>0</v>
      </c>
      <c r="S17" s="6">
        <f t="shared" si="11"/>
        <v>0</v>
      </c>
      <c r="T17" s="7">
        <f t="shared" si="12"/>
        <v>0</v>
      </c>
    </row>
    <row r="18" spans="1:20" x14ac:dyDescent="0.25">
      <c r="A18" s="13">
        <v>3</v>
      </c>
      <c r="B18" s="5"/>
      <c r="C18" s="5"/>
      <c r="D18" s="5"/>
      <c r="E18" s="6">
        <f t="shared" si="18"/>
        <v>-100</v>
      </c>
      <c r="F18" s="6">
        <f t="shared" si="15"/>
        <v>-100</v>
      </c>
      <c r="G18" s="6">
        <f t="shared" si="13"/>
        <v>-100</v>
      </c>
      <c r="H18" s="6">
        <f t="shared" si="16"/>
        <v>-0.1</v>
      </c>
      <c r="I18" s="6">
        <f t="shared" si="14"/>
        <v>-0.1</v>
      </c>
      <c r="J18" s="6">
        <f t="shared" si="14"/>
        <v>-0.1</v>
      </c>
      <c r="K18" s="6">
        <f t="shared" si="19"/>
        <v>-0.10000000000000002</v>
      </c>
      <c r="L18" s="6"/>
      <c r="M18" s="4">
        <f>J4/K18</f>
        <v>-5.9959999999999987</v>
      </c>
      <c r="N18" s="18">
        <f t="shared" si="21"/>
        <v>-15076149225.747355</v>
      </c>
      <c r="O18" s="19">
        <f t="shared" si="22"/>
        <v>-15.076149225747354</v>
      </c>
      <c r="Q18" s="13" t="s">
        <v>60</v>
      </c>
      <c r="R18" s="6">
        <f t="shared" si="10"/>
        <v>0</v>
      </c>
      <c r="S18" s="6">
        <f t="shared" si="11"/>
        <v>0</v>
      </c>
      <c r="T18" s="7">
        <f t="shared" si="12"/>
        <v>0</v>
      </c>
    </row>
    <row r="19" spans="1:20" ht="19" thickBot="1" x14ac:dyDescent="0.3">
      <c r="A19" s="13">
        <v>2</v>
      </c>
      <c r="B19" s="5"/>
      <c r="C19" s="5"/>
      <c r="D19" s="5"/>
      <c r="E19" s="6">
        <f t="shared" si="18"/>
        <v>-100</v>
      </c>
      <c r="F19" s="6">
        <f t="shared" si="15"/>
        <v>-100</v>
      </c>
      <c r="G19" s="6">
        <f t="shared" si="13"/>
        <v>-100</v>
      </c>
      <c r="H19" s="6">
        <f t="shared" si="16"/>
        <v>-0.1</v>
      </c>
      <c r="I19" s="6">
        <f t="shared" si="14"/>
        <v>-0.1</v>
      </c>
      <c r="J19" s="6">
        <f t="shared" si="14"/>
        <v>-0.1</v>
      </c>
      <c r="K19" s="6">
        <f t="shared" si="19"/>
        <v>-0.10000000000000002</v>
      </c>
      <c r="L19" s="6"/>
      <c r="M19" s="4">
        <f>J3/K19</f>
        <v>-3.9969999999999999</v>
      </c>
      <c r="N19" s="18">
        <f t="shared" si="21"/>
        <v>-10049928027.903967</v>
      </c>
      <c r="O19" s="19">
        <f t="shared" si="22"/>
        <v>-10.049928027903967</v>
      </c>
      <c r="Q19" s="14" t="s">
        <v>52</v>
      </c>
      <c r="R19" s="10">
        <f t="shared" si="10"/>
        <v>0</v>
      </c>
      <c r="S19" s="10">
        <f t="shared" si="11"/>
        <v>0</v>
      </c>
      <c r="T19" s="11">
        <f t="shared" si="12"/>
        <v>0</v>
      </c>
    </row>
    <row r="20" spans="1:20" ht="19" thickBot="1" x14ac:dyDescent="0.3">
      <c r="A20" s="14">
        <v>1</v>
      </c>
      <c r="B20" s="9"/>
      <c r="C20" s="9"/>
      <c r="D20" s="9"/>
      <c r="E20" s="10">
        <f t="shared" si="18"/>
        <v>-100</v>
      </c>
      <c r="F20" s="6">
        <f t="shared" si="15"/>
        <v>-100</v>
      </c>
      <c r="G20" s="10">
        <f t="shared" si="13"/>
        <v>-100</v>
      </c>
      <c r="H20" s="10">
        <f t="shared" si="16"/>
        <v>-0.1</v>
      </c>
      <c r="I20" s="10">
        <f t="shared" si="14"/>
        <v>-0.1</v>
      </c>
      <c r="J20" s="10">
        <f t="shared" si="14"/>
        <v>-0.1</v>
      </c>
      <c r="K20" s="10">
        <f t="shared" si="19"/>
        <v>-0.10000000000000002</v>
      </c>
      <c r="L20" s="10"/>
      <c r="M20" s="8">
        <f>J2/K20</f>
        <v>-1.9989999999999997</v>
      </c>
      <c r="N20" s="18">
        <f t="shared" si="21"/>
        <v>-5026221197.8433895</v>
      </c>
      <c r="O20" s="21">
        <f>N20/10^9</f>
        <v>-5.0262211978433893</v>
      </c>
    </row>
    <row r="22" spans="1:20" x14ac:dyDescent="0.25">
      <c r="A22" t="s">
        <v>25</v>
      </c>
      <c r="B22">
        <f>B4/2</f>
        <v>4.8989436</v>
      </c>
      <c r="C22" t="s">
        <v>26</v>
      </c>
      <c r="D22">
        <f>(F2^3)*F7/((F5^3)*F6*F3)</f>
        <v>513246934.05596709</v>
      </c>
      <c r="E22" t="s">
        <v>27</v>
      </c>
      <c r="F22">
        <f>B22*D22</f>
        <v>2514367782.8131018</v>
      </c>
    </row>
    <row r="23" spans="1:20" ht="19" thickBot="1" x14ac:dyDescent="0.3">
      <c r="K23" s="32" t="s">
        <v>65</v>
      </c>
      <c r="L23" s="32" t="s">
        <v>67</v>
      </c>
    </row>
    <row r="24" spans="1:20" x14ac:dyDescent="0.25">
      <c r="A24" s="6">
        <f t="shared" ref="A24:C35" si="23">B9</f>
        <v>100</v>
      </c>
      <c r="B24" s="6">
        <f t="shared" si="23"/>
        <v>100</v>
      </c>
      <c r="C24" s="6">
        <f t="shared" si="23"/>
        <v>100</v>
      </c>
      <c r="D24" s="6">
        <f>AVERAGE(A24:C24)</f>
        <v>100</v>
      </c>
      <c r="E24" s="29">
        <f>D24</f>
        <v>100</v>
      </c>
      <c r="F24" s="30">
        <v>0</v>
      </c>
      <c r="H24" t="s">
        <v>35</v>
      </c>
      <c r="I24">
        <v>1065</v>
      </c>
      <c r="K24" s="32">
        <v>1</v>
      </c>
      <c r="L24" s="32">
        <f>AVERAGE(B10,C10,D10)</f>
        <v>105.66666666666667</v>
      </c>
    </row>
    <row r="25" spans="1:20" x14ac:dyDescent="0.25">
      <c r="A25" s="6">
        <f t="shared" si="23"/>
        <v>105</v>
      </c>
      <c r="B25" s="6">
        <f t="shared" si="23"/>
        <v>107</v>
      </c>
      <c r="C25" s="6">
        <f t="shared" si="23"/>
        <v>105</v>
      </c>
      <c r="D25" s="6">
        <f t="shared" ref="D25:D35" si="24">AVERAGE(A25:C25)</f>
        <v>105.66666666666667</v>
      </c>
      <c r="E25" s="25">
        <f>(D25+D35)</f>
        <v>105.66666666666667</v>
      </c>
      <c r="F25" s="26">
        <f>I2</f>
        <v>199.9</v>
      </c>
      <c r="H25" t="s">
        <v>36</v>
      </c>
      <c r="I25">
        <v>26</v>
      </c>
      <c r="K25" s="32">
        <v>2</v>
      </c>
      <c r="L25" s="32">
        <f t="shared" ref="L25:L29" si="25">AVERAGE(B11,C11,D11)</f>
        <v>110.33333333333333</v>
      </c>
    </row>
    <row r="26" spans="1:20" x14ac:dyDescent="0.25">
      <c r="A26" s="6">
        <f t="shared" si="23"/>
        <v>110.1</v>
      </c>
      <c r="B26" s="6">
        <f t="shared" si="23"/>
        <v>112.9</v>
      </c>
      <c r="C26" s="6">
        <f t="shared" si="23"/>
        <v>108</v>
      </c>
      <c r="D26" s="6">
        <f t="shared" si="24"/>
        <v>110.33333333333333</v>
      </c>
      <c r="E26" s="25">
        <f>(D26+D34)</f>
        <v>110.33333333333333</v>
      </c>
      <c r="F26" s="26">
        <f t="shared" ref="F26:F30" si="26">I3</f>
        <v>399.70000000000005</v>
      </c>
      <c r="H26" t="s">
        <v>64</v>
      </c>
      <c r="I26">
        <f>I24/I25</f>
        <v>40.96153846153846</v>
      </c>
      <c r="K26" s="32">
        <v>3</v>
      </c>
      <c r="L26" s="32">
        <f t="shared" si="25"/>
        <v>115.43333333333334</v>
      </c>
    </row>
    <row r="27" spans="1:20" x14ac:dyDescent="0.25">
      <c r="A27" s="6">
        <f t="shared" si="23"/>
        <v>114.9</v>
      </c>
      <c r="B27" s="6">
        <f t="shared" si="23"/>
        <v>118.1</v>
      </c>
      <c r="C27" s="6">
        <f t="shared" si="23"/>
        <v>113.3</v>
      </c>
      <c r="D27" s="6">
        <f t="shared" si="24"/>
        <v>115.43333333333334</v>
      </c>
      <c r="E27" s="25">
        <f>(D27+D33)</f>
        <v>115.43333333333334</v>
      </c>
      <c r="F27" s="26">
        <f t="shared" si="26"/>
        <v>599.6</v>
      </c>
      <c r="H27" t="s">
        <v>37</v>
      </c>
      <c r="I27">
        <f>F22*I26</f>
        <v>102992372642.15205</v>
      </c>
      <c r="K27" s="32">
        <v>4</v>
      </c>
      <c r="L27" s="32">
        <f t="shared" si="25"/>
        <v>119.7</v>
      </c>
    </row>
    <row r="28" spans="1:20" x14ac:dyDescent="0.25">
      <c r="A28" s="6">
        <f t="shared" si="23"/>
        <v>118.5</v>
      </c>
      <c r="B28" s="6">
        <f t="shared" si="23"/>
        <v>122.5</v>
      </c>
      <c r="C28" s="6">
        <f t="shared" si="23"/>
        <v>118.1</v>
      </c>
      <c r="D28" s="6">
        <f t="shared" si="24"/>
        <v>119.7</v>
      </c>
      <c r="E28" s="25">
        <f>(D28+D32)</f>
        <v>119.7</v>
      </c>
      <c r="F28" s="26">
        <f t="shared" si="26"/>
        <v>799.3</v>
      </c>
      <c r="H28" t="s">
        <v>38</v>
      </c>
      <c r="I28">
        <f>I27/10^9</f>
        <v>102.99237264215205</v>
      </c>
      <c r="K28" s="32">
        <v>5</v>
      </c>
      <c r="L28" s="32">
        <f t="shared" si="25"/>
        <v>124.7</v>
      </c>
    </row>
    <row r="29" spans="1:20" x14ac:dyDescent="0.25">
      <c r="A29" s="6">
        <f t="shared" si="23"/>
        <v>123.2</v>
      </c>
      <c r="B29" s="6">
        <f t="shared" si="23"/>
        <v>127.5</v>
      </c>
      <c r="C29" s="6">
        <f t="shared" si="23"/>
        <v>123.4</v>
      </c>
      <c r="D29" s="6">
        <f t="shared" si="24"/>
        <v>124.7</v>
      </c>
      <c r="E29" s="25">
        <f>(D29+D31)</f>
        <v>124.7</v>
      </c>
      <c r="F29" s="26">
        <f t="shared" si="26"/>
        <v>999.09999999999991</v>
      </c>
      <c r="K29" s="32">
        <v>6</v>
      </c>
      <c r="L29" s="32">
        <f t="shared" si="25"/>
        <v>129.5</v>
      </c>
    </row>
    <row r="30" spans="1:20" ht="19" thickBot="1" x14ac:dyDescent="0.3">
      <c r="A30" s="6">
        <f t="shared" si="23"/>
        <v>127</v>
      </c>
      <c r="B30" s="6">
        <f t="shared" si="23"/>
        <v>133</v>
      </c>
      <c r="C30" s="6">
        <f t="shared" si="23"/>
        <v>128.5</v>
      </c>
      <c r="D30" s="6">
        <f t="shared" si="24"/>
        <v>129.5</v>
      </c>
      <c r="E30" s="27">
        <f>D30</f>
        <v>129.5</v>
      </c>
      <c r="F30" s="28">
        <f t="shared" si="26"/>
        <v>1199.0999999999999</v>
      </c>
      <c r="K30" s="5"/>
    </row>
    <row r="31" spans="1:20" x14ac:dyDescent="0.25">
      <c r="A31" s="6">
        <f t="shared" si="23"/>
        <v>0</v>
      </c>
      <c r="B31" s="6">
        <f t="shared" si="23"/>
        <v>0</v>
      </c>
      <c r="C31" s="6">
        <f t="shared" si="23"/>
        <v>0</v>
      </c>
      <c r="D31" s="6">
        <f t="shared" si="24"/>
        <v>0</v>
      </c>
      <c r="K31" s="5"/>
    </row>
    <row r="32" spans="1:20" x14ac:dyDescent="0.25">
      <c r="A32" s="6">
        <f t="shared" si="23"/>
        <v>0</v>
      </c>
      <c r="B32" s="6">
        <f t="shared" si="23"/>
        <v>0</v>
      </c>
      <c r="C32" s="6">
        <f t="shared" si="23"/>
        <v>0</v>
      </c>
      <c r="D32" s="6">
        <f t="shared" si="24"/>
        <v>0</v>
      </c>
      <c r="K32" s="5"/>
    </row>
    <row r="33" spans="1:11" x14ac:dyDescent="0.25">
      <c r="A33" s="6">
        <f t="shared" si="23"/>
        <v>0</v>
      </c>
      <c r="B33" s="6">
        <f t="shared" si="23"/>
        <v>0</v>
      </c>
      <c r="C33" s="6">
        <f t="shared" si="23"/>
        <v>0</v>
      </c>
      <c r="D33" s="6">
        <f t="shared" si="24"/>
        <v>0</v>
      </c>
      <c r="K33" s="5"/>
    </row>
    <row r="34" spans="1:11" x14ac:dyDescent="0.25">
      <c r="A34" s="6">
        <f t="shared" si="23"/>
        <v>0</v>
      </c>
      <c r="B34" s="6">
        <f t="shared" si="23"/>
        <v>0</v>
      </c>
      <c r="C34" s="6">
        <f t="shared" si="23"/>
        <v>0</v>
      </c>
      <c r="D34" s="6">
        <f t="shared" si="24"/>
        <v>0</v>
      </c>
      <c r="K34" s="5"/>
    </row>
    <row r="35" spans="1:11" ht="19" thickBot="1" x14ac:dyDescent="0.3">
      <c r="A35" s="6">
        <f t="shared" si="23"/>
        <v>0</v>
      </c>
      <c r="B35" s="6">
        <f t="shared" si="23"/>
        <v>0</v>
      </c>
      <c r="C35" s="6">
        <f t="shared" si="23"/>
        <v>0</v>
      </c>
      <c r="D35" s="6">
        <f t="shared" si="24"/>
        <v>0</v>
      </c>
      <c r="K35" s="9"/>
    </row>
    <row r="37" spans="1:11" x14ac:dyDescent="0.25">
      <c r="A37" t="s">
        <v>63</v>
      </c>
      <c r="B37" s="31">
        <v>3.0000000000000001E-3</v>
      </c>
    </row>
    <row r="38" spans="1:11" x14ac:dyDescent="0.25">
      <c r="A38" t="s">
        <v>40</v>
      </c>
      <c r="B38" s="31">
        <v>2.9999999999999997E-4</v>
      </c>
      <c r="G38" t="s">
        <v>42</v>
      </c>
    </row>
    <row r="39" spans="1:11" x14ac:dyDescent="0.25">
      <c r="A39" t="s">
        <v>39</v>
      </c>
      <c r="B39">
        <f>G39/1000</f>
        <v>7.5129517797230906E-5</v>
      </c>
      <c r="C39">
        <f>$E5-B5</f>
        <v>-0.12666666666666693</v>
      </c>
      <c r="D39">
        <f t="shared" ref="C39:E40" si="27">$E5-C5</f>
        <v>0.13333333333333286</v>
      </c>
      <c r="E39">
        <f t="shared" si="27"/>
        <v>-6.6666666666668206E-3</v>
      </c>
      <c r="F39">
        <f>(C39^2+D39^2+E39^2)/6</f>
        <v>5.6444444444444346E-3</v>
      </c>
      <c r="G39">
        <f>SQRT(F39)</f>
        <v>7.5129517797230899E-2</v>
      </c>
    </row>
    <row r="40" spans="1:11" x14ac:dyDescent="0.25">
      <c r="A40" t="s">
        <v>41</v>
      </c>
      <c r="B40">
        <f t="shared" ref="B40" si="28">G40/1000</f>
        <v>1.2018504251546376E-5</v>
      </c>
      <c r="C40">
        <f t="shared" si="27"/>
        <v>-2.3333333333333428E-2</v>
      </c>
      <c r="D40">
        <f t="shared" si="27"/>
        <v>6.6666666666659324E-3</v>
      </c>
      <c r="E40">
        <f t="shared" si="27"/>
        <v>1.6666666666665719E-2</v>
      </c>
      <c r="F40">
        <f>(C40^2+D40^2+E40^2)/6</f>
        <v>1.4444444444443828E-4</v>
      </c>
      <c r="G40">
        <f>SQRT(F40)</f>
        <v>1.2018504251546375E-2</v>
      </c>
    </row>
    <row r="41" spans="1:11" x14ac:dyDescent="0.25">
      <c r="A41" t="s">
        <v>62</v>
      </c>
      <c r="B41" s="31">
        <v>3.0000000000000001E-3</v>
      </c>
    </row>
    <row r="42" spans="1:11" x14ac:dyDescent="0.25">
      <c r="A42" t="s">
        <v>43</v>
      </c>
      <c r="B42">
        <f>I26*SQRT(C42)</f>
        <v>3.8581793122332586</v>
      </c>
      <c r="C42">
        <f>(D42/E42)^2+(F42/G42)^2</f>
        <v>8.8718113083497696E-3</v>
      </c>
      <c r="D42" s="31">
        <v>7.0999999999999994E-2</v>
      </c>
      <c r="E42" s="31">
        <v>1.0649999999999999</v>
      </c>
      <c r="F42" s="31">
        <v>1.73</v>
      </c>
      <c r="G42" s="31">
        <v>26</v>
      </c>
    </row>
    <row r="43" spans="1:11" x14ac:dyDescent="0.25">
      <c r="D43" s="32" t="s">
        <v>72</v>
      </c>
      <c r="E43" s="32" t="s">
        <v>69</v>
      </c>
      <c r="F43" s="32" t="s">
        <v>74</v>
      </c>
      <c r="G43" s="32" t="s">
        <v>71</v>
      </c>
    </row>
    <row r="44" spans="1:11" x14ac:dyDescent="0.25">
      <c r="A44" t="s">
        <v>63</v>
      </c>
      <c r="B44">
        <f>B37^2</f>
        <v>9.0000000000000002E-6</v>
      </c>
      <c r="C44">
        <f>F7^2</f>
        <v>0.85229823999999998</v>
      </c>
    </row>
    <row r="45" spans="1:11" x14ac:dyDescent="0.25">
      <c r="A45" t="s">
        <v>40</v>
      </c>
      <c r="B45">
        <f t="shared" ref="B45:B47" si="29">B38^2</f>
        <v>8.9999999999999985E-8</v>
      </c>
      <c r="C45">
        <f>F3^2</f>
        <v>1.1222500000000002E-3</v>
      </c>
    </row>
    <row r="46" spans="1:11" x14ac:dyDescent="0.25">
      <c r="A46" t="s">
        <v>39</v>
      </c>
      <c r="B46">
        <f t="shared" si="29"/>
        <v>5.6444444444444352E-9</v>
      </c>
      <c r="C46">
        <f>F5^2</f>
        <v>3.7556469444444436E-5</v>
      </c>
    </row>
    <row r="47" spans="1:11" x14ac:dyDescent="0.25">
      <c r="A47" t="s">
        <v>41</v>
      </c>
      <c r="B47">
        <f t="shared" si="29"/>
        <v>1.444444444444383E-10</v>
      </c>
      <c r="C47">
        <f>F6^2</f>
        <v>2.2460017777777775E-4</v>
      </c>
    </row>
    <row r="48" spans="1:11" x14ac:dyDescent="0.25">
      <c r="A48" t="s">
        <v>62</v>
      </c>
      <c r="B48">
        <f>B41^2</f>
        <v>9.0000000000000002E-6</v>
      </c>
      <c r="C48">
        <f>F2^2</f>
        <v>0.16040025000000002</v>
      </c>
      <c r="D48" t="s">
        <v>76</v>
      </c>
      <c r="E48">
        <f>I27*SQRT((B44/C44)+(B45/C45)+(9*B46/C46)+(B47/C47)+(9*B48/C48)+(B49/C49))</f>
        <v>10713596453.839134</v>
      </c>
    </row>
    <row r="49" spans="1:5" x14ac:dyDescent="0.25">
      <c r="A49" t="s">
        <v>43</v>
      </c>
      <c r="B49">
        <f>B42^2</f>
        <v>14.8855476053447</v>
      </c>
      <c r="C49">
        <f>I26^2</f>
        <v>1677.8476331360946</v>
      </c>
      <c r="D49" t="s">
        <v>77</v>
      </c>
      <c r="E49">
        <f>E48/10^9</f>
        <v>10.713596453839134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39" zoomScaleNormal="75" zoomScalePageLayoutView="75" workbookViewId="0">
      <selection activeCell="B41" sqref="B41"/>
    </sheetView>
  </sheetViews>
  <sheetFormatPr baseColWidth="12" defaultColWidth="8.83203125" defaultRowHeight="18" x14ac:dyDescent="0.25"/>
  <cols>
    <col min="2" max="2" width="12.83203125" bestFit="1" customWidth="1"/>
    <col min="3" max="4" width="10.5" bestFit="1" customWidth="1"/>
    <col min="5" max="6" width="11.5" bestFit="1" customWidth="1"/>
    <col min="9" max="9" width="12.6640625" bestFit="1" customWidth="1"/>
    <col min="12" max="12" width="12.6640625" bestFit="1" customWidth="1"/>
    <col min="13" max="13" width="13.33203125" bestFit="1" customWidth="1"/>
    <col min="15" max="15" width="14.6640625" bestFit="1" customWidth="1"/>
  </cols>
  <sheetData>
    <row r="1" spans="1:20" ht="19" thickBot="1" x14ac:dyDescent="0.3">
      <c r="A1" s="15"/>
      <c r="B1" s="16" t="s">
        <v>5</v>
      </c>
      <c r="C1" s="16" t="s">
        <v>6</v>
      </c>
      <c r="D1" s="16" t="s">
        <v>7</v>
      </c>
      <c r="E1" s="16" t="s">
        <v>9</v>
      </c>
      <c r="F1" s="17" t="s">
        <v>8</v>
      </c>
      <c r="G1" s="15"/>
      <c r="H1" s="16" t="s">
        <v>10</v>
      </c>
      <c r="I1" s="16" t="s">
        <v>30</v>
      </c>
      <c r="J1" s="17" t="s">
        <v>31</v>
      </c>
      <c r="K1" s="15" t="s">
        <v>28</v>
      </c>
      <c r="L1" s="16" t="s">
        <v>29</v>
      </c>
      <c r="M1" s="17" t="s">
        <v>32</v>
      </c>
      <c r="Q1" s="15"/>
      <c r="R1" s="16" t="s">
        <v>44</v>
      </c>
      <c r="S1" s="16" t="s">
        <v>45</v>
      </c>
      <c r="T1" s="17" t="s">
        <v>46</v>
      </c>
    </row>
    <row r="2" spans="1:20" x14ac:dyDescent="0.25">
      <c r="A2" s="13" t="s">
        <v>1</v>
      </c>
      <c r="B2" s="5">
        <v>400.5</v>
      </c>
      <c r="C2" s="5">
        <v>400.5</v>
      </c>
      <c r="D2" s="5">
        <v>400.5</v>
      </c>
      <c r="E2" s="6">
        <f>AVERAGE(B2:D2)</f>
        <v>400.5</v>
      </c>
      <c r="F2" s="7">
        <f>E2/1000</f>
        <v>0.40050000000000002</v>
      </c>
      <c r="G2" s="13" t="s">
        <v>12</v>
      </c>
      <c r="H2" s="31">
        <v>199.9</v>
      </c>
      <c r="I2" s="6">
        <f>H2</f>
        <v>199.9</v>
      </c>
      <c r="J2" s="7">
        <f>I2/1000</f>
        <v>0.19989999999999999</v>
      </c>
      <c r="K2" s="13">
        <f>J2/L10</f>
        <v>18.009009009009002</v>
      </c>
      <c r="L2" s="18">
        <f>F$22*K2</f>
        <v>65770761131.80896</v>
      </c>
      <c r="M2" s="19">
        <f>L2/10^9</f>
        <v>65.770761131808953</v>
      </c>
      <c r="Q2" s="13" t="s">
        <v>47</v>
      </c>
      <c r="R2" s="6">
        <f>B2</f>
        <v>400.5</v>
      </c>
      <c r="S2" s="6">
        <f t="shared" ref="S2:T3" si="0">C2</f>
        <v>400.5</v>
      </c>
      <c r="T2" s="7">
        <f t="shared" si="0"/>
        <v>400.5</v>
      </c>
    </row>
    <row r="3" spans="1:20" ht="19" thickBot="1" x14ac:dyDescent="0.3">
      <c r="A3" s="13" t="s">
        <v>4</v>
      </c>
      <c r="B3" s="5">
        <v>33.5</v>
      </c>
      <c r="C3" s="5">
        <v>33.5</v>
      </c>
      <c r="D3" s="5">
        <v>33.5</v>
      </c>
      <c r="E3" s="6">
        <f>AVERAGE(B3:D3)</f>
        <v>33.5</v>
      </c>
      <c r="F3" s="7">
        <f>E3/1000</f>
        <v>3.3500000000000002E-2</v>
      </c>
      <c r="G3" s="13" t="s">
        <v>13</v>
      </c>
      <c r="H3" s="31">
        <v>199.8</v>
      </c>
      <c r="I3" s="6">
        <f>I2+H3</f>
        <v>399.70000000000005</v>
      </c>
      <c r="J3" s="7">
        <f t="shared" ref="J3:J7" si="1">I3/1000</f>
        <v>0.39970000000000006</v>
      </c>
      <c r="K3" s="13">
        <f>J3/L11</f>
        <v>18.031578947368423</v>
      </c>
      <c r="L3" s="18">
        <f t="shared" ref="L3:L7" si="2">F$22*K3</f>
        <v>65853188878.047218</v>
      </c>
      <c r="M3" s="19">
        <f t="shared" ref="M3:M6" si="3">L3/10^9</f>
        <v>65.85318887804722</v>
      </c>
      <c r="Q3" s="13" t="s">
        <v>48</v>
      </c>
      <c r="R3" s="6">
        <f>B3</f>
        <v>33.5</v>
      </c>
      <c r="S3" s="6">
        <f t="shared" si="0"/>
        <v>33.5</v>
      </c>
      <c r="T3" s="7">
        <f t="shared" si="0"/>
        <v>33.5</v>
      </c>
    </row>
    <row r="4" spans="1:20" ht="19" thickBot="1" x14ac:dyDescent="0.3">
      <c r="A4" s="13" t="s">
        <v>0</v>
      </c>
      <c r="B4" s="5">
        <v>9.7978871999999999</v>
      </c>
      <c r="C4" s="6"/>
      <c r="D4" s="6"/>
      <c r="E4" s="6"/>
      <c r="F4" s="7"/>
      <c r="G4" s="13" t="s">
        <v>14</v>
      </c>
      <c r="H4" s="31">
        <v>199.9</v>
      </c>
      <c r="I4" s="6">
        <f>I3+H4</f>
        <v>599.6</v>
      </c>
      <c r="J4" s="7">
        <f t="shared" si="1"/>
        <v>0.59960000000000002</v>
      </c>
      <c r="K4" s="13">
        <f t="shared" ref="K4:K7" si="4">J4/L12</f>
        <v>17.739644970414201</v>
      </c>
      <c r="L4" s="18">
        <f t="shared" si="2"/>
        <v>64787015839.047127</v>
      </c>
      <c r="M4" s="19">
        <f t="shared" si="3"/>
        <v>64.787015839047129</v>
      </c>
      <c r="Q4" s="15"/>
      <c r="R4" s="16"/>
      <c r="S4" s="16"/>
      <c r="T4" s="17"/>
    </row>
    <row r="5" spans="1:20" x14ac:dyDescent="0.25">
      <c r="A5" s="12" t="s">
        <v>11</v>
      </c>
      <c r="B5" s="22">
        <v>4.8849999999999998</v>
      </c>
      <c r="C5" s="22">
        <v>4.8949999999999996</v>
      </c>
      <c r="D5" s="22">
        <v>4.87</v>
      </c>
      <c r="E5" s="2">
        <f t="shared" ref="E5:E7" si="5">AVERAGE(B5:D5)</f>
        <v>4.8833333333333329</v>
      </c>
      <c r="F5" s="3">
        <f t="shared" ref="F5:F7" si="6">E5/1000</f>
        <v>4.8833333333333333E-3</v>
      </c>
      <c r="G5" s="13" t="s">
        <v>15</v>
      </c>
      <c r="H5" s="31">
        <v>199.7</v>
      </c>
      <c r="I5" s="6">
        <f>I4+H5</f>
        <v>799.3</v>
      </c>
      <c r="J5" s="7">
        <f t="shared" si="1"/>
        <v>0.7992999999999999</v>
      </c>
      <c r="K5" s="13">
        <f t="shared" si="4"/>
        <v>17.775389177168275</v>
      </c>
      <c r="L5" s="18">
        <f t="shared" si="2"/>
        <v>64917557374.291634</v>
      </c>
      <c r="M5" s="19">
        <f t="shared" si="3"/>
        <v>64.917557374291633</v>
      </c>
      <c r="Q5" s="13" t="s">
        <v>49</v>
      </c>
      <c r="R5" s="6">
        <f t="shared" ref="R5:T7" si="7">B5</f>
        <v>4.8849999999999998</v>
      </c>
      <c r="S5" s="6">
        <f t="shared" si="7"/>
        <v>4.8949999999999996</v>
      </c>
      <c r="T5" s="7">
        <f t="shared" si="7"/>
        <v>4.87</v>
      </c>
    </row>
    <row r="6" spans="1:20" x14ac:dyDescent="0.25">
      <c r="A6" s="13" t="s">
        <v>3</v>
      </c>
      <c r="B6" s="5">
        <v>21.22</v>
      </c>
      <c r="C6" s="5">
        <v>20.565000000000001</v>
      </c>
      <c r="D6" s="5">
        <v>20.32</v>
      </c>
      <c r="E6" s="6">
        <f t="shared" si="5"/>
        <v>20.701666666666664</v>
      </c>
      <c r="F6" s="7">
        <f t="shared" si="6"/>
        <v>2.0701666666666663E-2</v>
      </c>
      <c r="G6" s="13" t="s">
        <v>16</v>
      </c>
      <c r="H6" s="31">
        <v>199.8</v>
      </c>
      <c r="I6" s="6">
        <f>I5+H6</f>
        <v>999.09999999999991</v>
      </c>
      <c r="J6" s="7">
        <f t="shared" si="1"/>
        <v>0.99909999999999988</v>
      </c>
      <c r="K6" s="13">
        <f>J6/L14</f>
        <v>18.165454545454544</v>
      </c>
      <c r="L6" s="18">
        <f t="shared" si="2"/>
        <v>66342116390.865692</v>
      </c>
      <c r="M6" s="19">
        <f t="shared" si="3"/>
        <v>66.342116390865698</v>
      </c>
      <c r="Q6" s="13" t="s">
        <v>50</v>
      </c>
      <c r="R6" s="6">
        <f t="shared" si="7"/>
        <v>21.22</v>
      </c>
      <c r="S6" s="6">
        <f t="shared" si="7"/>
        <v>20.565000000000001</v>
      </c>
      <c r="T6" s="7">
        <f t="shared" si="7"/>
        <v>20.32</v>
      </c>
    </row>
    <row r="7" spans="1:20" ht="19" thickBot="1" x14ac:dyDescent="0.3">
      <c r="A7" s="14" t="s">
        <v>2</v>
      </c>
      <c r="B7" s="9">
        <v>937.2</v>
      </c>
      <c r="C7" s="9"/>
      <c r="D7" s="9"/>
      <c r="E7" s="10">
        <f t="shared" si="5"/>
        <v>937.2</v>
      </c>
      <c r="F7" s="11">
        <f t="shared" si="6"/>
        <v>0.93720000000000003</v>
      </c>
      <c r="G7" s="14" t="s">
        <v>33</v>
      </c>
      <c r="H7" s="9">
        <v>200</v>
      </c>
      <c r="I7" s="10">
        <f>I6+H7</f>
        <v>1199.0999999999999</v>
      </c>
      <c r="J7" s="11">
        <f t="shared" si="1"/>
        <v>1.1990999999999998</v>
      </c>
      <c r="K7" s="14">
        <f t="shared" si="4"/>
        <v>18.058734939759034</v>
      </c>
      <c r="L7" s="20">
        <f t="shared" si="2"/>
        <v>65952365367.321373</v>
      </c>
      <c r="M7" s="21">
        <f>L7/10^9</f>
        <v>65.952365367321377</v>
      </c>
      <c r="Q7" s="13" t="s">
        <v>51</v>
      </c>
      <c r="R7" s="6">
        <f t="shared" si="7"/>
        <v>937.2</v>
      </c>
      <c r="S7" s="6">
        <f t="shared" si="7"/>
        <v>0</v>
      </c>
      <c r="T7" s="7">
        <f t="shared" si="7"/>
        <v>0</v>
      </c>
    </row>
    <row r="8" spans="1:20" ht="19" thickBot="1" x14ac:dyDescent="0.3">
      <c r="A8" s="15"/>
      <c r="B8" s="16" t="s">
        <v>5</v>
      </c>
      <c r="C8" s="16" t="s">
        <v>6</v>
      </c>
      <c r="D8" s="16" t="s">
        <v>7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6" t="s">
        <v>23</v>
      </c>
      <c r="L8" s="17" t="s">
        <v>24</v>
      </c>
      <c r="Q8" s="13" t="s">
        <v>61</v>
      </c>
      <c r="R8" s="6">
        <f t="shared" ref="R8:R19" si="8">B9</f>
        <v>150</v>
      </c>
      <c r="S8" s="6">
        <f t="shared" ref="S8:S19" si="9">C9</f>
        <v>150</v>
      </c>
      <c r="T8" s="7">
        <f t="shared" ref="T8:T19" si="10">D9</f>
        <v>150</v>
      </c>
    </row>
    <row r="9" spans="1:20" ht="19" thickBot="1" x14ac:dyDescent="0.3">
      <c r="A9" s="13">
        <v>0</v>
      </c>
      <c r="B9" s="5">
        <v>150</v>
      </c>
      <c r="C9" s="5">
        <v>150</v>
      </c>
      <c r="D9" s="5">
        <v>150</v>
      </c>
      <c r="E9" s="6">
        <f>B9-B$9</f>
        <v>0</v>
      </c>
      <c r="F9" s="6">
        <f t="shared" ref="F9:G20" si="11">C9-C$9</f>
        <v>0</v>
      </c>
      <c r="G9" s="6">
        <f t="shared" si="11"/>
        <v>0</v>
      </c>
      <c r="H9" s="6">
        <f>E9/1000</f>
        <v>0</v>
      </c>
      <c r="I9" s="6">
        <f t="shared" ref="I9:J20" si="12">F9/1000</f>
        <v>0</v>
      </c>
      <c r="J9" s="6">
        <f t="shared" si="12"/>
        <v>0</v>
      </c>
      <c r="K9" s="6"/>
      <c r="L9" s="7"/>
      <c r="M9" s="23" t="s">
        <v>34</v>
      </c>
      <c r="N9" s="16" t="s">
        <v>29</v>
      </c>
      <c r="O9" s="17" t="s">
        <v>32</v>
      </c>
      <c r="Q9" s="13" t="s">
        <v>52</v>
      </c>
      <c r="R9" s="6">
        <f t="shared" si="8"/>
        <v>161</v>
      </c>
      <c r="S9" s="6">
        <f t="shared" si="9"/>
        <v>160.80000000000001</v>
      </c>
      <c r="T9" s="7">
        <f t="shared" si="10"/>
        <v>161.5</v>
      </c>
    </row>
    <row r="10" spans="1:20" x14ac:dyDescent="0.25">
      <c r="A10" s="13">
        <v>1</v>
      </c>
      <c r="B10" s="5">
        <v>161</v>
      </c>
      <c r="C10" s="5">
        <v>160.80000000000001</v>
      </c>
      <c r="D10" s="5">
        <v>161.5</v>
      </c>
      <c r="E10" s="6">
        <f t="shared" ref="E10:E20" si="13">B10-B$9</f>
        <v>11</v>
      </c>
      <c r="F10" s="6">
        <f t="shared" si="11"/>
        <v>10.800000000000011</v>
      </c>
      <c r="G10" s="6">
        <f>D10-D$9</f>
        <v>11.5</v>
      </c>
      <c r="H10" s="6">
        <f t="shared" ref="H10:H20" si="14">E10/1000</f>
        <v>1.0999999999999999E-2</v>
      </c>
      <c r="I10" s="6">
        <f t="shared" si="12"/>
        <v>1.0800000000000011E-2</v>
      </c>
      <c r="J10" s="6">
        <f t="shared" si="12"/>
        <v>1.15E-2</v>
      </c>
      <c r="K10" s="6">
        <f>AVERAGE(H10:J10)</f>
        <v>1.1100000000000004E-2</v>
      </c>
      <c r="L10" s="7">
        <f>(K10+K20)/2</f>
        <v>1.1100000000000004E-2</v>
      </c>
      <c r="M10" s="1">
        <f>J2/K10</f>
        <v>18.009009009009002</v>
      </c>
      <c r="N10" s="18">
        <f>F$22*M10</f>
        <v>65770761131.80896</v>
      </c>
      <c r="O10" s="24">
        <f t="shared" ref="O10:O13" si="15">N10/10^9</f>
        <v>65.770761131808953</v>
      </c>
      <c r="Q10" s="13" t="s">
        <v>53</v>
      </c>
      <c r="R10" s="6">
        <f t="shared" si="8"/>
        <v>172</v>
      </c>
      <c r="S10" s="6">
        <f t="shared" si="9"/>
        <v>172</v>
      </c>
      <c r="T10" s="7">
        <f t="shared" si="10"/>
        <v>172.5</v>
      </c>
    </row>
    <row r="11" spans="1:20" x14ac:dyDescent="0.25">
      <c r="A11" s="13">
        <v>2</v>
      </c>
      <c r="B11" s="5">
        <v>172</v>
      </c>
      <c r="C11" s="5">
        <v>172</v>
      </c>
      <c r="D11" s="5">
        <v>172.5</v>
      </c>
      <c r="E11" s="6">
        <f t="shared" si="13"/>
        <v>22</v>
      </c>
      <c r="F11" s="6">
        <f t="shared" si="11"/>
        <v>22</v>
      </c>
      <c r="G11" s="6">
        <f t="shared" si="11"/>
        <v>22.5</v>
      </c>
      <c r="H11" s="6">
        <f t="shared" si="14"/>
        <v>2.1999999999999999E-2</v>
      </c>
      <c r="I11" s="6">
        <f t="shared" si="12"/>
        <v>2.1999999999999999E-2</v>
      </c>
      <c r="J11" s="6">
        <f t="shared" si="12"/>
        <v>2.2499999999999999E-2</v>
      </c>
      <c r="K11" s="6">
        <f t="shared" ref="K11:K20" si="16">AVERAGE(H11:J11)</f>
        <v>2.2166666666666668E-2</v>
      </c>
      <c r="L11" s="7">
        <f>(K11+K19)/2</f>
        <v>2.2166666666666668E-2</v>
      </c>
      <c r="M11" s="4">
        <f t="shared" ref="M11:M15" si="17">J3/K11</f>
        <v>18.031578947368423</v>
      </c>
      <c r="N11" s="18">
        <f t="shared" ref="N11:N20" si="18">F$22*M11</f>
        <v>65853188878.047218</v>
      </c>
      <c r="O11" s="19">
        <f t="shared" si="15"/>
        <v>65.85318887804722</v>
      </c>
      <c r="Q11" s="13" t="s">
        <v>54</v>
      </c>
      <c r="R11" s="6">
        <f t="shared" si="8"/>
        <v>182.9</v>
      </c>
      <c r="S11" s="6">
        <f t="shared" si="9"/>
        <v>183.5</v>
      </c>
      <c r="T11" s="7">
        <f t="shared" si="10"/>
        <v>185</v>
      </c>
    </row>
    <row r="12" spans="1:20" x14ac:dyDescent="0.25">
      <c r="A12" s="13">
        <v>3</v>
      </c>
      <c r="B12" s="5">
        <v>182.9</v>
      </c>
      <c r="C12" s="5">
        <v>183.5</v>
      </c>
      <c r="D12" s="5">
        <v>185</v>
      </c>
      <c r="E12" s="6">
        <f t="shared" si="13"/>
        <v>32.900000000000006</v>
      </c>
      <c r="F12" s="6">
        <f>C12-C$9</f>
        <v>33.5</v>
      </c>
      <c r="G12" s="6">
        <f t="shared" si="11"/>
        <v>35</v>
      </c>
      <c r="H12" s="6">
        <f t="shared" si="14"/>
        <v>3.2900000000000006E-2</v>
      </c>
      <c r="I12" s="6">
        <f t="shared" si="12"/>
        <v>3.3500000000000002E-2</v>
      </c>
      <c r="J12" s="6">
        <f t="shared" si="12"/>
        <v>3.5000000000000003E-2</v>
      </c>
      <c r="K12" s="6">
        <f t="shared" si="16"/>
        <v>3.3800000000000004E-2</v>
      </c>
      <c r="L12" s="7">
        <f>(K12+K18)/2</f>
        <v>3.3800000000000004E-2</v>
      </c>
      <c r="M12" s="4">
        <f>J4/K12</f>
        <v>17.739644970414201</v>
      </c>
      <c r="N12" s="18">
        <f t="shared" si="18"/>
        <v>64787015839.047127</v>
      </c>
      <c r="O12" s="19">
        <f t="shared" si="15"/>
        <v>64.787015839047129</v>
      </c>
      <c r="Q12" s="13" t="s">
        <v>55</v>
      </c>
      <c r="R12" s="6">
        <f t="shared" si="8"/>
        <v>193</v>
      </c>
      <c r="S12" s="6">
        <f t="shared" si="9"/>
        <v>194.7</v>
      </c>
      <c r="T12" s="7">
        <f t="shared" si="10"/>
        <v>197.2</v>
      </c>
    </row>
    <row r="13" spans="1:20" x14ac:dyDescent="0.25">
      <c r="A13" s="13">
        <v>4</v>
      </c>
      <c r="B13" s="5">
        <v>193</v>
      </c>
      <c r="C13" s="5">
        <v>194.7</v>
      </c>
      <c r="D13" s="5">
        <v>197.2</v>
      </c>
      <c r="E13" s="6">
        <f t="shared" si="13"/>
        <v>43</v>
      </c>
      <c r="F13" s="6">
        <f t="shared" si="11"/>
        <v>44.699999999999989</v>
      </c>
      <c r="G13" s="6">
        <f t="shared" si="11"/>
        <v>47.199999999999989</v>
      </c>
      <c r="H13" s="6">
        <f t="shared" si="14"/>
        <v>4.2999999999999997E-2</v>
      </c>
      <c r="I13" s="6">
        <f t="shared" si="12"/>
        <v>4.469999999999999E-2</v>
      </c>
      <c r="J13" s="6">
        <f t="shared" si="12"/>
        <v>4.7199999999999992E-2</v>
      </c>
      <c r="K13" s="6">
        <f t="shared" si="16"/>
        <v>4.4966666666666655E-2</v>
      </c>
      <c r="L13" s="7">
        <f>(K13+K17)/2</f>
        <v>4.4966666666666655E-2</v>
      </c>
      <c r="M13" s="4">
        <f t="shared" si="17"/>
        <v>17.775389177168275</v>
      </c>
      <c r="N13" s="18">
        <f t="shared" si="18"/>
        <v>64917557374.291634</v>
      </c>
      <c r="O13" s="19">
        <f t="shared" si="15"/>
        <v>64.917557374291633</v>
      </c>
      <c r="Q13" s="13" t="s">
        <v>56</v>
      </c>
      <c r="R13" s="6">
        <f t="shared" si="8"/>
        <v>200.1</v>
      </c>
      <c r="S13" s="6">
        <f t="shared" si="9"/>
        <v>205.6</v>
      </c>
      <c r="T13" s="7">
        <f t="shared" si="10"/>
        <v>209.3</v>
      </c>
    </row>
    <row r="14" spans="1:20" ht="19" thickBot="1" x14ac:dyDescent="0.3">
      <c r="A14" s="13">
        <v>5</v>
      </c>
      <c r="B14" s="5">
        <v>200.1</v>
      </c>
      <c r="C14" s="5">
        <v>205.6</v>
      </c>
      <c r="D14" s="5">
        <v>209.3</v>
      </c>
      <c r="E14" s="6">
        <f t="shared" si="13"/>
        <v>50.099999999999994</v>
      </c>
      <c r="F14" s="6">
        <f t="shared" si="11"/>
        <v>55.599999999999994</v>
      </c>
      <c r="G14" s="6">
        <f t="shared" si="11"/>
        <v>59.300000000000011</v>
      </c>
      <c r="H14" s="6">
        <f t="shared" si="14"/>
        <v>5.0099999999999992E-2</v>
      </c>
      <c r="I14" s="6">
        <f t="shared" si="12"/>
        <v>5.5599999999999997E-2</v>
      </c>
      <c r="J14" s="6">
        <f t="shared" si="12"/>
        <v>5.9300000000000012E-2</v>
      </c>
      <c r="K14" s="6">
        <f>AVERAGE(H14:J14)</f>
        <v>5.5E-2</v>
      </c>
      <c r="L14" s="7">
        <f>(K14+K16)/2</f>
        <v>5.5E-2</v>
      </c>
      <c r="M14" s="4">
        <f t="shared" si="17"/>
        <v>18.165454545454544</v>
      </c>
      <c r="N14" s="18">
        <f t="shared" si="18"/>
        <v>66342116390.865692</v>
      </c>
      <c r="O14" s="21">
        <f>N14/10^9</f>
        <v>66.342116390865698</v>
      </c>
      <c r="Q14" s="13" t="s">
        <v>57</v>
      </c>
      <c r="R14" s="6">
        <f t="shared" si="8"/>
        <v>211.5</v>
      </c>
      <c r="S14" s="6">
        <f t="shared" si="9"/>
        <v>217</v>
      </c>
      <c r="T14" s="7">
        <f t="shared" si="10"/>
        <v>220.7</v>
      </c>
    </row>
    <row r="15" spans="1:20" x14ac:dyDescent="0.25">
      <c r="A15" s="13">
        <v>6</v>
      </c>
      <c r="B15" s="5">
        <v>211.5</v>
      </c>
      <c r="C15" s="5">
        <v>217</v>
      </c>
      <c r="D15" s="5">
        <v>220.7</v>
      </c>
      <c r="E15" s="6">
        <f t="shared" si="13"/>
        <v>61.5</v>
      </c>
      <c r="F15" s="6">
        <f t="shared" si="11"/>
        <v>67</v>
      </c>
      <c r="G15" s="6">
        <f t="shared" si="11"/>
        <v>70.699999999999989</v>
      </c>
      <c r="H15" s="6">
        <f t="shared" si="14"/>
        <v>6.1499999999999999E-2</v>
      </c>
      <c r="I15" s="6">
        <f t="shared" si="12"/>
        <v>6.7000000000000004E-2</v>
      </c>
      <c r="J15" s="6">
        <f t="shared" si="12"/>
        <v>7.0699999999999985E-2</v>
      </c>
      <c r="K15" s="6">
        <f t="shared" si="16"/>
        <v>6.6400000000000001E-2</v>
      </c>
      <c r="L15" s="7">
        <f>K15</f>
        <v>6.6400000000000001E-2</v>
      </c>
      <c r="M15" s="4">
        <f t="shared" si="17"/>
        <v>18.058734939759034</v>
      </c>
      <c r="N15" s="18">
        <f t="shared" si="18"/>
        <v>65952365367.321373</v>
      </c>
      <c r="O15" s="19">
        <f>N15/10^9</f>
        <v>65.952365367321377</v>
      </c>
      <c r="Q15" s="13" t="s">
        <v>56</v>
      </c>
      <c r="R15" s="6">
        <f t="shared" si="8"/>
        <v>200.1</v>
      </c>
      <c r="S15" s="6">
        <f t="shared" si="9"/>
        <v>205.6</v>
      </c>
      <c r="T15" s="7">
        <f t="shared" si="10"/>
        <v>209.3</v>
      </c>
    </row>
    <row r="16" spans="1:20" x14ac:dyDescent="0.25">
      <c r="A16" s="13">
        <v>5</v>
      </c>
      <c r="B16" s="5">
        <v>200.1</v>
      </c>
      <c r="C16" s="5">
        <v>205.6</v>
      </c>
      <c r="D16" s="5">
        <v>209.3</v>
      </c>
      <c r="E16" s="6">
        <f t="shared" si="13"/>
        <v>50.099999999999994</v>
      </c>
      <c r="F16" s="6">
        <f t="shared" si="11"/>
        <v>55.599999999999994</v>
      </c>
      <c r="G16" s="6">
        <f t="shared" si="11"/>
        <v>59.300000000000011</v>
      </c>
      <c r="H16" s="6">
        <f t="shared" si="14"/>
        <v>5.0099999999999992E-2</v>
      </c>
      <c r="I16" s="6">
        <f t="shared" si="12"/>
        <v>5.5599999999999997E-2</v>
      </c>
      <c r="J16" s="6">
        <f t="shared" si="12"/>
        <v>5.9300000000000012E-2</v>
      </c>
      <c r="K16" s="6">
        <f t="shared" si="16"/>
        <v>5.5E-2</v>
      </c>
      <c r="L16" s="7"/>
      <c r="M16" s="4">
        <f>J6/K16</f>
        <v>18.165454545454544</v>
      </c>
      <c r="N16" s="18">
        <f t="shared" si="18"/>
        <v>66342116390.865692</v>
      </c>
      <c r="O16" s="19">
        <f>N16/10^9</f>
        <v>66.342116390865698</v>
      </c>
      <c r="Q16" s="13" t="s">
        <v>58</v>
      </c>
      <c r="R16" s="6">
        <f t="shared" si="8"/>
        <v>193</v>
      </c>
      <c r="S16" s="6">
        <f t="shared" si="9"/>
        <v>194.7</v>
      </c>
      <c r="T16" s="7">
        <f t="shared" si="10"/>
        <v>197.2</v>
      </c>
    </row>
    <row r="17" spans="1:20" x14ac:dyDescent="0.25">
      <c r="A17" s="13">
        <v>4</v>
      </c>
      <c r="B17" s="5">
        <v>193</v>
      </c>
      <c r="C17" s="5">
        <v>194.7</v>
      </c>
      <c r="D17" s="5">
        <v>197.2</v>
      </c>
      <c r="E17" s="6">
        <f t="shared" si="13"/>
        <v>43</v>
      </c>
      <c r="F17" s="6">
        <f t="shared" si="11"/>
        <v>44.699999999999989</v>
      </c>
      <c r="G17" s="6">
        <f t="shared" si="11"/>
        <v>47.199999999999989</v>
      </c>
      <c r="H17" s="6">
        <f t="shared" si="14"/>
        <v>4.2999999999999997E-2</v>
      </c>
      <c r="I17" s="6">
        <f t="shared" si="12"/>
        <v>4.469999999999999E-2</v>
      </c>
      <c r="J17" s="6">
        <f t="shared" si="12"/>
        <v>4.7199999999999992E-2</v>
      </c>
      <c r="K17" s="6">
        <f t="shared" si="16"/>
        <v>4.4966666666666655E-2</v>
      </c>
      <c r="L17" s="7"/>
      <c r="M17" s="4">
        <f>J5/K17</f>
        <v>17.775389177168275</v>
      </c>
      <c r="N17" s="18">
        <f t="shared" si="18"/>
        <v>64917557374.291634</v>
      </c>
      <c r="O17" s="19">
        <f t="shared" ref="O17:O19" si="19">N17/10^9</f>
        <v>64.917557374291633</v>
      </c>
      <c r="Q17" s="13" t="s">
        <v>59</v>
      </c>
      <c r="R17" s="6">
        <f t="shared" si="8"/>
        <v>182.9</v>
      </c>
      <c r="S17" s="6">
        <f t="shared" si="9"/>
        <v>183.5</v>
      </c>
      <c r="T17" s="7">
        <f t="shared" si="10"/>
        <v>185</v>
      </c>
    </row>
    <row r="18" spans="1:20" x14ac:dyDescent="0.25">
      <c r="A18" s="13">
        <v>3</v>
      </c>
      <c r="B18" s="5">
        <v>182.9</v>
      </c>
      <c r="C18" s="5">
        <v>183.5</v>
      </c>
      <c r="D18" s="5">
        <v>185</v>
      </c>
      <c r="E18" s="6">
        <f t="shared" si="13"/>
        <v>32.900000000000006</v>
      </c>
      <c r="F18" s="6">
        <f t="shared" si="11"/>
        <v>33.5</v>
      </c>
      <c r="G18" s="6">
        <f t="shared" si="11"/>
        <v>35</v>
      </c>
      <c r="H18" s="6">
        <f t="shared" si="14"/>
        <v>3.2900000000000006E-2</v>
      </c>
      <c r="I18" s="6">
        <f t="shared" si="12"/>
        <v>3.3500000000000002E-2</v>
      </c>
      <c r="J18" s="6">
        <f t="shared" si="12"/>
        <v>3.5000000000000003E-2</v>
      </c>
      <c r="K18" s="6">
        <f t="shared" si="16"/>
        <v>3.3800000000000004E-2</v>
      </c>
      <c r="L18" s="7"/>
      <c r="M18" s="4">
        <f>J4/K18</f>
        <v>17.739644970414201</v>
      </c>
      <c r="N18" s="18">
        <f t="shared" si="18"/>
        <v>64787015839.047127</v>
      </c>
      <c r="O18" s="19">
        <f t="shared" si="19"/>
        <v>64.787015839047129</v>
      </c>
      <c r="Q18" s="13" t="s">
        <v>60</v>
      </c>
      <c r="R18" s="6">
        <f t="shared" si="8"/>
        <v>172</v>
      </c>
      <c r="S18" s="6">
        <f t="shared" si="9"/>
        <v>172</v>
      </c>
      <c r="T18" s="7">
        <f t="shared" si="10"/>
        <v>172.5</v>
      </c>
    </row>
    <row r="19" spans="1:20" ht="19" thickBot="1" x14ac:dyDescent="0.3">
      <c r="A19" s="13">
        <v>2</v>
      </c>
      <c r="B19" s="5">
        <v>172</v>
      </c>
      <c r="C19" s="5">
        <v>172</v>
      </c>
      <c r="D19" s="5">
        <v>172.5</v>
      </c>
      <c r="E19" s="6">
        <f t="shared" si="13"/>
        <v>22</v>
      </c>
      <c r="F19" s="6">
        <f t="shared" si="11"/>
        <v>22</v>
      </c>
      <c r="G19" s="6">
        <f t="shared" si="11"/>
        <v>22.5</v>
      </c>
      <c r="H19" s="6">
        <f t="shared" si="14"/>
        <v>2.1999999999999999E-2</v>
      </c>
      <c r="I19" s="6">
        <f t="shared" si="12"/>
        <v>2.1999999999999999E-2</v>
      </c>
      <c r="J19" s="6">
        <f t="shared" si="12"/>
        <v>2.2499999999999999E-2</v>
      </c>
      <c r="K19" s="6">
        <f t="shared" si="16"/>
        <v>2.2166666666666668E-2</v>
      </c>
      <c r="L19" s="7"/>
      <c r="M19" s="4">
        <f>J3/K19</f>
        <v>18.031578947368423</v>
      </c>
      <c r="N19" s="18">
        <f t="shared" si="18"/>
        <v>65853188878.047218</v>
      </c>
      <c r="O19" s="19">
        <f t="shared" si="19"/>
        <v>65.85318887804722</v>
      </c>
      <c r="Q19" s="14" t="s">
        <v>52</v>
      </c>
      <c r="R19" s="10">
        <f t="shared" si="8"/>
        <v>161</v>
      </c>
      <c r="S19" s="10">
        <f t="shared" si="9"/>
        <v>160.80000000000001</v>
      </c>
      <c r="T19" s="11">
        <f t="shared" si="10"/>
        <v>161.5</v>
      </c>
    </row>
    <row r="20" spans="1:20" ht="19" thickBot="1" x14ac:dyDescent="0.3">
      <c r="A20" s="14">
        <v>1</v>
      </c>
      <c r="B20" s="9">
        <v>161</v>
      </c>
      <c r="C20" s="9">
        <v>160.80000000000001</v>
      </c>
      <c r="D20" s="9">
        <v>161.5</v>
      </c>
      <c r="E20" s="10">
        <f t="shared" si="13"/>
        <v>11</v>
      </c>
      <c r="F20" s="10">
        <f t="shared" si="11"/>
        <v>10.800000000000011</v>
      </c>
      <c r="G20" s="10">
        <f t="shared" si="11"/>
        <v>11.5</v>
      </c>
      <c r="H20" s="10">
        <f t="shared" si="14"/>
        <v>1.0999999999999999E-2</v>
      </c>
      <c r="I20" s="10">
        <f t="shared" si="12"/>
        <v>1.0800000000000011E-2</v>
      </c>
      <c r="J20" s="10">
        <f t="shared" si="12"/>
        <v>1.15E-2</v>
      </c>
      <c r="K20" s="10">
        <f t="shared" si="16"/>
        <v>1.1100000000000004E-2</v>
      </c>
      <c r="L20" s="11"/>
      <c r="M20" s="8">
        <f>J2/K20</f>
        <v>18.009009009009002</v>
      </c>
      <c r="N20" s="18">
        <f t="shared" si="18"/>
        <v>65770761131.80896</v>
      </c>
      <c r="O20" s="21">
        <f>N20/10^9</f>
        <v>65.770761131808953</v>
      </c>
    </row>
    <row r="22" spans="1:20" x14ac:dyDescent="0.25">
      <c r="A22" t="s">
        <v>25</v>
      </c>
      <c r="B22">
        <f>B4/2</f>
        <v>4.8989436</v>
      </c>
      <c r="C22" t="s">
        <v>26</v>
      </c>
      <c r="D22">
        <f>(F2^3)*F7/((F5^3)*F6*F3)</f>
        <v>745487924.06236923</v>
      </c>
      <c r="E22" t="s">
        <v>27</v>
      </c>
      <c r="F22">
        <f>B22*D22</f>
        <v>3652103294.4626298</v>
      </c>
    </row>
    <row r="23" spans="1:20" ht="19" thickBot="1" x14ac:dyDescent="0.3">
      <c r="K23" t="s">
        <v>66</v>
      </c>
      <c r="L23" t="s">
        <v>68</v>
      </c>
    </row>
    <row r="24" spans="1:20" x14ac:dyDescent="0.25">
      <c r="A24" s="6">
        <f t="shared" ref="A24:C35" si="20">B9</f>
        <v>150</v>
      </c>
      <c r="B24" s="6">
        <f t="shared" si="20"/>
        <v>150</v>
      </c>
      <c r="C24" s="6">
        <f t="shared" si="20"/>
        <v>150</v>
      </c>
      <c r="D24" s="6">
        <f>AVERAGE(A24:C24)</f>
        <v>150</v>
      </c>
      <c r="E24" s="29">
        <f>D24</f>
        <v>150</v>
      </c>
      <c r="F24" s="30">
        <v>0</v>
      </c>
      <c r="H24" t="s">
        <v>35</v>
      </c>
      <c r="I24">
        <v>1072</v>
      </c>
      <c r="K24">
        <v>1</v>
      </c>
      <c r="L24">
        <f>AVERAGE(B10,C10,D10)</f>
        <v>161.1</v>
      </c>
    </row>
    <row r="25" spans="1:20" x14ac:dyDescent="0.25">
      <c r="A25" s="6">
        <f t="shared" si="20"/>
        <v>161</v>
      </c>
      <c r="B25" s="6">
        <f t="shared" si="20"/>
        <v>160.80000000000001</v>
      </c>
      <c r="C25" s="6">
        <f t="shared" si="20"/>
        <v>161.5</v>
      </c>
      <c r="D25" s="6">
        <f t="shared" ref="D25:D35" si="21">AVERAGE(A25:C25)</f>
        <v>161.1</v>
      </c>
      <c r="E25" s="25">
        <f>(D25+D35)/2</f>
        <v>161.1</v>
      </c>
      <c r="F25" s="26">
        <f>I2</f>
        <v>199.9</v>
      </c>
      <c r="H25" t="s">
        <v>36</v>
      </c>
      <c r="I25">
        <v>60</v>
      </c>
      <c r="K25">
        <v>2</v>
      </c>
      <c r="L25">
        <f t="shared" ref="L25:L29" si="22">AVERAGE(B11,C11,D11)</f>
        <v>172.16666666666666</v>
      </c>
    </row>
    <row r="26" spans="1:20" x14ac:dyDescent="0.25">
      <c r="A26" s="6">
        <f t="shared" si="20"/>
        <v>172</v>
      </c>
      <c r="B26" s="6">
        <f t="shared" si="20"/>
        <v>172</v>
      </c>
      <c r="C26" s="6">
        <f t="shared" si="20"/>
        <v>172.5</v>
      </c>
      <c r="D26" s="6">
        <f t="shared" si="21"/>
        <v>172.16666666666666</v>
      </c>
      <c r="E26" s="25">
        <f>(D26+D34)/2</f>
        <v>172.16666666666666</v>
      </c>
      <c r="F26" s="26">
        <f t="shared" ref="F26:F30" si="23">I3</f>
        <v>399.70000000000005</v>
      </c>
      <c r="H26" t="s">
        <v>64</v>
      </c>
      <c r="I26">
        <f>I24/I25</f>
        <v>17.866666666666667</v>
      </c>
      <c r="K26">
        <v>3</v>
      </c>
      <c r="L26">
        <f t="shared" si="22"/>
        <v>183.79999999999998</v>
      </c>
    </row>
    <row r="27" spans="1:20" x14ac:dyDescent="0.25">
      <c r="A27" s="6">
        <f t="shared" si="20"/>
        <v>182.9</v>
      </c>
      <c r="B27" s="6">
        <f t="shared" si="20"/>
        <v>183.5</v>
      </c>
      <c r="C27" s="6">
        <f t="shared" si="20"/>
        <v>185</v>
      </c>
      <c r="D27" s="6">
        <f t="shared" si="21"/>
        <v>183.79999999999998</v>
      </c>
      <c r="E27" s="25">
        <f>(D27+D33)/2</f>
        <v>183.79999999999998</v>
      </c>
      <c r="F27" s="26">
        <f t="shared" si="23"/>
        <v>599.6</v>
      </c>
      <c r="H27" t="s">
        <v>37</v>
      </c>
      <c r="I27">
        <f>F22*I26</f>
        <v>65250912194.398987</v>
      </c>
      <c r="K27">
        <v>4</v>
      </c>
      <c r="L27">
        <f t="shared" si="22"/>
        <v>194.96666666666667</v>
      </c>
    </row>
    <row r="28" spans="1:20" x14ac:dyDescent="0.25">
      <c r="A28" s="6">
        <f t="shared" si="20"/>
        <v>193</v>
      </c>
      <c r="B28" s="6">
        <f t="shared" si="20"/>
        <v>194.7</v>
      </c>
      <c r="C28" s="6">
        <f t="shared" si="20"/>
        <v>197.2</v>
      </c>
      <c r="D28" s="6">
        <f t="shared" si="21"/>
        <v>194.96666666666667</v>
      </c>
      <c r="E28" s="25">
        <f>(D28+D32)/2</f>
        <v>194.96666666666667</v>
      </c>
      <c r="F28" s="26">
        <f t="shared" si="23"/>
        <v>799.3</v>
      </c>
      <c r="H28" t="s">
        <v>38</v>
      </c>
      <c r="I28">
        <f>I27/10^9</f>
        <v>65.250912194398992</v>
      </c>
      <c r="K28">
        <v>5</v>
      </c>
      <c r="L28">
        <f t="shared" si="22"/>
        <v>205</v>
      </c>
    </row>
    <row r="29" spans="1:20" x14ac:dyDescent="0.25">
      <c r="A29" s="6">
        <f t="shared" si="20"/>
        <v>200.1</v>
      </c>
      <c r="B29" s="6">
        <f t="shared" si="20"/>
        <v>205.6</v>
      </c>
      <c r="C29" s="6">
        <f t="shared" si="20"/>
        <v>209.3</v>
      </c>
      <c r="D29" s="6">
        <f t="shared" si="21"/>
        <v>205</v>
      </c>
      <c r="E29" s="25">
        <f>(D29+D31)/2</f>
        <v>205</v>
      </c>
      <c r="F29" s="26">
        <f t="shared" si="23"/>
        <v>999.09999999999991</v>
      </c>
      <c r="K29">
        <v>6</v>
      </c>
      <c r="L29">
        <f t="shared" si="22"/>
        <v>216.4</v>
      </c>
    </row>
    <row r="30" spans="1:20" ht="19" thickBot="1" x14ac:dyDescent="0.3">
      <c r="A30" s="6">
        <f t="shared" si="20"/>
        <v>211.5</v>
      </c>
      <c r="B30" s="6">
        <f t="shared" si="20"/>
        <v>217</v>
      </c>
      <c r="C30" s="6">
        <f t="shared" si="20"/>
        <v>220.7</v>
      </c>
      <c r="D30" s="6">
        <f t="shared" si="21"/>
        <v>216.4</v>
      </c>
      <c r="E30" s="27">
        <f>D30</f>
        <v>216.4</v>
      </c>
      <c r="F30" s="28">
        <f t="shared" si="23"/>
        <v>1199.0999999999999</v>
      </c>
    </row>
    <row r="31" spans="1:20" x14ac:dyDescent="0.25">
      <c r="A31" s="6">
        <f t="shared" si="20"/>
        <v>200.1</v>
      </c>
      <c r="B31" s="6">
        <f t="shared" si="20"/>
        <v>205.6</v>
      </c>
      <c r="C31" s="6">
        <f t="shared" si="20"/>
        <v>209.3</v>
      </c>
      <c r="D31" s="6">
        <f t="shared" si="21"/>
        <v>205</v>
      </c>
    </row>
    <row r="32" spans="1:20" x14ac:dyDescent="0.25">
      <c r="A32" s="6">
        <f t="shared" si="20"/>
        <v>193</v>
      </c>
      <c r="B32" s="6">
        <f t="shared" si="20"/>
        <v>194.7</v>
      </c>
      <c r="C32" s="6">
        <f t="shared" si="20"/>
        <v>197.2</v>
      </c>
      <c r="D32" s="6">
        <f t="shared" si="21"/>
        <v>194.96666666666667</v>
      </c>
    </row>
    <row r="33" spans="1:7" x14ac:dyDescent="0.25">
      <c r="A33" s="6">
        <f t="shared" si="20"/>
        <v>182.9</v>
      </c>
      <c r="B33" s="6">
        <f t="shared" si="20"/>
        <v>183.5</v>
      </c>
      <c r="C33" s="6">
        <f t="shared" si="20"/>
        <v>185</v>
      </c>
      <c r="D33" s="6">
        <f t="shared" si="21"/>
        <v>183.79999999999998</v>
      </c>
    </row>
    <row r="34" spans="1:7" x14ac:dyDescent="0.25">
      <c r="A34" s="6">
        <f t="shared" si="20"/>
        <v>172</v>
      </c>
      <c r="B34" s="6">
        <f t="shared" si="20"/>
        <v>172</v>
      </c>
      <c r="C34" s="6">
        <f t="shared" si="20"/>
        <v>172.5</v>
      </c>
      <c r="D34" s="6">
        <f t="shared" si="21"/>
        <v>172.16666666666666</v>
      </c>
    </row>
    <row r="35" spans="1:7" x14ac:dyDescent="0.25">
      <c r="A35" s="6">
        <f t="shared" si="20"/>
        <v>161</v>
      </c>
      <c r="B35" s="6">
        <f t="shared" si="20"/>
        <v>160.80000000000001</v>
      </c>
      <c r="C35" s="6">
        <f t="shared" si="20"/>
        <v>161.5</v>
      </c>
      <c r="D35" s="6">
        <f t="shared" si="21"/>
        <v>161.1</v>
      </c>
    </row>
    <row r="37" spans="1:7" x14ac:dyDescent="0.25">
      <c r="A37" t="s">
        <v>63</v>
      </c>
      <c r="B37" s="31">
        <v>3.0000000000000001E-3</v>
      </c>
    </row>
    <row r="38" spans="1:7" x14ac:dyDescent="0.25">
      <c r="A38" t="s">
        <v>40</v>
      </c>
      <c r="B38" s="31">
        <v>2.9999999999999997E-4</v>
      </c>
      <c r="G38" t="s">
        <v>42</v>
      </c>
    </row>
    <row r="39" spans="1:7" x14ac:dyDescent="0.25">
      <c r="A39" t="s">
        <v>39</v>
      </c>
      <c r="B39">
        <f>G39/1000</f>
        <v>7.2648315725676341E-6</v>
      </c>
      <c r="C39">
        <f>$E5-B5</f>
        <v>-1.6666666666669272E-3</v>
      </c>
      <c r="D39">
        <f t="shared" ref="D39:E40" si="24">$E5-C5</f>
        <v>-1.1666666666666714E-2</v>
      </c>
      <c r="E39">
        <f t="shared" si="24"/>
        <v>1.3333333333332753E-2</v>
      </c>
      <c r="F39">
        <f>(C39^2+D39^2+E39^2)/6</f>
        <v>5.2777777777775527E-5</v>
      </c>
      <c r="G39">
        <f>SQRT(F39)</f>
        <v>7.2648315725676342E-3</v>
      </c>
    </row>
    <row r="40" spans="1:7" x14ac:dyDescent="0.25">
      <c r="A40" t="s">
        <v>41</v>
      </c>
      <c r="B40">
        <f>G40/1000</f>
        <v>2.6864371283252499E-4</v>
      </c>
      <c r="C40">
        <f>$E6-B6</f>
        <v>-0.51833333333333442</v>
      </c>
      <c r="D40">
        <f t="shared" si="24"/>
        <v>0.13666666666666316</v>
      </c>
      <c r="E40">
        <f t="shared" si="24"/>
        <v>0.38166666666666416</v>
      </c>
      <c r="F40">
        <f>(C40^2+D40^2+E40^2)/6</f>
        <v>7.2169444444444147E-2</v>
      </c>
      <c r="G40">
        <f>SQRT(F40)</f>
        <v>0.26864371283252497</v>
      </c>
    </row>
    <row r="41" spans="1:7" x14ac:dyDescent="0.25">
      <c r="A41" t="s">
        <v>62</v>
      </c>
      <c r="B41" s="31">
        <v>3.0000000000000001E-3</v>
      </c>
    </row>
    <row r="42" spans="1:7" x14ac:dyDescent="0.25">
      <c r="A42" t="s">
        <v>43</v>
      </c>
      <c r="B42">
        <f>I26*SQRT(C42)</f>
        <v>0.91059199303407978</v>
      </c>
      <c r="C42">
        <f>(D42/E42)^2+(F42/G42)^2</f>
        <v>2.5975300735130314E-3</v>
      </c>
      <c r="D42" s="31">
        <v>3.6999999999999998E-2</v>
      </c>
      <c r="E42" s="31">
        <v>1.0720000000000001</v>
      </c>
      <c r="F42" s="31">
        <v>2.25</v>
      </c>
      <c r="G42" s="31">
        <v>60</v>
      </c>
    </row>
    <row r="43" spans="1:7" x14ac:dyDescent="0.25">
      <c r="D43" s="32" t="s">
        <v>72</v>
      </c>
      <c r="E43" s="32" t="s">
        <v>69</v>
      </c>
      <c r="F43" s="32" t="s">
        <v>74</v>
      </c>
      <c r="G43" s="32" t="s">
        <v>71</v>
      </c>
    </row>
    <row r="44" spans="1:7" x14ac:dyDescent="0.25">
      <c r="A44" t="s">
        <v>63</v>
      </c>
      <c r="B44">
        <f>B37^2</f>
        <v>9.0000000000000002E-6</v>
      </c>
      <c r="C44">
        <f>F7^2</f>
        <v>0.8783438400000001</v>
      </c>
    </row>
    <row r="45" spans="1:7" x14ac:dyDescent="0.25">
      <c r="A45" t="s">
        <v>40</v>
      </c>
      <c r="B45">
        <f t="shared" ref="B45:B49" si="25">B38^2</f>
        <v>8.9999999999999985E-8</v>
      </c>
      <c r="C45">
        <f>F3^2</f>
        <v>1.1222500000000002E-3</v>
      </c>
    </row>
    <row r="46" spans="1:7" x14ac:dyDescent="0.25">
      <c r="A46" t="s">
        <v>39</v>
      </c>
      <c r="B46">
        <f t="shared" si="25"/>
        <v>5.2777777777775525E-11</v>
      </c>
      <c r="C46">
        <f>F5^2</f>
        <v>2.3846944444444443E-5</v>
      </c>
    </row>
    <row r="47" spans="1:7" x14ac:dyDescent="0.25">
      <c r="A47" t="s">
        <v>41</v>
      </c>
      <c r="B47">
        <f t="shared" si="25"/>
        <v>7.2169444444444155E-8</v>
      </c>
      <c r="C47">
        <f>F6^2</f>
        <v>4.2855900277777764E-4</v>
      </c>
    </row>
    <row r="48" spans="1:7" x14ac:dyDescent="0.25">
      <c r="A48" t="s">
        <v>62</v>
      </c>
      <c r="B48">
        <f>B41^2</f>
        <v>9.0000000000000002E-6</v>
      </c>
      <c r="C48">
        <f>F2^2</f>
        <v>0.16040025000000002</v>
      </c>
      <c r="D48" t="s">
        <v>76</v>
      </c>
      <c r="E48">
        <f>I27*SQRT((B44/C44)+(B45/C45)+(9*B46/C46)+(B47/C47)+(9*B48/C48)+(B49/C49))</f>
        <v>3794259670.514401</v>
      </c>
    </row>
    <row r="49" spans="1:5" x14ac:dyDescent="0.25">
      <c r="A49" t="s">
        <v>43</v>
      </c>
      <c r="B49">
        <f t="shared" si="25"/>
        <v>0.82917777777777757</v>
      </c>
      <c r="C49">
        <f>I26^2</f>
        <v>319.21777777777777</v>
      </c>
      <c r="D49" t="s">
        <v>77</v>
      </c>
      <c r="E49">
        <f>E48/10^9</f>
        <v>3.7942596705144012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30" zoomScale="116" zoomScaleNormal="75" zoomScalePageLayoutView="75" workbookViewId="0">
      <selection activeCell="J43" sqref="J43"/>
    </sheetView>
  </sheetViews>
  <sheetFormatPr baseColWidth="12" defaultColWidth="8.83203125" defaultRowHeight="18" x14ac:dyDescent="0.25"/>
  <cols>
    <col min="3" max="4" width="10.5" bestFit="1" customWidth="1"/>
    <col min="5" max="5" width="12.5" bestFit="1" customWidth="1"/>
    <col min="6" max="6" width="11.5" bestFit="1" customWidth="1"/>
    <col min="13" max="13" width="13.33203125" bestFit="1" customWidth="1"/>
    <col min="15" max="15" width="14.6640625" bestFit="1" customWidth="1"/>
  </cols>
  <sheetData>
    <row r="1" spans="1:20" ht="19" thickBot="1" x14ac:dyDescent="0.3">
      <c r="A1" s="15"/>
      <c r="B1" s="16" t="s">
        <v>5</v>
      </c>
      <c r="C1" s="16" t="s">
        <v>6</v>
      </c>
      <c r="D1" s="16" t="s">
        <v>7</v>
      </c>
      <c r="E1" s="16" t="s">
        <v>9</v>
      </c>
      <c r="F1" s="17" t="s">
        <v>8</v>
      </c>
      <c r="G1" s="15"/>
      <c r="H1" s="16" t="s">
        <v>10</v>
      </c>
      <c r="I1" s="16" t="s">
        <v>30</v>
      </c>
      <c r="J1" s="17" t="s">
        <v>31</v>
      </c>
      <c r="K1" s="15" t="s">
        <v>28</v>
      </c>
      <c r="L1" s="16" t="s">
        <v>29</v>
      </c>
      <c r="M1" s="17" t="s">
        <v>32</v>
      </c>
      <c r="Q1" s="15"/>
      <c r="R1" s="16" t="s">
        <v>44</v>
      </c>
      <c r="S1" s="16" t="s">
        <v>45</v>
      </c>
      <c r="T1" s="17" t="s">
        <v>46</v>
      </c>
    </row>
    <row r="2" spans="1:20" x14ac:dyDescent="0.25">
      <c r="A2" s="13" t="s">
        <v>1</v>
      </c>
      <c r="B2" s="5">
        <v>400.5</v>
      </c>
      <c r="C2" s="5">
        <v>400.5</v>
      </c>
      <c r="D2" s="5">
        <v>400.5</v>
      </c>
      <c r="E2" s="6">
        <f>AVERAGE(B2:D2)</f>
        <v>400.5</v>
      </c>
      <c r="F2" s="7">
        <f>E2/1000</f>
        <v>0.40050000000000002</v>
      </c>
      <c r="G2" s="13" t="s">
        <v>12</v>
      </c>
      <c r="H2" s="31">
        <v>199.9</v>
      </c>
      <c r="I2" s="6">
        <f>H2</f>
        <v>199.9</v>
      </c>
      <c r="J2" s="7">
        <f>I2/1000</f>
        <v>0.19989999999999999</v>
      </c>
      <c r="K2" s="13">
        <f t="shared" ref="K2:K7" si="0">J2/L10</f>
        <v>130.36956521739066</v>
      </c>
      <c r="L2" s="18">
        <f t="shared" ref="L2:L7" si="1">F$22*K2</f>
        <v>143329323929.2431</v>
      </c>
      <c r="M2" s="19">
        <f>L2/10^9</f>
        <v>143.32932392924312</v>
      </c>
      <c r="Q2" s="13" t="s">
        <v>47</v>
      </c>
      <c r="R2" s="6">
        <f>B2</f>
        <v>400.5</v>
      </c>
      <c r="S2" s="6">
        <f t="shared" ref="S2:T3" si="2">C2</f>
        <v>400.5</v>
      </c>
      <c r="T2" s="7">
        <f t="shared" si="2"/>
        <v>400.5</v>
      </c>
    </row>
    <row r="3" spans="1:20" ht="19" thickBot="1" x14ac:dyDescent="0.3">
      <c r="A3" s="13" t="s">
        <v>4</v>
      </c>
      <c r="B3" s="5">
        <v>33.5</v>
      </c>
      <c r="C3" s="5">
        <v>33.5</v>
      </c>
      <c r="D3" s="5">
        <v>33.5</v>
      </c>
      <c r="E3" s="6">
        <f>AVERAGE(B3:D3)</f>
        <v>33.5</v>
      </c>
      <c r="F3" s="7">
        <f>E3/1000</f>
        <v>3.3500000000000002E-2</v>
      </c>
      <c r="G3" s="13" t="s">
        <v>13</v>
      </c>
      <c r="H3" s="31">
        <v>199.8</v>
      </c>
      <c r="I3" s="6">
        <f>I2+H3</f>
        <v>399.70000000000005</v>
      </c>
      <c r="J3" s="7">
        <f t="shared" ref="J3:J7" si="3">I3/1000</f>
        <v>0.39970000000000006</v>
      </c>
      <c r="K3" s="13">
        <f t="shared" si="0"/>
        <v>144.46987951807262</v>
      </c>
      <c r="L3" s="18">
        <f t="shared" si="1"/>
        <v>158831320216.00372</v>
      </c>
      <c r="M3" s="19">
        <f t="shared" ref="M3:M6" si="4">L3/10^9</f>
        <v>158.83132021600372</v>
      </c>
      <c r="Q3" s="13" t="s">
        <v>48</v>
      </c>
      <c r="R3" s="6">
        <f>B3</f>
        <v>33.5</v>
      </c>
      <c r="S3" s="6">
        <f t="shared" si="2"/>
        <v>33.5</v>
      </c>
      <c r="T3" s="7">
        <f t="shared" si="2"/>
        <v>33.5</v>
      </c>
    </row>
    <row r="4" spans="1:20" ht="19" thickBot="1" x14ac:dyDescent="0.3">
      <c r="A4" s="13" t="s">
        <v>0</v>
      </c>
      <c r="B4" s="5">
        <v>9.7978871999999999</v>
      </c>
      <c r="C4" s="6"/>
      <c r="D4" s="6"/>
      <c r="E4" s="6"/>
      <c r="F4" s="7"/>
      <c r="G4" s="13" t="s">
        <v>14</v>
      </c>
      <c r="H4" s="31">
        <v>199.9</v>
      </c>
      <c r="I4" s="6">
        <f>I3+H4</f>
        <v>599.6</v>
      </c>
      <c r="J4" s="7">
        <f t="shared" si="3"/>
        <v>0.59960000000000002</v>
      </c>
      <c r="K4" s="13">
        <f t="shared" si="0"/>
        <v>165.02752293577973</v>
      </c>
      <c r="L4" s="18">
        <f t="shared" si="1"/>
        <v>181432554850.21545</v>
      </c>
      <c r="M4" s="19">
        <f t="shared" si="4"/>
        <v>181.43255485021547</v>
      </c>
      <c r="Q4" s="15"/>
      <c r="R4" s="16"/>
      <c r="S4" s="16"/>
      <c r="T4" s="17"/>
    </row>
    <row r="5" spans="1:20" x14ac:dyDescent="0.25">
      <c r="A5" s="12" t="s">
        <v>11</v>
      </c>
      <c r="B5" s="22">
        <v>7.93</v>
      </c>
      <c r="C5" s="22">
        <v>7.915</v>
      </c>
      <c r="D5" s="22">
        <v>7.92</v>
      </c>
      <c r="E5" s="2">
        <f t="shared" ref="E5:E7" si="5">AVERAGE(B5:D5)</f>
        <v>7.9216666666666669</v>
      </c>
      <c r="F5" s="3">
        <f t="shared" ref="F5:F7" si="6">E5/1000</f>
        <v>7.9216666666666671E-3</v>
      </c>
      <c r="G5" s="13" t="s">
        <v>15</v>
      </c>
      <c r="H5" s="31">
        <v>199.7</v>
      </c>
      <c r="I5" s="6">
        <f>I4+H5</f>
        <v>799.3</v>
      </c>
      <c r="J5" s="7">
        <f t="shared" si="3"/>
        <v>0.7992999999999999</v>
      </c>
      <c r="K5" s="13">
        <f t="shared" si="0"/>
        <v>163.12244897959195</v>
      </c>
      <c r="L5" s="18">
        <f t="shared" si="1"/>
        <v>179338101580.23416</v>
      </c>
      <c r="M5" s="19">
        <f t="shared" si="4"/>
        <v>179.33810158023417</v>
      </c>
      <c r="Q5" s="13" t="s">
        <v>49</v>
      </c>
      <c r="R5" s="6">
        <f t="shared" ref="R5:T7" si="7">B5</f>
        <v>7.93</v>
      </c>
      <c r="S5" s="6">
        <f t="shared" si="7"/>
        <v>7.915</v>
      </c>
      <c r="T5" s="7">
        <f t="shared" si="7"/>
        <v>7.92</v>
      </c>
    </row>
    <row r="6" spans="1:20" x14ac:dyDescent="0.25">
      <c r="A6" s="13" t="s">
        <v>3</v>
      </c>
      <c r="B6" s="5">
        <v>15.98</v>
      </c>
      <c r="C6" s="5">
        <v>15.95</v>
      </c>
      <c r="D6" s="5">
        <v>15.93</v>
      </c>
      <c r="E6" s="6">
        <f t="shared" si="5"/>
        <v>15.953333333333333</v>
      </c>
      <c r="F6" s="7">
        <f t="shared" si="6"/>
        <v>1.5953333333333333E-2</v>
      </c>
      <c r="G6" s="13" t="s">
        <v>16</v>
      </c>
      <c r="H6" s="31">
        <v>199.8</v>
      </c>
      <c r="I6" s="6">
        <f>I5+H6</f>
        <v>999.09999999999991</v>
      </c>
      <c r="J6" s="7">
        <f t="shared" si="3"/>
        <v>0.99909999999999988</v>
      </c>
      <c r="K6" s="13">
        <f t="shared" si="0"/>
        <v>164.68681318681325</v>
      </c>
      <c r="L6" s="18">
        <f t="shared" si="1"/>
        <v>181057975876.24988</v>
      </c>
      <c r="M6" s="19">
        <f t="shared" si="4"/>
        <v>181.05797587624988</v>
      </c>
      <c r="Q6" s="13" t="s">
        <v>50</v>
      </c>
      <c r="R6" s="6">
        <f t="shared" si="7"/>
        <v>15.98</v>
      </c>
      <c r="S6" s="6">
        <f t="shared" si="7"/>
        <v>15.95</v>
      </c>
      <c r="T6" s="7">
        <f t="shared" si="7"/>
        <v>15.93</v>
      </c>
    </row>
    <row r="7" spans="1:20" ht="19" thickBot="1" x14ac:dyDescent="0.3">
      <c r="A7" s="14" t="s">
        <v>2</v>
      </c>
      <c r="B7" s="9">
        <v>928.1</v>
      </c>
      <c r="C7" s="9"/>
      <c r="D7" s="9"/>
      <c r="E7" s="10">
        <f t="shared" si="5"/>
        <v>928.1</v>
      </c>
      <c r="F7" s="11">
        <f t="shared" si="6"/>
        <v>0.92810000000000004</v>
      </c>
      <c r="G7" s="14" t="s">
        <v>33</v>
      </c>
      <c r="H7" s="9">
        <v>200</v>
      </c>
      <c r="I7" s="10">
        <f>I6+H7</f>
        <v>1199.0999999999999</v>
      </c>
      <c r="J7" s="11">
        <f t="shared" si="3"/>
        <v>1.1990999999999998</v>
      </c>
      <c r="K7" s="14">
        <f t="shared" si="0"/>
        <v>171.29999999999998</v>
      </c>
      <c r="L7" s="20">
        <f t="shared" si="1"/>
        <v>188328565398.97537</v>
      </c>
      <c r="M7" s="21">
        <f>L7/10^9</f>
        <v>188.32856539897537</v>
      </c>
      <c r="Q7" s="13" t="s">
        <v>51</v>
      </c>
      <c r="R7" s="6">
        <f t="shared" si="7"/>
        <v>928.1</v>
      </c>
      <c r="S7" s="6">
        <f t="shared" si="7"/>
        <v>0</v>
      </c>
      <c r="T7" s="7">
        <f t="shared" si="7"/>
        <v>0</v>
      </c>
    </row>
    <row r="8" spans="1:20" ht="19" thickBot="1" x14ac:dyDescent="0.3">
      <c r="A8" s="15"/>
      <c r="B8" s="16" t="s">
        <v>5</v>
      </c>
      <c r="C8" s="16" t="s">
        <v>6</v>
      </c>
      <c r="D8" s="16" t="s">
        <v>7</v>
      </c>
      <c r="E8" s="16" t="s">
        <v>17</v>
      </c>
      <c r="F8" s="16" t="s">
        <v>18</v>
      </c>
      <c r="G8" s="16" t="s">
        <v>19</v>
      </c>
      <c r="H8" s="16" t="s">
        <v>20</v>
      </c>
      <c r="I8" s="16" t="s">
        <v>21</v>
      </c>
      <c r="J8" s="16" t="s">
        <v>22</v>
      </c>
      <c r="K8" s="16" t="s">
        <v>23</v>
      </c>
      <c r="L8" s="17" t="s">
        <v>24</v>
      </c>
      <c r="Q8" s="13" t="s">
        <v>61</v>
      </c>
      <c r="R8" s="6">
        <f t="shared" ref="R8:R19" si="8">B9</f>
        <v>130</v>
      </c>
      <c r="S8" s="6">
        <f t="shared" ref="S8:S19" si="9">C9</f>
        <v>130</v>
      </c>
      <c r="T8" s="7">
        <f t="shared" ref="T8:T19" si="10">D9</f>
        <v>130</v>
      </c>
    </row>
    <row r="9" spans="1:20" ht="19" thickBot="1" x14ac:dyDescent="0.3">
      <c r="A9" s="13">
        <v>0</v>
      </c>
      <c r="B9" s="5">
        <v>130</v>
      </c>
      <c r="C9" s="5">
        <v>130</v>
      </c>
      <c r="D9" s="5">
        <v>130</v>
      </c>
      <c r="E9" s="6">
        <f>B9-B$9</f>
        <v>0</v>
      </c>
      <c r="F9" s="6">
        <f t="shared" ref="F9:G20" si="11">C9-C$9</f>
        <v>0</v>
      </c>
      <c r="G9" s="6">
        <f t="shared" si="11"/>
        <v>0</v>
      </c>
      <c r="H9" s="6">
        <f>E9/1000</f>
        <v>0</v>
      </c>
      <c r="I9" s="6">
        <f t="shared" ref="I9:J20" si="12">F9/1000</f>
        <v>0</v>
      </c>
      <c r="J9" s="6">
        <f t="shared" si="12"/>
        <v>0</v>
      </c>
      <c r="K9" s="6"/>
      <c r="L9" s="7"/>
      <c r="M9" s="23" t="s">
        <v>34</v>
      </c>
      <c r="N9" s="16" t="s">
        <v>29</v>
      </c>
      <c r="O9" s="17" t="s">
        <v>32</v>
      </c>
      <c r="Q9" s="13" t="s">
        <v>52</v>
      </c>
      <c r="R9" s="6">
        <f t="shared" si="8"/>
        <v>132</v>
      </c>
      <c r="S9" s="6">
        <f t="shared" si="9"/>
        <v>131.30000000000001</v>
      </c>
      <c r="T9" s="7">
        <f t="shared" si="10"/>
        <v>131.30000000000001</v>
      </c>
    </row>
    <row r="10" spans="1:20" x14ac:dyDescent="0.25">
      <c r="A10" s="13">
        <v>1</v>
      </c>
      <c r="B10" s="5">
        <v>132</v>
      </c>
      <c r="C10" s="5">
        <v>131.30000000000001</v>
      </c>
      <c r="D10" s="5">
        <v>131.30000000000001</v>
      </c>
      <c r="E10" s="6">
        <f t="shared" ref="E10:E20" si="13">B10-B$9</f>
        <v>2</v>
      </c>
      <c r="F10" s="6">
        <f t="shared" si="11"/>
        <v>1.3000000000000114</v>
      </c>
      <c r="G10" s="6">
        <f>D10-D$9</f>
        <v>1.3000000000000114</v>
      </c>
      <c r="H10" s="6">
        <f t="shared" ref="H10:H20" si="14">E10/1000</f>
        <v>2E-3</v>
      </c>
      <c r="I10" s="6">
        <f t="shared" si="12"/>
        <v>1.3000000000000114E-3</v>
      </c>
      <c r="J10" s="6">
        <f t="shared" si="12"/>
        <v>1.3000000000000114E-3</v>
      </c>
      <c r="K10" s="6">
        <f>AVERAGE(H10:J10)</f>
        <v>1.5333333333333408E-3</v>
      </c>
      <c r="L10" s="7">
        <f>(K10+K20)/2</f>
        <v>1.5333333333333408E-3</v>
      </c>
      <c r="M10" s="1">
        <f>J2/K10</f>
        <v>130.36956521739066</v>
      </c>
      <c r="N10" s="18">
        <f>F$22*M10</f>
        <v>143329323929.2431</v>
      </c>
      <c r="O10" s="24">
        <f t="shared" ref="O10:O13" si="15">N10/10^9</f>
        <v>143.32932392924312</v>
      </c>
      <c r="Q10" s="13" t="s">
        <v>53</v>
      </c>
      <c r="R10" s="6">
        <f t="shared" si="8"/>
        <v>133.5</v>
      </c>
      <c r="S10" s="6">
        <f t="shared" si="9"/>
        <v>132.69999999999999</v>
      </c>
      <c r="T10" s="7">
        <f t="shared" si="10"/>
        <v>132.1</v>
      </c>
    </row>
    <row r="11" spans="1:20" x14ac:dyDescent="0.25">
      <c r="A11" s="13">
        <v>2</v>
      </c>
      <c r="B11" s="5">
        <v>133.5</v>
      </c>
      <c r="C11" s="5">
        <v>132.69999999999999</v>
      </c>
      <c r="D11" s="5">
        <v>132.1</v>
      </c>
      <c r="E11" s="6">
        <f t="shared" si="13"/>
        <v>3.5</v>
      </c>
      <c r="F11" s="6">
        <f t="shared" si="11"/>
        <v>2.6999999999999886</v>
      </c>
      <c r="G11" s="6">
        <f t="shared" si="11"/>
        <v>2.0999999999999943</v>
      </c>
      <c r="H11" s="6">
        <f t="shared" si="14"/>
        <v>3.5000000000000001E-3</v>
      </c>
      <c r="I11" s="6">
        <f t="shared" si="12"/>
        <v>2.6999999999999884E-3</v>
      </c>
      <c r="J11" s="6">
        <f t="shared" si="12"/>
        <v>2.0999999999999942E-3</v>
      </c>
      <c r="K11" s="6">
        <f t="shared" ref="K11:K20" si="16">AVERAGE(H11:J11)</f>
        <v>2.7666666666666608E-3</v>
      </c>
      <c r="L11" s="7">
        <f>(K11+K19)/2</f>
        <v>2.7666666666666608E-3</v>
      </c>
      <c r="M11" s="4">
        <f t="shared" ref="M11:M15" si="17">J3/K11</f>
        <v>144.46987951807262</v>
      </c>
      <c r="N11" s="18">
        <f t="shared" ref="N11:N20" si="18">F$22*M11</f>
        <v>158831320216.00372</v>
      </c>
      <c r="O11" s="19">
        <f t="shared" si="15"/>
        <v>158.83132021600372</v>
      </c>
      <c r="Q11" s="13" t="s">
        <v>54</v>
      </c>
      <c r="R11" s="6">
        <f t="shared" si="8"/>
        <v>134.4</v>
      </c>
      <c r="S11" s="6">
        <f t="shared" si="9"/>
        <v>133.5</v>
      </c>
      <c r="T11" s="7">
        <f t="shared" si="10"/>
        <v>133</v>
      </c>
    </row>
    <row r="12" spans="1:20" x14ac:dyDescent="0.25">
      <c r="A12" s="13">
        <v>3</v>
      </c>
      <c r="B12" s="5">
        <v>134.4</v>
      </c>
      <c r="C12" s="5">
        <v>133.5</v>
      </c>
      <c r="D12" s="5">
        <v>133</v>
      </c>
      <c r="E12" s="6">
        <f t="shared" si="13"/>
        <v>4.4000000000000057</v>
      </c>
      <c r="F12" s="6">
        <f t="shared" si="11"/>
        <v>3.5</v>
      </c>
      <c r="G12" s="6">
        <f t="shared" si="11"/>
        <v>3</v>
      </c>
      <c r="H12" s="6">
        <f t="shared" si="14"/>
        <v>4.4000000000000055E-3</v>
      </c>
      <c r="I12" s="6">
        <f t="shared" si="12"/>
        <v>3.5000000000000001E-3</v>
      </c>
      <c r="J12" s="6">
        <f t="shared" si="12"/>
        <v>3.0000000000000001E-3</v>
      </c>
      <c r="K12" s="6">
        <f t="shared" si="16"/>
        <v>3.6333333333333356E-3</v>
      </c>
      <c r="L12" s="7">
        <f>(K12+K18)/2</f>
        <v>3.6333333333333356E-3</v>
      </c>
      <c r="M12" s="4">
        <f>J4/K12</f>
        <v>165.02752293577973</v>
      </c>
      <c r="N12" s="18">
        <f t="shared" si="18"/>
        <v>181432554850.21545</v>
      </c>
      <c r="O12" s="19">
        <f t="shared" si="15"/>
        <v>181.43255485021547</v>
      </c>
      <c r="Q12" s="13" t="s">
        <v>55</v>
      </c>
      <c r="R12" s="6">
        <f t="shared" si="8"/>
        <v>135.6</v>
      </c>
      <c r="S12" s="6">
        <f t="shared" si="9"/>
        <v>135</v>
      </c>
      <c r="T12" s="7">
        <f t="shared" si="10"/>
        <v>134.1</v>
      </c>
    </row>
    <row r="13" spans="1:20" x14ac:dyDescent="0.25">
      <c r="A13" s="13">
        <v>4</v>
      </c>
      <c r="B13" s="5">
        <v>135.6</v>
      </c>
      <c r="C13" s="5">
        <v>135</v>
      </c>
      <c r="D13" s="5">
        <v>134.1</v>
      </c>
      <c r="E13" s="6">
        <f t="shared" si="13"/>
        <v>5.5999999999999943</v>
      </c>
      <c r="F13" s="6">
        <f t="shared" si="11"/>
        <v>5</v>
      </c>
      <c r="G13" s="6">
        <f t="shared" si="11"/>
        <v>4.0999999999999943</v>
      </c>
      <c r="H13" s="6">
        <f t="shared" si="14"/>
        <v>5.5999999999999947E-3</v>
      </c>
      <c r="I13" s="6">
        <f t="shared" si="12"/>
        <v>5.0000000000000001E-3</v>
      </c>
      <c r="J13" s="6">
        <f t="shared" si="12"/>
        <v>4.0999999999999943E-3</v>
      </c>
      <c r="K13" s="6">
        <f t="shared" si="16"/>
        <v>4.8999999999999964E-3</v>
      </c>
      <c r="L13" s="7">
        <f>(K13+K17)/2</f>
        <v>4.8999999999999964E-3</v>
      </c>
      <c r="M13" s="4">
        <f t="shared" si="17"/>
        <v>163.12244897959195</v>
      </c>
      <c r="N13" s="18">
        <f t="shared" si="18"/>
        <v>179338101580.23416</v>
      </c>
      <c r="O13" s="19">
        <f t="shared" si="15"/>
        <v>179.33810158023417</v>
      </c>
      <c r="Q13" s="13" t="s">
        <v>56</v>
      </c>
      <c r="R13" s="6">
        <f t="shared" si="8"/>
        <v>136.80000000000001</v>
      </c>
      <c r="S13" s="6">
        <f t="shared" si="9"/>
        <v>136.19999999999999</v>
      </c>
      <c r="T13" s="7">
        <f t="shared" si="10"/>
        <v>135.19999999999999</v>
      </c>
    </row>
    <row r="14" spans="1:20" ht="19" thickBot="1" x14ac:dyDescent="0.3">
      <c r="A14" s="13">
        <v>5</v>
      </c>
      <c r="B14" s="5">
        <v>136.80000000000001</v>
      </c>
      <c r="C14" s="5">
        <v>136.19999999999999</v>
      </c>
      <c r="D14" s="5">
        <v>135.19999999999999</v>
      </c>
      <c r="E14" s="6">
        <f t="shared" si="13"/>
        <v>6.8000000000000114</v>
      </c>
      <c r="F14" s="6">
        <f t="shared" si="11"/>
        <v>6.1999999999999886</v>
      </c>
      <c r="G14" s="6">
        <f t="shared" si="11"/>
        <v>5.1999999999999886</v>
      </c>
      <c r="H14" s="6">
        <f t="shared" si="14"/>
        <v>6.8000000000000118E-3</v>
      </c>
      <c r="I14" s="6">
        <f t="shared" si="12"/>
        <v>6.1999999999999885E-3</v>
      </c>
      <c r="J14" s="6">
        <f t="shared" si="12"/>
        <v>5.1999999999999885E-3</v>
      </c>
      <c r="K14" s="6">
        <f t="shared" si="16"/>
        <v>6.0666666666666638E-3</v>
      </c>
      <c r="L14" s="7">
        <f>(K14+K16)/2</f>
        <v>6.0666666666666638E-3</v>
      </c>
      <c r="M14" s="4">
        <f t="shared" si="17"/>
        <v>164.68681318681325</v>
      </c>
      <c r="N14" s="18">
        <f t="shared" si="18"/>
        <v>181057975876.24988</v>
      </c>
      <c r="O14" s="21">
        <f>N14/10^9</f>
        <v>181.05797587624988</v>
      </c>
      <c r="Q14" s="13" t="s">
        <v>57</v>
      </c>
      <c r="R14" s="6">
        <f t="shared" si="8"/>
        <v>138</v>
      </c>
      <c r="S14" s="6">
        <f t="shared" si="9"/>
        <v>137</v>
      </c>
      <c r="T14" s="7">
        <f t="shared" si="10"/>
        <v>136</v>
      </c>
    </row>
    <row r="15" spans="1:20" x14ac:dyDescent="0.25">
      <c r="A15" s="13">
        <v>6</v>
      </c>
      <c r="B15" s="5">
        <v>138</v>
      </c>
      <c r="C15" s="5">
        <v>137</v>
      </c>
      <c r="D15" s="5">
        <v>136</v>
      </c>
      <c r="E15" s="6">
        <f t="shared" si="13"/>
        <v>8</v>
      </c>
      <c r="F15" s="6">
        <f t="shared" si="11"/>
        <v>7</v>
      </c>
      <c r="G15" s="6">
        <f t="shared" si="11"/>
        <v>6</v>
      </c>
      <c r="H15" s="6">
        <f t="shared" si="14"/>
        <v>8.0000000000000002E-3</v>
      </c>
      <c r="I15" s="6">
        <f t="shared" si="12"/>
        <v>7.0000000000000001E-3</v>
      </c>
      <c r="J15" s="6">
        <f t="shared" si="12"/>
        <v>6.0000000000000001E-3</v>
      </c>
      <c r="K15" s="6">
        <f t="shared" si="16"/>
        <v>6.9999999999999993E-3</v>
      </c>
      <c r="L15" s="7">
        <f>K15</f>
        <v>6.9999999999999993E-3</v>
      </c>
      <c r="M15" s="4">
        <f t="shared" si="17"/>
        <v>171.29999999999998</v>
      </c>
      <c r="N15" s="18">
        <f t="shared" si="18"/>
        <v>188328565398.97537</v>
      </c>
      <c r="O15" s="19">
        <f>N15/10^9</f>
        <v>188.32856539897537</v>
      </c>
      <c r="Q15" s="13" t="s">
        <v>56</v>
      </c>
      <c r="R15" s="6">
        <f t="shared" si="8"/>
        <v>136.80000000000001</v>
      </c>
      <c r="S15" s="6">
        <f t="shared" si="9"/>
        <v>136.19999999999999</v>
      </c>
      <c r="T15" s="7">
        <f t="shared" si="10"/>
        <v>135.19999999999999</v>
      </c>
    </row>
    <row r="16" spans="1:20" x14ac:dyDescent="0.25">
      <c r="A16" s="13">
        <v>5</v>
      </c>
      <c r="B16" s="5">
        <v>136.80000000000001</v>
      </c>
      <c r="C16" s="5">
        <v>136.19999999999999</v>
      </c>
      <c r="D16" s="5">
        <v>135.19999999999999</v>
      </c>
      <c r="E16" s="6">
        <f t="shared" si="13"/>
        <v>6.8000000000000114</v>
      </c>
      <c r="F16" s="6">
        <f t="shared" si="11"/>
        <v>6.1999999999999886</v>
      </c>
      <c r="G16" s="6">
        <f t="shared" si="11"/>
        <v>5.1999999999999886</v>
      </c>
      <c r="H16" s="6">
        <f t="shared" si="14"/>
        <v>6.8000000000000118E-3</v>
      </c>
      <c r="I16" s="6">
        <f t="shared" si="12"/>
        <v>6.1999999999999885E-3</v>
      </c>
      <c r="J16" s="6">
        <f t="shared" si="12"/>
        <v>5.1999999999999885E-3</v>
      </c>
      <c r="K16" s="6">
        <f t="shared" si="16"/>
        <v>6.0666666666666638E-3</v>
      </c>
      <c r="L16" s="7"/>
      <c r="M16" s="4">
        <f>J6/K16</f>
        <v>164.68681318681325</v>
      </c>
      <c r="N16" s="18">
        <f t="shared" si="18"/>
        <v>181057975876.24988</v>
      </c>
      <c r="O16" s="19">
        <f t="shared" ref="O16:O19" si="19">N16/10^9</f>
        <v>181.05797587624988</v>
      </c>
      <c r="Q16" s="13" t="s">
        <v>58</v>
      </c>
      <c r="R16" s="6">
        <f t="shared" si="8"/>
        <v>135.6</v>
      </c>
      <c r="S16" s="6">
        <f t="shared" si="9"/>
        <v>135</v>
      </c>
      <c r="T16" s="7">
        <f t="shared" si="10"/>
        <v>134.1</v>
      </c>
    </row>
    <row r="17" spans="1:20" x14ac:dyDescent="0.25">
      <c r="A17" s="13">
        <v>4</v>
      </c>
      <c r="B17" s="5">
        <v>135.6</v>
      </c>
      <c r="C17" s="5">
        <v>135</v>
      </c>
      <c r="D17" s="5">
        <v>134.1</v>
      </c>
      <c r="E17" s="6">
        <f t="shared" si="13"/>
        <v>5.5999999999999943</v>
      </c>
      <c r="F17" s="6">
        <f t="shared" si="11"/>
        <v>5</v>
      </c>
      <c r="G17" s="6">
        <f t="shared" si="11"/>
        <v>4.0999999999999943</v>
      </c>
      <c r="H17" s="6">
        <f t="shared" si="14"/>
        <v>5.5999999999999947E-3</v>
      </c>
      <c r="I17" s="6">
        <f t="shared" si="12"/>
        <v>5.0000000000000001E-3</v>
      </c>
      <c r="J17" s="6">
        <f t="shared" si="12"/>
        <v>4.0999999999999943E-3</v>
      </c>
      <c r="K17" s="6">
        <f t="shared" si="16"/>
        <v>4.8999999999999964E-3</v>
      </c>
      <c r="L17" s="7"/>
      <c r="M17" s="4">
        <f>J5/K17</f>
        <v>163.12244897959195</v>
      </c>
      <c r="N17" s="18">
        <f t="shared" si="18"/>
        <v>179338101580.23416</v>
      </c>
      <c r="O17" s="19">
        <f t="shared" si="19"/>
        <v>179.33810158023417</v>
      </c>
      <c r="Q17" s="13" t="s">
        <v>59</v>
      </c>
      <c r="R17" s="6">
        <f t="shared" si="8"/>
        <v>134.4</v>
      </c>
      <c r="S17" s="6">
        <f t="shared" si="9"/>
        <v>133.5</v>
      </c>
      <c r="T17" s="7">
        <f t="shared" si="10"/>
        <v>133</v>
      </c>
    </row>
    <row r="18" spans="1:20" x14ac:dyDescent="0.25">
      <c r="A18" s="13">
        <v>3</v>
      </c>
      <c r="B18" s="5">
        <v>134.4</v>
      </c>
      <c r="C18" s="5">
        <v>133.5</v>
      </c>
      <c r="D18" s="5">
        <v>133</v>
      </c>
      <c r="E18" s="6">
        <f t="shared" si="13"/>
        <v>4.4000000000000057</v>
      </c>
      <c r="F18" s="6">
        <f t="shared" si="11"/>
        <v>3.5</v>
      </c>
      <c r="G18" s="6">
        <f t="shared" si="11"/>
        <v>3</v>
      </c>
      <c r="H18" s="6">
        <f t="shared" si="14"/>
        <v>4.4000000000000055E-3</v>
      </c>
      <c r="I18" s="6">
        <f t="shared" si="12"/>
        <v>3.5000000000000001E-3</v>
      </c>
      <c r="J18" s="6">
        <f t="shared" si="12"/>
        <v>3.0000000000000001E-3</v>
      </c>
      <c r="K18" s="6">
        <f t="shared" si="16"/>
        <v>3.6333333333333356E-3</v>
      </c>
      <c r="L18" s="7"/>
      <c r="M18" s="4">
        <f>J4/K18</f>
        <v>165.02752293577973</v>
      </c>
      <c r="N18" s="18">
        <f t="shared" si="18"/>
        <v>181432554850.21545</v>
      </c>
      <c r="O18" s="19">
        <f t="shared" si="19"/>
        <v>181.43255485021547</v>
      </c>
      <c r="Q18" s="13" t="s">
        <v>60</v>
      </c>
      <c r="R18" s="6">
        <f t="shared" si="8"/>
        <v>133.5</v>
      </c>
      <c r="S18" s="6">
        <f t="shared" si="9"/>
        <v>132.69999999999999</v>
      </c>
      <c r="T18" s="7">
        <f t="shared" si="10"/>
        <v>132.1</v>
      </c>
    </row>
    <row r="19" spans="1:20" ht="19" thickBot="1" x14ac:dyDescent="0.3">
      <c r="A19" s="13">
        <v>2</v>
      </c>
      <c r="B19" s="5">
        <v>133.5</v>
      </c>
      <c r="C19" s="5">
        <v>132.69999999999999</v>
      </c>
      <c r="D19" s="5">
        <v>132.1</v>
      </c>
      <c r="E19" s="6">
        <f t="shared" si="13"/>
        <v>3.5</v>
      </c>
      <c r="F19" s="6">
        <f t="shared" si="11"/>
        <v>2.6999999999999886</v>
      </c>
      <c r="G19" s="6">
        <f t="shared" si="11"/>
        <v>2.0999999999999943</v>
      </c>
      <c r="H19" s="6">
        <f t="shared" si="14"/>
        <v>3.5000000000000001E-3</v>
      </c>
      <c r="I19" s="6">
        <f t="shared" si="12"/>
        <v>2.6999999999999884E-3</v>
      </c>
      <c r="J19" s="6">
        <f t="shared" si="12"/>
        <v>2.0999999999999942E-3</v>
      </c>
      <c r="K19" s="6">
        <f t="shared" si="16"/>
        <v>2.7666666666666608E-3</v>
      </c>
      <c r="L19" s="7"/>
      <c r="M19" s="4">
        <f>J3/K19</f>
        <v>144.46987951807262</v>
      </c>
      <c r="N19" s="18">
        <f t="shared" si="18"/>
        <v>158831320216.00372</v>
      </c>
      <c r="O19" s="19">
        <f t="shared" si="19"/>
        <v>158.83132021600372</v>
      </c>
      <c r="Q19" s="14" t="s">
        <v>52</v>
      </c>
      <c r="R19" s="10">
        <f t="shared" si="8"/>
        <v>132</v>
      </c>
      <c r="S19" s="10">
        <f t="shared" si="9"/>
        <v>131.30000000000001</v>
      </c>
      <c r="T19" s="11">
        <f t="shared" si="10"/>
        <v>131.30000000000001</v>
      </c>
    </row>
    <row r="20" spans="1:20" ht="19" thickBot="1" x14ac:dyDescent="0.3">
      <c r="A20" s="14">
        <v>1</v>
      </c>
      <c r="B20" s="5">
        <v>132</v>
      </c>
      <c r="C20" s="5">
        <v>131.30000000000001</v>
      </c>
      <c r="D20" s="5">
        <v>131.30000000000001</v>
      </c>
      <c r="E20" s="10">
        <f t="shared" si="13"/>
        <v>2</v>
      </c>
      <c r="F20" s="10">
        <f t="shared" si="11"/>
        <v>1.3000000000000114</v>
      </c>
      <c r="G20" s="10">
        <f t="shared" si="11"/>
        <v>1.3000000000000114</v>
      </c>
      <c r="H20" s="10">
        <f t="shared" si="14"/>
        <v>2E-3</v>
      </c>
      <c r="I20" s="10">
        <f t="shared" si="12"/>
        <v>1.3000000000000114E-3</v>
      </c>
      <c r="J20" s="10">
        <f t="shared" si="12"/>
        <v>1.3000000000000114E-3</v>
      </c>
      <c r="K20" s="10">
        <f t="shared" si="16"/>
        <v>1.5333333333333408E-3</v>
      </c>
      <c r="L20" s="11"/>
      <c r="M20" s="8">
        <f>J2/K20</f>
        <v>130.36956521739066</v>
      </c>
      <c r="N20" s="18">
        <f t="shared" si="18"/>
        <v>143329323929.2431</v>
      </c>
      <c r="O20" s="21">
        <f>N20/10^9</f>
        <v>143.32932392924312</v>
      </c>
    </row>
    <row r="22" spans="1:20" x14ac:dyDescent="0.25">
      <c r="A22" t="s">
        <v>25</v>
      </c>
      <c r="B22">
        <f>B4/2</f>
        <v>4.8989436</v>
      </c>
      <c r="C22" t="s">
        <v>26</v>
      </c>
      <c r="D22">
        <f>(F2^3)*F7/((F5^3)*F6*F3)</f>
        <v>224417332.35124984</v>
      </c>
      <c r="E22" t="s">
        <v>27</v>
      </c>
      <c r="F22">
        <f>B22*D22</f>
        <v>1099407854.0512283</v>
      </c>
    </row>
    <row r="23" spans="1:20" ht="19" thickBot="1" x14ac:dyDescent="0.3">
      <c r="K23" t="s">
        <v>66</v>
      </c>
      <c r="L23" t="s">
        <v>68</v>
      </c>
    </row>
    <row r="24" spans="1:20" x14ac:dyDescent="0.25">
      <c r="A24" s="6">
        <f t="shared" ref="A24:C35" si="20">B9</f>
        <v>130</v>
      </c>
      <c r="B24" s="6">
        <f t="shared" si="20"/>
        <v>130</v>
      </c>
      <c r="C24" s="6">
        <f t="shared" si="20"/>
        <v>130</v>
      </c>
      <c r="D24" s="6">
        <f>AVERAGE(A24:C24)</f>
        <v>130</v>
      </c>
      <c r="E24" s="29">
        <f>D24</f>
        <v>130</v>
      </c>
      <c r="F24" s="30">
        <v>0</v>
      </c>
      <c r="H24" t="s">
        <v>35</v>
      </c>
      <c r="I24">
        <v>1067</v>
      </c>
      <c r="K24">
        <v>1</v>
      </c>
      <c r="L24">
        <f>AVERAGE(B10,C10,D10)</f>
        <v>131.53333333333333</v>
      </c>
    </row>
    <row r="25" spans="1:20" x14ac:dyDescent="0.25">
      <c r="A25" s="6">
        <f t="shared" si="20"/>
        <v>132</v>
      </c>
      <c r="B25" s="6">
        <f t="shared" si="20"/>
        <v>131.30000000000001</v>
      </c>
      <c r="C25" s="6">
        <f t="shared" si="20"/>
        <v>131.30000000000001</v>
      </c>
      <c r="D25" s="6">
        <f t="shared" ref="D25:D35" si="21">AVERAGE(A25:C25)</f>
        <v>131.53333333333333</v>
      </c>
      <c r="E25" s="25">
        <f>(D25+D35)/2</f>
        <v>131.53333333333333</v>
      </c>
      <c r="F25" s="26">
        <f>I2</f>
        <v>199.9</v>
      </c>
      <c r="H25" t="s">
        <v>36</v>
      </c>
      <c r="I25">
        <v>6.5</v>
      </c>
      <c r="K25">
        <v>2</v>
      </c>
      <c r="L25">
        <f t="shared" ref="L25:L29" si="22">AVERAGE(B11,C11,D11)</f>
        <v>132.76666666666665</v>
      </c>
    </row>
    <row r="26" spans="1:20" x14ac:dyDescent="0.25">
      <c r="A26" s="6">
        <f t="shared" si="20"/>
        <v>133.5</v>
      </c>
      <c r="B26" s="6">
        <f t="shared" si="20"/>
        <v>132.69999999999999</v>
      </c>
      <c r="C26" s="6">
        <f t="shared" si="20"/>
        <v>132.1</v>
      </c>
      <c r="D26" s="6">
        <f t="shared" si="21"/>
        <v>132.76666666666665</v>
      </c>
      <c r="E26" s="25">
        <f>(D26+D34)/2</f>
        <v>132.76666666666665</v>
      </c>
      <c r="F26" s="26">
        <f t="shared" ref="F26:F30" si="23">I3</f>
        <v>399.70000000000005</v>
      </c>
      <c r="H26" t="s">
        <v>64</v>
      </c>
      <c r="I26">
        <f>I24/I25</f>
        <v>164.15384615384616</v>
      </c>
      <c r="K26">
        <v>3</v>
      </c>
      <c r="L26">
        <f t="shared" si="22"/>
        <v>133.63333333333333</v>
      </c>
    </row>
    <row r="27" spans="1:20" x14ac:dyDescent="0.25">
      <c r="A27" s="6">
        <f t="shared" si="20"/>
        <v>134.4</v>
      </c>
      <c r="B27" s="6">
        <f t="shared" si="20"/>
        <v>133.5</v>
      </c>
      <c r="C27" s="6">
        <f t="shared" si="20"/>
        <v>133</v>
      </c>
      <c r="D27" s="6">
        <f t="shared" si="21"/>
        <v>133.63333333333333</v>
      </c>
      <c r="E27" s="25">
        <f>(D27+D33)/2</f>
        <v>133.63333333333333</v>
      </c>
      <c r="F27" s="26">
        <f t="shared" si="23"/>
        <v>599.6</v>
      </c>
      <c r="H27" t="s">
        <v>37</v>
      </c>
      <c r="I27">
        <f>F22*I26</f>
        <v>180472027734.25549</v>
      </c>
      <c r="K27">
        <v>4</v>
      </c>
      <c r="L27">
        <f t="shared" si="22"/>
        <v>134.9</v>
      </c>
    </row>
    <row r="28" spans="1:20" x14ac:dyDescent="0.25">
      <c r="A28" s="6">
        <f t="shared" si="20"/>
        <v>135.6</v>
      </c>
      <c r="B28" s="6">
        <f t="shared" si="20"/>
        <v>135</v>
      </c>
      <c r="C28" s="6">
        <f t="shared" si="20"/>
        <v>134.1</v>
      </c>
      <c r="D28" s="6">
        <f t="shared" si="21"/>
        <v>134.9</v>
      </c>
      <c r="E28" s="25">
        <f>(D28+D32)/2</f>
        <v>134.9</v>
      </c>
      <c r="F28" s="26">
        <f t="shared" si="23"/>
        <v>799.3</v>
      </c>
      <c r="H28" t="s">
        <v>38</v>
      </c>
      <c r="I28">
        <f>I27/10^9</f>
        <v>180.47202773425551</v>
      </c>
      <c r="K28">
        <v>5</v>
      </c>
      <c r="L28">
        <f t="shared" si="22"/>
        <v>136.06666666666666</v>
      </c>
    </row>
    <row r="29" spans="1:20" x14ac:dyDescent="0.25">
      <c r="A29" s="6">
        <f t="shared" si="20"/>
        <v>136.80000000000001</v>
      </c>
      <c r="B29" s="6">
        <f t="shared" si="20"/>
        <v>136.19999999999999</v>
      </c>
      <c r="C29" s="6">
        <f t="shared" si="20"/>
        <v>135.19999999999999</v>
      </c>
      <c r="D29" s="6">
        <f t="shared" si="21"/>
        <v>136.06666666666666</v>
      </c>
      <c r="E29" s="25">
        <f>(D29+D31)/2</f>
        <v>136.06666666666666</v>
      </c>
      <c r="F29" s="26">
        <f t="shared" si="23"/>
        <v>999.09999999999991</v>
      </c>
      <c r="K29">
        <v>6</v>
      </c>
      <c r="L29">
        <f t="shared" si="22"/>
        <v>137</v>
      </c>
    </row>
    <row r="30" spans="1:20" ht="19" thickBot="1" x14ac:dyDescent="0.3">
      <c r="A30" s="6">
        <f t="shared" si="20"/>
        <v>138</v>
      </c>
      <c r="B30" s="6">
        <f t="shared" si="20"/>
        <v>137</v>
      </c>
      <c r="C30" s="6">
        <f t="shared" si="20"/>
        <v>136</v>
      </c>
      <c r="D30" s="6">
        <f t="shared" si="21"/>
        <v>137</v>
      </c>
      <c r="E30" s="27">
        <f>D30</f>
        <v>137</v>
      </c>
      <c r="F30" s="28">
        <f t="shared" si="23"/>
        <v>1199.0999999999999</v>
      </c>
    </row>
    <row r="31" spans="1:20" x14ac:dyDescent="0.25">
      <c r="A31" s="6">
        <f t="shared" si="20"/>
        <v>136.80000000000001</v>
      </c>
      <c r="B31" s="6">
        <f t="shared" si="20"/>
        <v>136.19999999999999</v>
      </c>
      <c r="C31" s="6">
        <f t="shared" si="20"/>
        <v>135.19999999999999</v>
      </c>
      <c r="D31" s="6">
        <f t="shared" si="21"/>
        <v>136.06666666666666</v>
      </c>
    </row>
    <row r="32" spans="1:20" x14ac:dyDescent="0.25">
      <c r="A32" s="6">
        <f t="shared" si="20"/>
        <v>135.6</v>
      </c>
      <c r="B32" s="6">
        <f t="shared" si="20"/>
        <v>135</v>
      </c>
      <c r="C32" s="6">
        <f t="shared" si="20"/>
        <v>134.1</v>
      </c>
      <c r="D32" s="6">
        <f t="shared" si="21"/>
        <v>134.9</v>
      </c>
    </row>
    <row r="33" spans="1:7" x14ac:dyDescent="0.25">
      <c r="A33" s="6">
        <f t="shared" si="20"/>
        <v>134.4</v>
      </c>
      <c r="B33" s="6">
        <f t="shared" si="20"/>
        <v>133.5</v>
      </c>
      <c r="C33" s="6">
        <f t="shared" si="20"/>
        <v>133</v>
      </c>
      <c r="D33" s="6">
        <f t="shared" si="21"/>
        <v>133.63333333333333</v>
      </c>
    </row>
    <row r="34" spans="1:7" x14ac:dyDescent="0.25">
      <c r="A34" s="6">
        <f t="shared" si="20"/>
        <v>133.5</v>
      </c>
      <c r="B34" s="6">
        <f t="shared" si="20"/>
        <v>132.69999999999999</v>
      </c>
      <c r="C34" s="6">
        <f t="shared" si="20"/>
        <v>132.1</v>
      </c>
      <c r="D34" s="6">
        <f t="shared" si="21"/>
        <v>132.76666666666665</v>
      </c>
    </row>
    <row r="35" spans="1:7" x14ac:dyDescent="0.25">
      <c r="A35" s="6">
        <f t="shared" si="20"/>
        <v>132</v>
      </c>
      <c r="B35" s="6">
        <f t="shared" si="20"/>
        <v>131.30000000000001</v>
      </c>
      <c r="C35" s="6">
        <f t="shared" si="20"/>
        <v>131.30000000000001</v>
      </c>
      <c r="D35" s="6">
        <f t="shared" si="21"/>
        <v>131.53333333333333</v>
      </c>
    </row>
    <row r="37" spans="1:7" x14ac:dyDescent="0.25">
      <c r="A37" t="s">
        <v>63</v>
      </c>
      <c r="B37" s="31">
        <v>3.0000000000000001E-3</v>
      </c>
    </row>
    <row r="38" spans="1:7" x14ac:dyDescent="0.25">
      <c r="A38" t="s">
        <v>40</v>
      </c>
      <c r="B38" s="31">
        <v>2.9999999999999997E-4</v>
      </c>
      <c r="G38" t="s">
        <v>42</v>
      </c>
    </row>
    <row r="39" spans="1:7" x14ac:dyDescent="0.25">
      <c r="A39" t="s">
        <v>39</v>
      </c>
      <c r="B39">
        <f>G39/1000</f>
        <v>4.4095855184408903E-6</v>
      </c>
      <c r="C39">
        <f t="shared" ref="C39:E40" si="24">$E5-B5</f>
        <v>-8.3333333333328596E-3</v>
      </c>
      <c r="D39">
        <f t="shared" si="24"/>
        <v>6.6666666666668206E-3</v>
      </c>
      <c r="E39">
        <f t="shared" si="24"/>
        <v>1.6666666666669272E-3</v>
      </c>
      <c r="F39">
        <f>(C39^2+D39^2+E39^2)/6</f>
        <v>1.9444444444443615E-5</v>
      </c>
      <c r="G39">
        <f>SQRT(F39)</f>
        <v>4.4095855184408906E-3</v>
      </c>
    </row>
    <row r="40" spans="1:7" x14ac:dyDescent="0.25">
      <c r="A40" t="s">
        <v>41</v>
      </c>
      <c r="B40">
        <f t="shared" ref="B40" si="25">G40/1000</f>
        <v>1.4529663145135814E-5</v>
      </c>
      <c r="C40">
        <f t="shared" si="24"/>
        <v>-2.6666666666667282E-2</v>
      </c>
      <c r="D40">
        <f t="shared" si="24"/>
        <v>3.3333333333338544E-3</v>
      </c>
      <c r="E40">
        <f t="shared" si="24"/>
        <v>2.3333333333333428E-2</v>
      </c>
      <c r="F40">
        <f>(C40^2+D40^2+E40^2)/6</f>
        <v>2.1111111111111794E-4</v>
      </c>
      <c r="G40">
        <f>SQRT(F40)</f>
        <v>1.4529663145135813E-2</v>
      </c>
    </row>
    <row r="41" spans="1:7" x14ac:dyDescent="0.25">
      <c r="A41" t="s">
        <v>62</v>
      </c>
      <c r="B41" s="31">
        <v>3.0000000000000001E-3</v>
      </c>
    </row>
    <row r="42" spans="1:7" x14ac:dyDescent="0.25">
      <c r="A42" t="s">
        <v>43</v>
      </c>
      <c r="B42">
        <f>I26*SQRT(C42)</f>
        <v>26.697936862142242</v>
      </c>
      <c r="C42">
        <f>(D42/E42)^2+(F42/G42)^2</f>
        <v>2.6451681071456064E-2</v>
      </c>
      <c r="D42" s="31">
        <v>6.9000000000000006E-2</v>
      </c>
      <c r="E42" s="31">
        <v>1.0669999999999999</v>
      </c>
      <c r="F42" s="31">
        <v>0.97</v>
      </c>
      <c r="G42" s="31">
        <v>6.5</v>
      </c>
    </row>
    <row r="43" spans="1:7" x14ac:dyDescent="0.25">
      <c r="D43" t="s">
        <v>73</v>
      </c>
      <c r="E43" t="s">
        <v>70</v>
      </c>
      <c r="F43" t="s">
        <v>75</v>
      </c>
      <c r="G43" t="s">
        <v>36</v>
      </c>
    </row>
    <row r="44" spans="1:7" x14ac:dyDescent="0.25">
      <c r="A44" t="s">
        <v>63</v>
      </c>
      <c r="B44">
        <f>B37^2</f>
        <v>9.0000000000000002E-6</v>
      </c>
      <c r="C44">
        <f>F7^2</f>
        <v>0.86136961000000012</v>
      </c>
    </row>
    <row r="45" spans="1:7" x14ac:dyDescent="0.25">
      <c r="A45" t="s">
        <v>40</v>
      </c>
      <c r="B45">
        <f t="shared" ref="B45:B49" si="26">B38^2</f>
        <v>8.9999999999999985E-8</v>
      </c>
      <c r="C45">
        <f>F3^2</f>
        <v>1.1222500000000002E-3</v>
      </c>
    </row>
    <row r="46" spans="1:7" x14ac:dyDescent="0.25">
      <c r="A46" t="s">
        <v>39</v>
      </c>
      <c r="B46">
        <f t="shared" si="26"/>
        <v>1.9444444444443616E-11</v>
      </c>
      <c r="C46">
        <f>F5^2</f>
        <v>6.2752802777777791E-5</v>
      </c>
    </row>
    <row r="47" spans="1:7" x14ac:dyDescent="0.25">
      <c r="A47" t="s">
        <v>41</v>
      </c>
      <c r="B47">
        <f t="shared" si="26"/>
        <v>2.1111111111111795E-10</v>
      </c>
      <c r="C47">
        <f>F6^2</f>
        <v>2.5450884444444446E-4</v>
      </c>
    </row>
    <row r="48" spans="1:7" x14ac:dyDescent="0.25">
      <c r="A48" t="s">
        <v>62</v>
      </c>
      <c r="B48">
        <f t="shared" si="26"/>
        <v>9.0000000000000002E-6</v>
      </c>
      <c r="C48">
        <f>F2^2</f>
        <v>0.16040025000000002</v>
      </c>
      <c r="D48" t="s">
        <v>76</v>
      </c>
      <c r="E48">
        <f>I27*SQRT((B44/C44)+(B45/C45)+(9*B46/C46)+(B47/C47)+(9*B48/C48)+(B49/C49))</f>
        <v>29682535953.514183</v>
      </c>
    </row>
    <row r="49" spans="1:5" x14ac:dyDescent="0.25">
      <c r="A49" t="s">
        <v>43</v>
      </c>
      <c r="B49">
        <f t="shared" si="26"/>
        <v>712.77983269493359</v>
      </c>
      <c r="C49">
        <f>I26^2</f>
        <v>26946.485207100595</v>
      </c>
      <c r="D49" t="s">
        <v>77</v>
      </c>
      <c r="E49">
        <f>E48/10^9</f>
        <v>29.682535953514183</v>
      </c>
    </row>
  </sheetData>
  <phoneticPr fontId="3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topLeftCell="G45" zoomScale="110" zoomScaleNormal="110" workbookViewId="0">
      <selection activeCell="K62" sqref="K62"/>
    </sheetView>
  </sheetViews>
  <sheetFormatPr baseColWidth="12" defaultRowHeight="18" x14ac:dyDescent="0.25"/>
  <cols>
    <col min="2" max="2" width="14" bestFit="1" customWidth="1"/>
    <col min="7" max="7" width="28.6640625" bestFit="1" customWidth="1"/>
    <col min="8" max="9" width="17.1640625" bestFit="1" customWidth="1"/>
    <col min="10" max="10" width="14.1640625" bestFit="1" customWidth="1"/>
    <col min="11" max="11" width="16.1640625" bestFit="1" customWidth="1"/>
  </cols>
  <sheetData>
    <row r="1" spans="1:11" x14ac:dyDescent="0.25">
      <c r="B1" t="s">
        <v>84</v>
      </c>
      <c r="C1" t="s">
        <v>84</v>
      </c>
      <c r="D1" t="s">
        <v>85</v>
      </c>
      <c r="E1" t="s">
        <v>86</v>
      </c>
      <c r="H1" t="s">
        <v>84</v>
      </c>
      <c r="I1" t="s">
        <v>84</v>
      </c>
      <c r="J1" t="s">
        <v>85</v>
      </c>
      <c r="K1" t="s">
        <v>86</v>
      </c>
    </row>
    <row r="2" spans="1:11" x14ac:dyDescent="0.25">
      <c r="A2" t="s">
        <v>78</v>
      </c>
      <c r="B2">
        <f>($B$85^3*B80*H14)/(2*H42^3*H43*$B$92)</f>
        <v>20599940371.119431</v>
      </c>
      <c r="C2">
        <f t="shared" ref="C2:E2" si="0">($B$85^3*C80*I14)/(2*I42^3*I43*$B$92)</f>
        <v>19134450841.193642</v>
      </c>
      <c r="D2">
        <f t="shared" si="0"/>
        <v>18070454990.147484</v>
      </c>
      <c r="E2">
        <f t="shared" si="0"/>
        <v>8577227446.2762594</v>
      </c>
      <c r="G2" t="s">
        <v>112</v>
      </c>
      <c r="H2">
        <f>B2^2*$B$10^2</f>
        <v>424357543.29367614</v>
      </c>
      <c r="I2">
        <f t="shared" ref="I2:K2" si="1">C2^2*$B$10^2</f>
        <v>366127208.99405605</v>
      </c>
      <c r="J2">
        <f t="shared" si="1"/>
        <v>326541343.55094606</v>
      </c>
      <c r="K2">
        <f t="shared" si="1"/>
        <v>73568830.66515477</v>
      </c>
    </row>
    <row r="3" spans="1:11" x14ac:dyDescent="0.25">
      <c r="A3" t="s">
        <v>83</v>
      </c>
      <c r="B3">
        <f>(3*$B$87*$B$85^2*B80*H14)/(2*H42^3*H43*$B$92)</f>
        <v>1511501937715.5835</v>
      </c>
      <c r="C3">
        <f t="shared" ref="C3:E3" si="2">(3*$B$87*$B$85^2*C80*I14)/(2*I42^3*I43*$B$92)</f>
        <v>1403972972860.4121</v>
      </c>
      <c r="D3">
        <f t="shared" si="2"/>
        <v>1325903242482.3423</v>
      </c>
      <c r="E3">
        <f t="shared" si="2"/>
        <v>629346283130.49561</v>
      </c>
      <c r="G3" t="s">
        <v>113</v>
      </c>
      <c r="H3">
        <f>B3^2*$B$11^2</f>
        <v>2.2846381077179636E+16</v>
      </c>
      <c r="I3">
        <f t="shared" ref="I3:K3" si="3">C3^2*$B$11^2</f>
        <v>1.9711401085225036E+16</v>
      </c>
      <c r="J3">
        <f t="shared" si="3"/>
        <v>1.758019408425189E+16</v>
      </c>
      <c r="K3">
        <f t="shared" si="3"/>
        <v>3960767440901699.5</v>
      </c>
    </row>
    <row r="4" spans="1:11" x14ac:dyDescent="0.25">
      <c r="A4" t="s">
        <v>79</v>
      </c>
      <c r="B4">
        <f>($B$87*$B$85^3*H14)/(2*H42^3*H43*$B$92)</f>
        <v>221246593192.36441</v>
      </c>
      <c r="C4">
        <f t="shared" ref="C4:E4" si="4">($B$87*$B$85^3*I14)/(2*I42^3*I43*$B$92)</f>
        <v>205379431414.23453</v>
      </c>
      <c r="D4">
        <f t="shared" si="4"/>
        <v>194292500891.95493</v>
      </c>
      <c r="E4">
        <f t="shared" si="4"/>
        <v>92431485929.783173</v>
      </c>
      <c r="G4" t="s">
        <v>114</v>
      </c>
      <c r="H4">
        <f>B4^2*$B$12^2</f>
        <v>489500549992275.94</v>
      </c>
      <c r="I4">
        <f t="shared" ref="I4:K4" si="5">C4^2*$B$12^2</f>
        <v>421807108480342.62</v>
      </c>
      <c r="J4">
        <f t="shared" si="5"/>
        <v>377495759028503.06</v>
      </c>
      <c r="K4">
        <f t="shared" si="5"/>
        <v>85435795911877.047</v>
      </c>
    </row>
    <row r="5" spans="1:11" x14ac:dyDescent="0.25">
      <c r="A5" t="s">
        <v>80</v>
      </c>
      <c r="B5">
        <f>(-3*$B$87*$B$85^3*B80*H14)/(2*H42^4*H43*$B$92)</f>
        <v>-76324497006159.188</v>
      </c>
      <c r="C5">
        <f t="shared" ref="C5:E5" si="6">(-3*$B$87*$B$85^3*C80*I14)/(2*I42^4*I43*$B$92)</f>
        <v>-29810860755894.773</v>
      </c>
      <c r="D5">
        <f t="shared" si="6"/>
        <v>-66119108581546.859</v>
      </c>
      <c r="E5">
        <f t="shared" si="6"/>
        <v>-49923984360807.258</v>
      </c>
      <c r="G5" t="s">
        <v>115</v>
      </c>
      <c r="H5">
        <f>B5^2*$B$13^2</f>
        <v>5825428843243203</v>
      </c>
      <c r="I5">
        <f t="shared" ref="I5:K5" si="7">C5^2*$B$13^2</f>
        <v>888687419007347.12</v>
      </c>
      <c r="J5">
        <f t="shared" si="7"/>
        <v>4371736519618383.5</v>
      </c>
      <c r="K5">
        <f t="shared" si="7"/>
        <v>2492404214458128</v>
      </c>
    </row>
    <row r="6" spans="1:11" x14ac:dyDescent="0.25">
      <c r="A6" t="s">
        <v>81</v>
      </c>
      <c r="B6">
        <f>(-$B$87*$B$85^3*B80*H14)/(2*H42^3*$B$92^3)</f>
        <v>-2895198157345.3081</v>
      </c>
      <c r="C6">
        <f t="shared" ref="C6:E6" si="8">(-$B$87*$B$85^3*C80*I14)/(2*I42^3*$B$92^3)</f>
        <v>-1130807964871.085</v>
      </c>
      <c r="D6">
        <f t="shared" si="8"/>
        <v>-2142586493305.1282</v>
      </c>
      <c r="E6">
        <f t="shared" si="8"/>
        <v>-1016988874182.6067</v>
      </c>
      <c r="G6" t="s">
        <v>116</v>
      </c>
      <c r="H6">
        <f>B6^2*$B$14^2</f>
        <v>8382172370295.667</v>
      </c>
      <c r="I6">
        <f t="shared" ref="I6:K6" si="9">C6^2*$B$14^2</f>
        <v>1278726653415.8848</v>
      </c>
      <c r="J6">
        <f t="shared" si="9"/>
        <v>4590676881293.5664</v>
      </c>
      <c r="K6">
        <f t="shared" si="9"/>
        <v>1034266370211.2058</v>
      </c>
    </row>
    <row r="7" spans="1:11" x14ac:dyDescent="0.25">
      <c r="A7" t="s">
        <v>82</v>
      </c>
      <c r="B7">
        <f>(-$B$87*$B$85^3*B80*H14)/(2*H42^3*H43*$B$92^2)</f>
        <v>-5565327906699.1084</v>
      </c>
      <c r="C7">
        <f t="shared" ref="C7:E7" si="10">(-$B$87*$B$85^3*C80*I14)/(2*I42^3*I43*$B$92^2)</f>
        <v>-5169407839410.6738</v>
      </c>
      <c r="D7">
        <f t="shared" si="10"/>
        <v>-4881956240242.8896</v>
      </c>
      <c r="E7">
        <f t="shared" si="10"/>
        <v>-2317243759394.0859</v>
      </c>
      <c r="G7" t="s">
        <v>117</v>
      </c>
      <c r="H7">
        <f>B7^2*$B$15^2</f>
        <v>3.0972874709083878E+17</v>
      </c>
      <c r="I7">
        <f t="shared" ref="I7:K7" si="11">C7^2*$B$15^2</f>
        <v>2.6722777410160531E+17</v>
      </c>
      <c r="J7">
        <f t="shared" si="11"/>
        <v>2.3833496731646493E+17</v>
      </c>
      <c r="K7">
        <f t="shared" si="11"/>
        <v>5.369618640450836E+16</v>
      </c>
    </row>
    <row r="8" spans="1:11" x14ac:dyDescent="0.25">
      <c r="A8" t="s">
        <v>93</v>
      </c>
      <c r="B8">
        <f>($B$87*$B$85^3*B80)/(2*H42^3*H43*$B$92)</f>
        <v>840982883.6789763</v>
      </c>
      <c r="C8">
        <f t="shared" ref="C8:E8" si="12">($B$87*$B$85^3*C80)/(2*I42^3*I43*$B$92)</f>
        <v>148791421.4094924</v>
      </c>
      <c r="D8">
        <f t="shared" si="12"/>
        <v>959033181.41660333</v>
      </c>
      <c r="E8">
        <f t="shared" si="12"/>
        <v>3851774071.1706142</v>
      </c>
      <c r="G8" t="s">
        <v>118</v>
      </c>
      <c r="H8">
        <f>B8^2*$B$16^2</f>
        <v>7072522106410067</v>
      </c>
      <c r="I8">
        <f t="shared" ref="I8:K8" si="13">C8^2*$B$16^2</f>
        <v>221388870850571.59</v>
      </c>
      <c r="J8">
        <f t="shared" si="13"/>
        <v>9197446430580518</v>
      </c>
      <c r="K8">
        <f t="shared" si="13"/>
        <v>1.483616349534225E+17</v>
      </c>
    </row>
    <row r="9" spans="1:11" x14ac:dyDescent="0.25">
      <c r="H9" t="s">
        <v>84</v>
      </c>
      <c r="I9" t="s">
        <v>84</v>
      </c>
      <c r="J9" t="s">
        <v>85</v>
      </c>
      <c r="K9" t="s">
        <v>86</v>
      </c>
    </row>
    <row r="10" spans="1:11" x14ac:dyDescent="0.25">
      <c r="A10" t="s">
        <v>87</v>
      </c>
      <c r="B10" s="34">
        <f>10^-6</f>
        <v>9.9999999999999995E-7</v>
      </c>
      <c r="C10" s="34"/>
      <c r="D10" s="34"/>
      <c r="E10" s="34"/>
      <c r="G10" t="s">
        <v>134</v>
      </c>
      <c r="H10">
        <v>20</v>
      </c>
      <c r="I10">
        <v>21</v>
      </c>
      <c r="J10">
        <v>20</v>
      </c>
      <c r="K10">
        <v>20</v>
      </c>
    </row>
    <row r="11" spans="1:11" x14ac:dyDescent="0.25">
      <c r="A11" t="s">
        <v>88</v>
      </c>
      <c r="B11" s="34">
        <f>10^-4</f>
        <v>1E-4</v>
      </c>
      <c r="C11" s="34"/>
      <c r="D11" s="34"/>
      <c r="E11" s="34"/>
      <c r="G11" t="s">
        <v>135</v>
      </c>
      <c r="H11">
        <v>5</v>
      </c>
      <c r="I11">
        <v>1</v>
      </c>
      <c r="J11">
        <v>6.5</v>
      </c>
      <c r="K11">
        <v>11</v>
      </c>
    </row>
    <row r="12" spans="1:11" x14ac:dyDescent="0.25">
      <c r="A12" t="s">
        <v>89</v>
      </c>
      <c r="B12" s="34">
        <f>10^-4</f>
        <v>1E-4</v>
      </c>
      <c r="C12" s="34"/>
      <c r="D12" s="34"/>
      <c r="E12" s="34"/>
      <c r="G12" t="s">
        <v>136</v>
      </c>
      <c r="H12" s="33">
        <f>(1.2*H10/20)</f>
        <v>1.2</v>
      </c>
      <c r="I12" s="33">
        <f>1.2*I10/20</f>
        <v>1.26</v>
      </c>
      <c r="J12" s="33">
        <f>(1.2*J10/20)</f>
        <v>1.2</v>
      </c>
      <c r="K12" s="33">
        <f>1.2*K10/20</f>
        <v>1.2</v>
      </c>
    </row>
    <row r="13" spans="1:11" x14ac:dyDescent="0.25">
      <c r="A13" t="s">
        <v>90</v>
      </c>
      <c r="B13" s="34">
        <f>10^-6</f>
        <v>9.9999999999999995E-7</v>
      </c>
      <c r="C13" s="34"/>
      <c r="D13" s="34"/>
      <c r="E13" s="34"/>
      <c r="G13" t="s">
        <v>137</v>
      </c>
      <c r="H13">
        <f>H11*10^-3</f>
        <v>5.0000000000000001E-3</v>
      </c>
      <c r="I13">
        <f>I11*10^-3</f>
        <v>1E-3</v>
      </c>
      <c r="J13">
        <f>J11*10^-3</f>
        <v>6.5000000000000006E-3</v>
      </c>
      <c r="K13">
        <f>5*K11*10^-3</f>
        <v>5.5E-2</v>
      </c>
    </row>
    <row r="14" spans="1:11" x14ac:dyDescent="0.25">
      <c r="A14" t="s">
        <v>91</v>
      </c>
      <c r="B14" s="34">
        <f>10^-6</f>
        <v>9.9999999999999995E-7</v>
      </c>
      <c r="C14" s="34"/>
      <c r="D14" s="34"/>
      <c r="E14" s="34"/>
      <c r="G14" t="s">
        <v>156</v>
      </c>
      <c r="H14">
        <f>H12/H13</f>
        <v>240</v>
      </c>
      <c r="I14">
        <f t="shared" ref="I14:K14" si="14">I12/I13</f>
        <v>1260</v>
      </c>
      <c r="J14">
        <f t="shared" si="14"/>
        <v>184.61538461538458</v>
      </c>
      <c r="K14">
        <f t="shared" si="14"/>
        <v>21.818181818181817</v>
      </c>
    </row>
    <row r="15" spans="1:11" ht="19" thickBot="1" x14ac:dyDescent="0.3">
      <c r="A15" t="s">
        <v>92</v>
      </c>
      <c r="B15" s="34">
        <f>10^-4</f>
        <v>1E-4</v>
      </c>
      <c r="C15" s="34"/>
      <c r="D15" s="34"/>
      <c r="E15" s="34"/>
    </row>
    <row r="16" spans="1:11" x14ac:dyDescent="0.25">
      <c r="A16" t="s">
        <v>94</v>
      </c>
      <c r="B16">
        <v>0.1</v>
      </c>
      <c r="G16" s="1" t="s">
        <v>162</v>
      </c>
      <c r="H16" s="2" t="s">
        <v>84</v>
      </c>
      <c r="I16" s="2" t="s">
        <v>84</v>
      </c>
      <c r="J16" s="2" t="s">
        <v>85</v>
      </c>
      <c r="K16" s="3" t="s">
        <v>86</v>
      </c>
    </row>
    <row r="17" spans="1:13" x14ac:dyDescent="0.25">
      <c r="G17" s="4" t="s">
        <v>157</v>
      </c>
      <c r="H17" s="38">
        <f>SQRT(SUM(H2:H8))</f>
        <v>588192963.4604547</v>
      </c>
      <c r="I17" s="38">
        <f t="shared" ref="I17:K17" si="15">SQRT(SUM(I2:I8))</f>
        <v>537096208.95883191</v>
      </c>
      <c r="J17" s="38">
        <f>SQRT(SUM(J2:J8))</f>
        <v>519486699.65011311</v>
      </c>
      <c r="K17" s="39">
        <f t="shared" si="15"/>
        <v>456724712.65428764</v>
      </c>
    </row>
    <row r="18" spans="1:13" ht="19" thickBot="1" x14ac:dyDescent="0.3">
      <c r="A18" t="s">
        <v>106</v>
      </c>
      <c r="B18">
        <v>155.1</v>
      </c>
      <c r="C18">
        <v>152.69999999999999</v>
      </c>
      <c r="D18">
        <v>156.19999999999999</v>
      </c>
      <c r="E18">
        <v>153</v>
      </c>
      <c r="G18" s="8" t="s">
        <v>159</v>
      </c>
      <c r="H18" s="40">
        <f>($B$87*$B$85^3*B80*H14)/(2*H42^3*H43*$B$92)</f>
        <v>201835892082.95432</v>
      </c>
      <c r="I18" s="40">
        <f t="shared" ref="I18:K18" si="16">($B$87*$B$85^3*C80*I14)/(2*I42^3*I43*$B$92)</f>
        <v>187477190975.96042</v>
      </c>
      <c r="J18" s="40">
        <f>($B$87*$B$85^3*D80*J14)/(2*J42^3*J43*$B$92)</f>
        <v>177052279646.14212</v>
      </c>
      <c r="K18" s="41">
        <f t="shared" si="16"/>
        <v>84038707007.358856</v>
      </c>
    </row>
    <row r="19" spans="1:13" x14ac:dyDescent="0.25">
      <c r="A19" t="s">
        <v>95</v>
      </c>
      <c r="B19">
        <v>155.69999999999999</v>
      </c>
      <c r="C19">
        <v>152.9</v>
      </c>
      <c r="D19">
        <v>157</v>
      </c>
      <c r="E19">
        <v>162</v>
      </c>
      <c r="H19" t="s">
        <v>125</v>
      </c>
      <c r="I19">
        <f>200.5*10^-3</f>
        <v>0.20050000000000001</v>
      </c>
    </row>
    <row r="20" spans="1:13" x14ac:dyDescent="0.25">
      <c r="A20" t="s">
        <v>96</v>
      </c>
      <c r="B20">
        <v>156.80000000000001</v>
      </c>
      <c r="C20">
        <v>153</v>
      </c>
      <c r="D20">
        <v>158.1</v>
      </c>
      <c r="E20">
        <v>170.9</v>
      </c>
      <c r="H20" t="s">
        <v>126</v>
      </c>
      <c r="I20">
        <f>201.3*10^-3</f>
        <v>0.20130000000000001</v>
      </c>
    </row>
    <row r="21" spans="1:13" x14ac:dyDescent="0.25">
      <c r="A21" t="s">
        <v>97</v>
      </c>
      <c r="B21">
        <v>157.5</v>
      </c>
      <c r="C21">
        <v>153.19999999999999</v>
      </c>
      <c r="D21">
        <v>159.1</v>
      </c>
      <c r="E21">
        <v>179.6</v>
      </c>
      <c r="H21" t="s">
        <v>127</v>
      </c>
      <c r="I21">
        <f>200.2*10^-3</f>
        <v>0.20019999999999999</v>
      </c>
    </row>
    <row r="22" spans="1:13" x14ac:dyDescent="0.25">
      <c r="A22" t="s">
        <v>98</v>
      </c>
      <c r="B22">
        <v>158.30000000000001</v>
      </c>
      <c r="C22">
        <v>153.4</v>
      </c>
      <c r="D22">
        <v>160.19999999999999</v>
      </c>
      <c r="E22">
        <v>189.2</v>
      </c>
      <c r="H22" t="s">
        <v>128</v>
      </c>
      <c r="I22">
        <f>200.1*10^-3</f>
        <v>0.2001</v>
      </c>
    </row>
    <row r="23" spans="1:13" x14ac:dyDescent="0.25">
      <c r="A23" t="s">
        <v>99</v>
      </c>
      <c r="B23">
        <v>159.19999999999999</v>
      </c>
      <c r="C23">
        <v>153.5</v>
      </c>
      <c r="D23">
        <v>161.19999999999999</v>
      </c>
      <c r="E23">
        <v>198.5</v>
      </c>
      <c r="H23" t="s">
        <v>129</v>
      </c>
      <c r="I23">
        <f>200.4*10^-3</f>
        <v>0.20040000000000002</v>
      </c>
    </row>
    <row r="24" spans="1:13" x14ac:dyDescent="0.25">
      <c r="A24" t="s">
        <v>100</v>
      </c>
      <c r="B24">
        <v>160.1</v>
      </c>
      <c r="C24">
        <v>153.80000000000001</v>
      </c>
      <c r="D24">
        <v>162.69999999999999</v>
      </c>
      <c r="E24">
        <v>207.5</v>
      </c>
      <c r="H24" t="s">
        <v>130</v>
      </c>
      <c r="I24">
        <f>200.1*10^-3</f>
        <v>0.2001</v>
      </c>
    </row>
    <row r="25" spans="1:13" x14ac:dyDescent="0.25">
      <c r="A25" t="s">
        <v>101</v>
      </c>
      <c r="B25">
        <v>159.30000000000001</v>
      </c>
      <c r="C25">
        <v>153.6</v>
      </c>
      <c r="D25">
        <v>161.5</v>
      </c>
      <c r="E25">
        <v>198.8</v>
      </c>
    </row>
    <row r="26" spans="1:13" x14ac:dyDescent="0.25">
      <c r="A26" t="s">
        <v>102</v>
      </c>
      <c r="B26">
        <v>158.4</v>
      </c>
      <c r="C26">
        <v>153.4</v>
      </c>
      <c r="D26">
        <v>160.69999999999999</v>
      </c>
      <c r="E26">
        <v>190</v>
      </c>
      <c r="G26" t="s">
        <v>131</v>
      </c>
      <c r="H26">
        <v>200.5</v>
      </c>
      <c r="I26">
        <v>201.3</v>
      </c>
      <c r="J26">
        <v>200.2</v>
      </c>
      <c r="K26">
        <v>200.1</v>
      </c>
      <c r="L26">
        <v>200.4</v>
      </c>
      <c r="M26">
        <v>200.1</v>
      </c>
    </row>
    <row r="27" spans="1:13" x14ac:dyDescent="0.25">
      <c r="A27" t="s">
        <v>103</v>
      </c>
      <c r="B27">
        <v>157.5</v>
      </c>
      <c r="C27">
        <v>153.19999999999999</v>
      </c>
      <c r="D27">
        <v>159.6</v>
      </c>
      <c r="E27">
        <v>180.9</v>
      </c>
      <c r="G27" t="s">
        <v>132</v>
      </c>
      <c r="H27">
        <f>H26</f>
        <v>200.5</v>
      </c>
      <c r="I27">
        <f>SUM(H26:I26)</f>
        <v>401.8</v>
      </c>
      <c r="J27">
        <f>SUM(H26:J26)</f>
        <v>602</v>
      </c>
      <c r="K27">
        <f>SUM(H26:K26)</f>
        <v>802.1</v>
      </c>
      <c r="L27">
        <f>SUM(H26:L26)</f>
        <v>1002.5</v>
      </c>
      <c r="M27">
        <f>SUM(H26:M26)</f>
        <v>1202.5999999999999</v>
      </c>
    </row>
    <row r="28" spans="1:13" x14ac:dyDescent="0.25">
      <c r="A28" t="s">
        <v>104</v>
      </c>
      <c r="B28">
        <v>156.69999999999999</v>
      </c>
      <c r="C28">
        <v>153.1</v>
      </c>
      <c r="D28">
        <v>158.5</v>
      </c>
      <c r="E28">
        <v>171.5</v>
      </c>
      <c r="G28" t="s">
        <v>133</v>
      </c>
      <c r="H28">
        <f>20*H27/1200</f>
        <v>3.3416666666666668</v>
      </c>
      <c r="I28">
        <f>20*I27/1200</f>
        <v>6.6966666666666663</v>
      </c>
      <c r="J28">
        <f>20*J27/1200</f>
        <v>10.033333333333333</v>
      </c>
      <c r="K28">
        <f t="shared" ref="K28:M28" si="17">20*K27/1200</f>
        <v>13.368333333333334</v>
      </c>
      <c r="L28">
        <f t="shared" si="17"/>
        <v>16.708333333333332</v>
      </c>
      <c r="M28">
        <f t="shared" si="17"/>
        <v>20.043333333333333</v>
      </c>
    </row>
    <row r="29" spans="1:13" x14ac:dyDescent="0.25">
      <c r="A29" t="s">
        <v>105</v>
      </c>
      <c r="B29">
        <v>155.80000000000001</v>
      </c>
      <c r="C29">
        <v>152.80000000000001</v>
      </c>
      <c r="D29">
        <v>157.4</v>
      </c>
      <c r="E29">
        <v>162.4</v>
      </c>
    </row>
    <row r="30" spans="1:13" x14ac:dyDescent="0.25">
      <c r="A30" t="s">
        <v>119</v>
      </c>
      <c r="B30">
        <v>155</v>
      </c>
      <c r="C30">
        <v>151.9</v>
      </c>
      <c r="D30">
        <v>156.4</v>
      </c>
      <c r="E30">
        <v>153.4</v>
      </c>
      <c r="G30" t="s">
        <v>120</v>
      </c>
      <c r="H30">
        <f>0.4009</f>
        <v>0.40089999999999998</v>
      </c>
    </row>
    <row r="31" spans="1:13" x14ac:dyDescent="0.25">
      <c r="B31">
        <f>B24</f>
        <v>160.1</v>
      </c>
      <c r="C31">
        <f>C24</f>
        <v>153.80000000000001</v>
      </c>
      <c r="D31">
        <f>D24</f>
        <v>162.69999999999999</v>
      </c>
      <c r="E31">
        <f>E24</f>
        <v>207.5</v>
      </c>
      <c r="G31" t="s">
        <v>121</v>
      </c>
      <c r="H31">
        <f>0.4006</f>
        <v>0.40060000000000001</v>
      </c>
    </row>
    <row r="32" spans="1:13" x14ac:dyDescent="0.25">
      <c r="A32" t="s">
        <v>106</v>
      </c>
      <c r="B32">
        <v>155.1</v>
      </c>
      <c r="C32">
        <v>152.69999999999999</v>
      </c>
      <c r="D32">
        <v>156.19999999999999</v>
      </c>
      <c r="E32">
        <v>153</v>
      </c>
      <c r="G32" t="s">
        <v>122</v>
      </c>
      <c r="H32">
        <f>0.4003</f>
        <v>0.40029999999999999</v>
      </c>
    </row>
    <row r="33" spans="1:11" x14ac:dyDescent="0.25">
      <c r="A33" t="s">
        <v>95</v>
      </c>
      <c r="B33">
        <v>155.69999999999999</v>
      </c>
      <c r="C33">
        <v>153</v>
      </c>
      <c r="D33">
        <v>156.9</v>
      </c>
      <c r="E33">
        <v>162</v>
      </c>
      <c r="G33" t="s">
        <v>138</v>
      </c>
      <c r="H33">
        <f>AVERAGE(H30:H32)</f>
        <v>0.40060000000000001</v>
      </c>
    </row>
    <row r="34" spans="1:11" x14ac:dyDescent="0.25">
      <c r="A34" t="s">
        <v>96</v>
      </c>
      <c r="B34">
        <v>156.6</v>
      </c>
      <c r="C34">
        <v>153.19999999999999</v>
      </c>
      <c r="D34">
        <v>158</v>
      </c>
      <c r="E34">
        <v>171</v>
      </c>
    </row>
    <row r="35" spans="1:11" x14ac:dyDescent="0.25">
      <c r="A35" t="s">
        <v>97</v>
      </c>
      <c r="B35">
        <v>157.69999999999999</v>
      </c>
      <c r="C35">
        <v>153.30000000000001</v>
      </c>
      <c r="D35">
        <v>159</v>
      </c>
      <c r="E35">
        <v>180.1</v>
      </c>
      <c r="G35" s="32"/>
      <c r="H35" s="32" t="s">
        <v>145</v>
      </c>
      <c r="I35" s="32" t="s">
        <v>145</v>
      </c>
      <c r="J35" s="32" t="s">
        <v>146</v>
      </c>
      <c r="K35" s="32" t="s">
        <v>147</v>
      </c>
    </row>
    <row r="36" spans="1:11" x14ac:dyDescent="0.25">
      <c r="A36" t="s">
        <v>98</v>
      </c>
      <c r="B36">
        <v>158.6</v>
      </c>
      <c r="C36">
        <v>153.5</v>
      </c>
      <c r="D36">
        <v>160.19999999999999</v>
      </c>
      <c r="E36">
        <v>189.2</v>
      </c>
      <c r="G36" t="s">
        <v>148</v>
      </c>
      <c r="H36">
        <v>7.9</v>
      </c>
      <c r="I36">
        <v>18.8</v>
      </c>
      <c r="J36">
        <v>8</v>
      </c>
      <c r="K36">
        <v>5.0999999999999996</v>
      </c>
    </row>
    <row r="37" spans="1:11" x14ac:dyDescent="0.25">
      <c r="A37" t="s">
        <v>99</v>
      </c>
      <c r="B37">
        <v>159.5</v>
      </c>
      <c r="C37">
        <v>153.6</v>
      </c>
      <c r="D37">
        <v>161.6</v>
      </c>
      <c r="E37">
        <v>198.1</v>
      </c>
      <c r="G37" t="s">
        <v>149</v>
      </c>
      <c r="H37">
        <v>7.9</v>
      </c>
      <c r="I37">
        <v>18.899999999999999</v>
      </c>
      <c r="J37">
        <v>8</v>
      </c>
      <c r="K37">
        <v>5.05</v>
      </c>
    </row>
    <row r="38" spans="1:11" x14ac:dyDescent="0.25">
      <c r="A38" t="s">
        <v>100</v>
      </c>
      <c r="B38">
        <v>160.19999999999999</v>
      </c>
      <c r="C38">
        <v>153.9</v>
      </c>
      <c r="D38">
        <v>162.69999999999999</v>
      </c>
      <c r="E38">
        <v>207</v>
      </c>
      <c r="G38" t="s">
        <v>150</v>
      </c>
      <c r="H38">
        <v>8</v>
      </c>
      <c r="I38">
        <v>18.899999999999999</v>
      </c>
      <c r="J38">
        <v>8.1</v>
      </c>
      <c r="K38">
        <v>5</v>
      </c>
    </row>
    <row r="39" spans="1:11" x14ac:dyDescent="0.25">
      <c r="A39" t="s">
        <v>101</v>
      </c>
      <c r="B39">
        <v>159.5</v>
      </c>
      <c r="C39">
        <v>153.69999999999999</v>
      </c>
      <c r="D39">
        <v>161.80000000000001</v>
      </c>
      <c r="E39">
        <v>198.1</v>
      </c>
      <c r="G39" t="s">
        <v>151</v>
      </c>
      <c r="H39">
        <v>18.8</v>
      </c>
      <c r="I39">
        <v>7.9</v>
      </c>
      <c r="J39">
        <v>15.9</v>
      </c>
      <c r="K39">
        <v>15.9</v>
      </c>
    </row>
    <row r="40" spans="1:11" x14ac:dyDescent="0.25">
      <c r="A40" t="s">
        <v>102</v>
      </c>
      <c r="B40">
        <v>158.69999999999999</v>
      </c>
      <c r="C40">
        <v>153.6</v>
      </c>
      <c r="D40">
        <v>160.69999999999999</v>
      </c>
      <c r="E40">
        <v>189.3</v>
      </c>
      <c r="G40" t="s">
        <v>152</v>
      </c>
      <c r="H40">
        <v>18.899999999999999</v>
      </c>
      <c r="I40">
        <v>7.9</v>
      </c>
      <c r="J40">
        <v>15.95</v>
      </c>
      <c r="K40">
        <v>15.95</v>
      </c>
    </row>
    <row r="41" spans="1:11" ht="19" thickBot="1" x14ac:dyDescent="0.3">
      <c r="A41" t="s">
        <v>103</v>
      </c>
      <c r="B41">
        <v>157.80000000000001</v>
      </c>
      <c r="C41">
        <v>153.4</v>
      </c>
      <c r="D41">
        <v>159.6</v>
      </c>
      <c r="E41">
        <v>180.3</v>
      </c>
      <c r="G41" t="s">
        <v>153</v>
      </c>
      <c r="H41">
        <v>18.899999999999999</v>
      </c>
      <c r="I41">
        <v>8</v>
      </c>
      <c r="J41">
        <v>15.9</v>
      </c>
      <c r="K41">
        <v>15.9</v>
      </c>
    </row>
    <row r="42" spans="1:11" ht="19" thickBot="1" x14ac:dyDescent="0.3">
      <c r="A42" t="s">
        <v>104</v>
      </c>
      <c r="B42">
        <v>157</v>
      </c>
      <c r="C42">
        <v>153.19999999999999</v>
      </c>
      <c r="D42">
        <v>159</v>
      </c>
      <c r="E42">
        <v>171.3</v>
      </c>
      <c r="G42" s="35" t="s">
        <v>154</v>
      </c>
      <c r="H42" s="16">
        <f>AVERAGE(H36:H38)*10^-3</f>
        <v>7.9333333333333339E-3</v>
      </c>
      <c r="I42" s="16">
        <f>AVERAGE(I36:I38)*10^-3</f>
        <v>1.8866666666666667E-2</v>
      </c>
      <c r="J42" s="16">
        <f>AVERAGE(J36:J38)*10^-3</f>
        <v>8.0333333333333333E-3</v>
      </c>
      <c r="K42" s="17">
        <f>AVERAGE(K36:K38)*10^-3</f>
        <v>5.0499999999999998E-3</v>
      </c>
    </row>
    <row r="43" spans="1:11" ht="19" thickBot="1" x14ac:dyDescent="0.3">
      <c r="A43" t="s">
        <v>105</v>
      </c>
      <c r="B43">
        <v>156</v>
      </c>
      <c r="C43">
        <v>153</v>
      </c>
      <c r="D43">
        <v>157.30000000000001</v>
      </c>
      <c r="E43">
        <v>162.63</v>
      </c>
      <c r="G43" s="8" t="s">
        <v>155</v>
      </c>
      <c r="H43" s="10">
        <f>AVERAGE(H39:H41)*10^-3</f>
        <v>1.8866666666666667E-2</v>
      </c>
      <c r="I43" s="10">
        <f>AVERAGE(I39:I41)*10^-3</f>
        <v>7.9333333333333339E-3</v>
      </c>
      <c r="J43" s="10">
        <f>AVERAGE(J39:J41)*10^-3</f>
        <v>1.5916666666666666E-2</v>
      </c>
      <c r="K43" s="11">
        <f>AVERAGE(K39:K41)*10^-3</f>
        <v>1.5916666666666666E-2</v>
      </c>
    </row>
    <row r="44" spans="1:11" ht="19" thickBot="1" x14ac:dyDescent="0.3">
      <c r="A44" t="s">
        <v>119</v>
      </c>
      <c r="B44">
        <v>155.19999999999999</v>
      </c>
      <c r="C44">
        <v>152.9</v>
      </c>
      <c r="D44">
        <v>156.4</v>
      </c>
      <c r="E44">
        <v>153.30000000000001</v>
      </c>
    </row>
    <row r="45" spans="1:11" x14ac:dyDescent="0.25">
      <c r="B45">
        <f>B38</f>
        <v>160.19999999999999</v>
      </c>
      <c r="C45">
        <f>C38</f>
        <v>153.9</v>
      </c>
      <c r="D45">
        <f>D38</f>
        <v>162.69999999999999</v>
      </c>
      <c r="E45">
        <f>E38</f>
        <v>207</v>
      </c>
      <c r="G45" s="1" t="s">
        <v>162</v>
      </c>
      <c r="H45" s="2" t="s">
        <v>84</v>
      </c>
      <c r="I45" s="2" t="s">
        <v>84</v>
      </c>
      <c r="J45" s="2" t="s">
        <v>85</v>
      </c>
      <c r="K45" s="3" t="s">
        <v>86</v>
      </c>
    </row>
    <row r="46" spans="1:11" ht="19" thickBot="1" x14ac:dyDescent="0.3">
      <c r="A46" t="s">
        <v>106</v>
      </c>
      <c r="B46">
        <v>155.1</v>
      </c>
      <c r="C46">
        <v>152.69999999999999</v>
      </c>
      <c r="D46">
        <v>156.19999999999999</v>
      </c>
      <c r="E46">
        <v>153</v>
      </c>
      <c r="G46" t="s">
        <v>158</v>
      </c>
      <c r="H46" s="44">
        <v>201835892082</v>
      </c>
      <c r="I46" s="44">
        <v>187477190975.95999</v>
      </c>
      <c r="J46" s="44">
        <v>177052279646.142</v>
      </c>
      <c r="K46" s="44">
        <v>84038707007.358902</v>
      </c>
    </row>
    <row r="47" spans="1:11" x14ac:dyDescent="0.25">
      <c r="A47" t="s">
        <v>95</v>
      </c>
      <c r="B47">
        <v>155.69999999999999</v>
      </c>
      <c r="C47">
        <v>152.9</v>
      </c>
      <c r="D47">
        <v>157.1</v>
      </c>
      <c r="E47">
        <v>161.9</v>
      </c>
      <c r="G47" s="1" t="s">
        <v>162</v>
      </c>
      <c r="H47" s="2" t="s">
        <v>84</v>
      </c>
      <c r="I47" s="2" t="s">
        <v>84</v>
      </c>
      <c r="J47" s="2" t="s">
        <v>85</v>
      </c>
      <c r="K47" s="3" t="s">
        <v>86</v>
      </c>
    </row>
    <row r="48" spans="1:11" x14ac:dyDescent="0.25">
      <c r="A48" t="s">
        <v>96</v>
      </c>
      <c r="B48">
        <v>156.5</v>
      </c>
      <c r="C48">
        <v>153.1</v>
      </c>
      <c r="D48">
        <v>158.5</v>
      </c>
      <c r="E48">
        <v>171</v>
      </c>
      <c r="G48" s="45" t="s">
        <v>167</v>
      </c>
      <c r="H48" t="s">
        <v>163</v>
      </c>
      <c r="I48" t="s">
        <v>164</v>
      </c>
      <c r="J48" t="s">
        <v>165</v>
      </c>
      <c r="K48" t="s">
        <v>166</v>
      </c>
    </row>
    <row r="49" spans="1:11" x14ac:dyDescent="0.25">
      <c r="A49" t="s">
        <v>97</v>
      </c>
      <c r="B49">
        <v>157.5</v>
      </c>
      <c r="C49">
        <v>153.19999999999999</v>
      </c>
      <c r="D49">
        <v>159.5</v>
      </c>
      <c r="E49">
        <v>179.7</v>
      </c>
    </row>
    <row r="50" spans="1:11" x14ac:dyDescent="0.25">
      <c r="A50" t="s">
        <v>98</v>
      </c>
      <c r="B50">
        <v>158.30000000000001</v>
      </c>
      <c r="C50">
        <v>153.4</v>
      </c>
      <c r="D50">
        <v>161</v>
      </c>
      <c r="E50">
        <v>188.8</v>
      </c>
      <c r="H50" s="38">
        <v>582149843</v>
      </c>
      <c r="I50" s="38">
        <v>536890</v>
      </c>
      <c r="J50" s="38">
        <v>510557</v>
      </c>
      <c r="K50" s="39">
        <v>245429</v>
      </c>
    </row>
    <row r="51" spans="1:11" ht="19" thickBot="1" x14ac:dyDescent="0.3">
      <c r="A51" t="s">
        <v>99</v>
      </c>
      <c r="B51">
        <v>159.1</v>
      </c>
      <c r="C51">
        <v>153.5</v>
      </c>
      <c r="D51">
        <v>162.19999999999999</v>
      </c>
      <c r="E51">
        <v>198.6</v>
      </c>
      <c r="H51" s="40">
        <v>201835892082</v>
      </c>
      <c r="I51" s="40">
        <v>187477190</v>
      </c>
      <c r="J51" s="40">
        <v>177052279</v>
      </c>
      <c r="K51" s="41">
        <v>84038707</v>
      </c>
    </row>
    <row r="52" spans="1:11" x14ac:dyDescent="0.25">
      <c r="A52" t="s">
        <v>100</v>
      </c>
      <c r="B52">
        <v>160</v>
      </c>
      <c r="C52">
        <v>153.69999999999999</v>
      </c>
      <c r="D52">
        <v>163.1</v>
      </c>
      <c r="E52">
        <v>206.9</v>
      </c>
    </row>
    <row r="53" spans="1:11" x14ac:dyDescent="0.25">
      <c r="A53" t="s">
        <v>101</v>
      </c>
      <c r="B53">
        <v>159.30000000000001</v>
      </c>
      <c r="C53">
        <v>153.5</v>
      </c>
      <c r="D53">
        <v>161.9</v>
      </c>
      <c r="E53">
        <v>197.9</v>
      </c>
      <c r="H53">
        <f>LEN(H50)</f>
        <v>9</v>
      </c>
      <c r="I53">
        <f t="shared" ref="I53:K53" si="18">LEN(I50)</f>
        <v>6</v>
      </c>
      <c r="J53">
        <f t="shared" si="18"/>
        <v>6</v>
      </c>
      <c r="K53">
        <f t="shared" si="18"/>
        <v>6</v>
      </c>
    </row>
    <row r="54" spans="1:11" x14ac:dyDescent="0.25">
      <c r="A54" t="s">
        <v>102</v>
      </c>
      <c r="B54">
        <v>158.5</v>
      </c>
      <c r="C54">
        <v>153.4</v>
      </c>
      <c r="D54">
        <v>160.9</v>
      </c>
      <c r="E54">
        <v>189.3</v>
      </c>
      <c r="H54">
        <f>LEN(H51)</f>
        <v>12</v>
      </c>
      <c r="I54">
        <f t="shared" ref="I54:K54" si="19">LEN(I51)</f>
        <v>9</v>
      </c>
      <c r="J54">
        <f t="shared" si="19"/>
        <v>9</v>
      </c>
      <c r="K54">
        <f t="shared" si="19"/>
        <v>8</v>
      </c>
    </row>
    <row r="55" spans="1:11" x14ac:dyDescent="0.25">
      <c r="A55" t="s">
        <v>103</v>
      </c>
      <c r="B55">
        <v>157.5</v>
      </c>
      <c r="C55">
        <v>153.19999999999999</v>
      </c>
      <c r="D55">
        <v>159.80000000000001</v>
      </c>
      <c r="E55">
        <v>180.2</v>
      </c>
    </row>
    <row r="56" spans="1:11" x14ac:dyDescent="0.25">
      <c r="A56" t="s">
        <v>104</v>
      </c>
      <c r="B56">
        <v>156.69999999999999</v>
      </c>
      <c r="C56">
        <v>153</v>
      </c>
      <c r="D56">
        <v>158.80000000000001</v>
      </c>
      <c r="E56">
        <v>171.3</v>
      </c>
    </row>
    <row r="57" spans="1:11" x14ac:dyDescent="0.25">
      <c r="A57" t="s">
        <v>105</v>
      </c>
      <c r="B57">
        <v>155.9</v>
      </c>
      <c r="C57">
        <v>152.9</v>
      </c>
      <c r="D57">
        <v>157.6</v>
      </c>
      <c r="E57">
        <v>162.4</v>
      </c>
      <c r="H57" s="32" t="s">
        <v>170</v>
      </c>
      <c r="I57" s="32" t="s">
        <v>145</v>
      </c>
      <c r="J57" s="32" t="s">
        <v>146</v>
      </c>
      <c r="K57" s="32" t="s">
        <v>147</v>
      </c>
    </row>
    <row r="58" spans="1:11" x14ac:dyDescent="0.25">
      <c r="A58" t="s">
        <v>119</v>
      </c>
      <c r="B58">
        <v>155</v>
      </c>
      <c r="C58">
        <v>152.69999999999999</v>
      </c>
      <c r="D58">
        <v>156.9</v>
      </c>
      <c r="E58">
        <v>153.9</v>
      </c>
      <c r="H58" t="s">
        <v>168</v>
      </c>
      <c r="I58">
        <v>0.29299999999999998</v>
      </c>
      <c r="J58">
        <v>0.29299999999999998</v>
      </c>
      <c r="K58">
        <v>0.35</v>
      </c>
    </row>
    <row r="59" spans="1:11" x14ac:dyDescent="0.25">
      <c r="B59">
        <f>B52</f>
        <v>160</v>
      </c>
      <c r="C59">
        <f>C52</f>
        <v>153.69999999999999</v>
      </c>
      <c r="D59">
        <f>D52</f>
        <v>163.1</v>
      </c>
      <c r="E59">
        <f>E52</f>
        <v>206.9</v>
      </c>
      <c r="H59" t="s">
        <v>169</v>
      </c>
      <c r="I59">
        <v>169.8</v>
      </c>
      <c r="J59">
        <v>166</v>
      </c>
      <c r="K59">
        <v>111.8</v>
      </c>
    </row>
    <row r="60" spans="1:11" ht="19" thickBot="1" x14ac:dyDescent="0.3">
      <c r="A60" t="s">
        <v>106</v>
      </c>
      <c r="C60">
        <v>152.69999999999999</v>
      </c>
    </row>
    <row r="61" spans="1:11" x14ac:dyDescent="0.25">
      <c r="A61" t="s">
        <v>95</v>
      </c>
      <c r="C61">
        <v>152.9</v>
      </c>
      <c r="G61" s="1" t="s">
        <v>170</v>
      </c>
      <c r="H61" s="2" t="s">
        <v>84</v>
      </c>
      <c r="I61" s="2" t="s">
        <v>84</v>
      </c>
      <c r="J61" s="2" t="s">
        <v>85</v>
      </c>
      <c r="K61" s="3" t="s">
        <v>86</v>
      </c>
    </row>
    <row r="62" spans="1:11" x14ac:dyDescent="0.25">
      <c r="A62" t="s">
        <v>96</v>
      </c>
      <c r="C62">
        <v>153</v>
      </c>
      <c r="G62" t="s">
        <v>171</v>
      </c>
      <c r="H62">
        <f>(202-211.4)/(211.4)</f>
        <v>-4.4465468306527936E-2</v>
      </c>
      <c r="I62">
        <f>(187-211.4)/(211.4)</f>
        <v>-0.1154210028382214</v>
      </c>
      <c r="J62">
        <f>(177-215.3)/(215.3)</f>
        <v>-0.17789131444496056</v>
      </c>
      <c r="K62">
        <f>(84-100.6)/(100.6)</f>
        <v>-0.16500994035785282</v>
      </c>
    </row>
    <row r="63" spans="1:11" x14ac:dyDescent="0.25">
      <c r="A63" t="s">
        <v>97</v>
      </c>
      <c r="C63">
        <v>153.19999999999999</v>
      </c>
    </row>
    <row r="64" spans="1:11" x14ac:dyDescent="0.25">
      <c r="A64" t="s">
        <v>98</v>
      </c>
      <c r="C64">
        <v>153.30000000000001</v>
      </c>
    </row>
    <row r="65" spans="1:5" x14ac:dyDescent="0.25">
      <c r="A65" t="s">
        <v>99</v>
      </c>
      <c r="C65">
        <v>153.5</v>
      </c>
    </row>
    <row r="66" spans="1:5" x14ac:dyDescent="0.25">
      <c r="A66" t="s">
        <v>100</v>
      </c>
      <c r="C66">
        <v>153.6</v>
      </c>
    </row>
    <row r="67" spans="1:5" x14ac:dyDescent="0.25">
      <c r="A67" t="s">
        <v>101</v>
      </c>
      <c r="C67">
        <v>153.5</v>
      </c>
    </row>
    <row r="68" spans="1:5" x14ac:dyDescent="0.25">
      <c r="A68" t="s">
        <v>102</v>
      </c>
      <c r="C68">
        <v>153.4</v>
      </c>
    </row>
    <row r="69" spans="1:5" x14ac:dyDescent="0.25">
      <c r="A69" t="s">
        <v>103</v>
      </c>
      <c r="C69">
        <v>153.19999999999999</v>
      </c>
    </row>
    <row r="70" spans="1:5" x14ac:dyDescent="0.25">
      <c r="A70" t="s">
        <v>104</v>
      </c>
      <c r="C70">
        <v>153.1</v>
      </c>
    </row>
    <row r="71" spans="1:5" x14ac:dyDescent="0.25">
      <c r="A71" t="s">
        <v>105</v>
      </c>
      <c r="C71">
        <v>153</v>
      </c>
    </row>
    <row r="72" spans="1:5" x14ac:dyDescent="0.25">
      <c r="A72" t="s">
        <v>119</v>
      </c>
      <c r="C72">
        <v>152.80000000000001</v>
      </c>
    </row>
    <row r="73" spans="1:5" x14ac:dyDescent="0.25">
      <c r="C73">
        <f>C66</f>
        <v>153.6</v>
      </c>
    </row>
    <row r="74" spans="1:5" ht="19" thickBot="1" x14ac:dyDescent="0.3">
      <c r="A74" t="s">
        <v>107</v>
      </c>
      <c r="B74">
        <f>SUM(B18:B73)</f>
        <v>6618.4</v>
      </c>
      <c r="C74">
        <f>SUM(C32:C73)</f>
        <v>6436.5999999999995</v>
      </c>
      <c r="D74">
        <f>SUM(D18:D59)</f>
        <v>6699.9999999999991</v>
      </c>
      <c r="E74">
        <f>SUM(E18:E59)</f>
        <v>7569.329999999999</v>
      </c>
    </row>
    <row r="75" spans="1:5" ht="19" thickBot="1" x14ac:dyDescent="0.3">
      <c r="A75" s="35" t="s">
        <v>108</v>
      </c>
      <c r="B75" s="16">
        <f>B74/6</f>
        <v>1103.0666666666666</v>
      </c>
      <c r="C75" s="16">
        <f>C74/6</f>
        <v>1072.7666666666667</v>
      </c>
      <c r="D75" s="16">
        <f>D74/6</f>
        <v>1116.6666666666665</v>
      </c>
      <c r="E75" s="17">
        <f>E74/6</f>
        <v>1261.5549999999998</v>
      </c>
    </row>
    <row r="77" spans="1:5" x14ac:dyDescent="0.25">
      <c r="A77" t="s">
        <v>109</v>
      </c>
      <c r="B77">
        <v>912.1</v>
      </c>
      <c r="C77">
        <v>912.5</v>
      </c>
      <c r="D77">
        <v>911.5</v>
      </c>
      <c r="E77">
        <v>909.5</v>
      </c>
    </row>
    <row r="78" spans="1:5" x14ac:dyDescent="0.25">
      <c r="A78" t="s">
        <v>110</v>
      </c>
      <c r="B78">
        <v>912.3</v>
      </c>
      <c r="C78">
        <v>913.1</v>
      </c>
      <c r="D78">
        <v>911</v>
      </c>
      <c r="E78">
        <v>909</v>
      </c>
    </row>
    <row r="79" spans="1:5" ht="19" thickBot="1" x14ac:dyDescent="0.3">
      <c r="A79" t="s">
        <v>111</v>
      </c>
      <c r="B79">
        <v>912.4</v>
      </c>
      <c r="C79">
        <v>912.9</v>
      </c>
      <c r="D79">
        <v>911.3</v>
      </c>
      <c r="E79">
        <v>909.1</v>
      </c>
    </row>
    <row r="80" spans="1:5" ht="19" thickBot="1" x14ac:dyDescent="0.3">
      <c r="A80" s="35" t="s">
        <v>144</v>
      </c>
      <c r="B80" s="16">
        <f>AVERAGE(B77:B79)*10^-3</f>
        <v>0.91226666666666678</v>
      </c>
      <c r="C80" s="16">
        <f t="shared" ref="C80:E80" si="20">AVERAGE(C77:C79)*10^-3</f>
        <v>0.91283333333333339</v>
      </c>
      <c r="D80" s="16">
        <f t="shared" si="20"/>
        <v>0.91126666666666678</v>
      </c>
      <c r="E80" s="16">
        <f t="shared" si="20"/>
        <v>0.9091999999999999</v>
      </c>
    </row>
    <row r="82" spans="1:5" x14ac:dyDescent="0.25">
      <c r="A82" t="s">
        <v>120</v>
      </c>
      <c r="B82">
        <v>400.9</v>
      </c>
    </row>
    <row r="83" spans="1:5" x14ac:dyDescent="0.25">
      <c r="A83" t="s">
        <v>121</v>
      </c>
      <c r="B83">
        <v>400.3</v>
      </c>
    </row>
    <row r="84" spans="1:5" ht="19" thickBot="1" x14ac:dyDescent="0.3">
      <c r="A84" t="s">
        <v>122</v>
      </c>
      <c r="B84">
        <v>400.6</v>
      </c>
    </row>
    <row r="85" spans="1:5" ht="19" thickBot="1" x14ac:dyDescent="0.3">
      <c r="A85" s="35" t="s">
        <v>123</v>
      </c>
      <c r="B85" s="36">
        <f>AVERAGE(B82:B84)*10^-3</f>
        <v>0.40060000000000007</v>
      </c>
      <c r="C85" s="36"/>
      <c r="D85" s="36"/>
      <c r="E85" s="37"/>
    </row>
    <row r="86" spans="1:5" ht="19" thickBot="1" x14ac:dyDescent="0.3"/>
    <row r="87" spans="1:5" ht="19" thickBot="1" x14ac:dyDescent="0.3">
      <c r="A87" s="35" t="s">
        <v>124</v>
      </c>
      <c r="B87" s="17">
        <v>9.7978871999999999</v>
      </c>
    </row>
    <row r="89" spans="1:5" x14ac:dyDescent="0.25">
      <c r="A89" t="s">
        <v>139</v>
      </c>
      <c r="B89" s="34">
        <v>3.6</v>
      </c>
      <c r="C89" s="34"/>
      <c r="D89" s="34"/>
      <c r="E89" s="34"/>
    </row>
    <row r="90" spans="1:5" x14ac:dyDescent="0.25">
      <c r="A90" t="s">
        <v>140</v>
      </c>
      <c r="B90" s="34">
        <v>3.63</v>
      </c>
      <c r="C90" s="34"/>
      <c r="D90" s="34"/>
      <c r="E90" s="34"/>
    </row>
    <row r="91" spans="1:5" ht="19" thickBot="1" x14ac:dyDescent="0.3">
      <c r="A91" t="s">
        <v>141</v>
      </c>
      <c r="B91" s="34">
        <v>3.65</v>
      </c>
      <c r="C91" s="34"/>
      <c r="D91" s="34"/>
      <c r="E91" s="34"/>
    </row>
    <row r="92" spans="1:5" ht="19" thickBot="1" x14ac:dyDescent="0.3">
      <c r="A92" s="35" t="s">
        <v>143</v>
      </c>
      <c r="B92" s="36">
        <f>AVERAGE(B89:E91)*10^-2</f>
        <v>3.6266666666666669E-2</v>
      </c>
      <c r="C92" s="36"/>
      <c r="D92" s="36"/>
      <c r="E92" s="37"/>
    </row>
  </sheetData>
  <mergeCells count="11">
    <mergeCell ref="B89:E89"/>
    <mergeCell ref="B90:E90"/>
    <mergeCell ref="B92:E92"/>
    <mergeCell ref="B91:E91"/>
    <mergeCell ref="B15:E15"/>
    <mergeCell ref="B85:E85"/>
    <mergeCell ref="B10:E10"/>
    <mergeCell ref="B11:E11"/>
    <mergeCell ref="B12:E12"/>
    <mergeCell ref="B13:E13"/>
    <mergeCell ref="B14:E14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22" sqref="E22"/>
    </sheetView>
  </sheetViews>
  <sheetFormatPr baseColWidth="12" defaultRowHeight="18" x14ac:dyDescent="0.25"/>
  <cols>
    <col min="1" max="1" width="21.6640625" bestFit="1" customWidth="1"/>
    <col min="2" max="5" width="15.1640625" bestFit="1" customWidth="1"/>
  </cols>
  <sheetData>
    <row r="1" spans="1:6" x14ac:dyDescent="0.25">
      <c r="A1" t="s">
        <v>160</v>
      </c>
    </row>
    <row r="2" spans="1:6" x14ac:dyDescent="0.25">
      <c r="B2" t="s">
        <v>84</v>
      </c>
      <c r="C2" t="s">
        <v>84</v>
      </c>
      <c r="D2" t="s">
        <v>85</v>
      </c>
      <c r="E2" t="s">
        <v>86</v>
      </c>
    </row>
    <row r="3" spans="1:6" x14ac:dyDescent="0.25">
      <c r="A3" s="6" t="s">
        <v>124</v>
      </c>
      <c r="B3" s="43">
        <v>9.7978871999999999</v>
      </c>
      <c r="C3" s="42"/>
      <c r="D3" s="42"/>
      <c r="E3" s="42"/>
    </row>
    <row r="4" spans="1:6" x14ac:dyDescent="0.25">
      <c r="A4" t="s">
        <v>142</v>
      </c>
      <c r="B4" s="42">
        <v>3.6266666666666669E-2</v>
      </c>
      <c r="C4" s="42"/>
      <c r="D4" s="42"/>
      <c r="E4" s="42"/>
    </row>
    <row r="5" spans="1:6" x14ac:dyDescent="0.25">
      <c r="A5" t="s">
        <v>123</v>
      </c>
      <c r="B5" s="42">
        <v>0.40060000000000007</v>
      </c>
      <c r="C5" s="42"/>
      <c r="D5" s="42"/>
      <c r="E5" s="42"/>
    </row>
    <row r="6" spans="1:6" x14ac:dyDescent="0.25">
      <c r="A6" t="s">
        <v>144</v>
      </c>
      <c r="B6" s="42">
        <v>0.91226666666666678</v>
      </c>
      <c r="C6" s="42">
        <v>0.91283333333333339</v>
      </c>
      <c r="D6" s="42">
        <v>0.91126666666666678</v>
      </c>
      <c r="E6" s="42">
        <v>0.9091999999999999</v>
      </c>
    </row>
    <row r="7" spans="1:6" x14ac:dyDescent="0.25">
      <c r="A7" t="s">
        <v>154</v>
      </c>
      <c r="B7" s="42">
        <v>7.9333333333333339E-3</v>
      </c>
      <c r="C7" s="42">
        <v>1.8866666666666667E-2</v>
      </c>
      <c r="D7" s="42">
        <v>8.0333333333333333E-3</v>
      </c>
      <c r="E7" s="42">
        <v>5.0499999999999998E-3</v>
      </c>
    </row>
    <row r="8" spans="1:6" x14ac:dyDescent="0.25">
      <c r="A8" t="s">
        <v>155</v>
      </c>
      <c r="B8" s="42">
        <v>1.8866666666666667E-2</v>
      </c>
      <c r="C8" s="42">
        <v>7.9333333333333339E-3</v>
      </c>
      <c r="D8" s="42">
        <v>1.5916666666666666E-2</v>
      </c>
      <c r="E8" s="42">
        <v>1.5916666666666666E-2</v>
      </c>
    </row>
    <row r="9" spans="1:6" x14ac:dyDescent="0.25">
      <c r="A9" t="s">
        <v>156</v>
      </c>
      <c r="B9" s="42">
        <f>B7/B8</f>
        <v>0.42049469964664316</v>
      </c>
      <c r="C9" s="42">
        <f t="shared" ref="C9:E9" si="0">C7/C8</f>
        <v>2.3781512605042017</v>
      </c>
      <c r="D9" s="42">
        <f t="shared" si="0"/>
        <v>0.50471204188481678</v>
      </c>
      <c r="E9" s="42">
        <f t="shared" si="0"/>
        <v>0.31727748691099478</v>
      </c>
    </row>
    <row r="14" spans="1:6" x14ac:dyDescent="0.25">
      <c r="E14" s="6"/>
      <c r="F14" s="6"/>
    </row>
    <row r="15" spans="1:6" x14ac:dyDescent="0.25">
      <c r="A15" t="s">
        <v>161</v>
      </c>
    </row>
    <row r="16" spans="1:6" x14ac:dyDescent="0.25">
      <c r="A16" t="s">
        <v>87</v>
      </c>
      <c r="B16" s="34">
        <f>10^-6</f>
        <v>9.9999999999999995E-7</v>
      </c>
      <c r="C16" s="34"/>
      <c r="D16" s="34"/>
      <c r="E16" s="34"/>
    </row>
    <row r="17" spans="1:5" x14ac:dyDescent="0.25">
      <c r="A17" t="s">
        <v>88</v>
      </c>
      <c r="B17" s="34">
        <f>10^-4</f>
        <v>1E-4</v>
      </c>
      <c r="C17" s="34"/>
      <c r="D17" s="34"/>
      <c r="E17" s="34"/>
    </row>
    <row r="18" spans="1:5" x14ac:dyDescent="0.25">
      <c r="A18" t="s">
        <v>89</v>
      </c>
      <c r="B18" s="34">
        <f>10^-4</f>
        <v>1E-4</v>
      </c>
      <c r="C18" s="34"/>
      <c r="D18" s="34"/>
      <c r="E18" s="34"/>
    </row>
    <row r="19" spans="1:5" x14ac:dyDescent="0.25">
      <c r="A19" t="s">
        <v>90</v>
      </c>
      <c r="B19" s="34">
        <f>10^-6</f>
        <v>9.9999999999999995E-7</v>
      </c>
      <c r="C19" s="34"/>
      <c r="D19" s="34"/>
      <c r="E19" s="34"/>
    </row>
    <row r="20" spans="1:5" x14ac:dyDescent="0.25">
      <c r="A20" t="s">
        <v>91</v>
      </c>
      <c r="B20" s="34">
        <f>10^-6</f>
        <v>9.9999999999999995E-7</v>
      </c>
      <c r="C20" s="34"/>
      <c r="D20" s="34"/>
      <c r="E20" s="34"/>
    </row>
    <row r="21" spans="1:5" x14ac:dyDescent="0.25">
      <c r="A21" t="s">
        <v>92</v>
      </c>
      <c r="B21" s="34">
        <f>10^-4</f>
        <v>1E-4</v>
      </c>
      <c r="C21" s="34"/>
      <c r="D21" s="34"/>
      <c r="E21" s="34"/>
    </row>
    <row r="22" spans="1:5" x14ac:dyDescent="0.25">
      <c r="A22" t="s">
        <v>94</v>
      </c>
      <c r="B22">
        <v>0.1</v>
      </c>
    </row>
  </sheetData>
  <mergeCells count="6">
    <mergeCell ref="B20:E20"/>
    <mergeCell ref="B21:E21"/>
    <mergeCell ref="B16:E16"/>
    <mergeCell ref="B17:E17"/>
    <mergeCell ref="B18:E18"/>
    <mergeCell ref="B19:E1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銅</vt:lpstr>
      <vt:lpstr>炭素強化</vt:lpstr>
      <vt:lpstr>ステンレス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獄門島信者右衛門</dc:creator>
  <cp:lastModifiedBy>Microsoft Office ユーザー</cp:lastModifiedBy>
  <dcterms:created xsi:type="dcterms:W3CDTF">2016-06-03T05:51:25Z</dcterms:created>
  <dcterms:modified xsi:type="dcterms:W3CDTF">2017-12-21T13:10:50Z</dcterms:modified>
</cp:coreProperties>
</file>