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mc:AlternateContent xmlns:mc="http://schemas.openxmlformats.org/markup-compatibility/2006">
    <mc:Choice Requires="x15">
      <x15ac:absPath xmlns:x15ac="http://schemas.microsoft.com/office/spreadsheetml/2010/11/ac" url="C:\Users\arimb\Documents\Robotics\"/>
    </mc:Choice>
  </mc:AlternateContent>
  <bookViews>
    <workbookView xWindow="0" yWindow="0" windowWidth="12264" windowHeight="9360"/>
  </bookViews>
  <sheets>
    <sheet name="README" sheetId="15" r:id="rId1"/>
    <sheet name="Drivetrain" sheetId="14" r:id="rId2"/>
    <sheet name="MechanismRatio" sheetId="2" r:id="rId3"/>
    <sheet name="ChainBelt" sheetId="1" r:id="rId4"/>
    <sheet name="GearSize" sheetId="3" r:id="rId5"/>
    <sheet name="Pneumatics" sheetId="6" r:id="rId6"/>
    <sheet name="UsefulValues" sheetId="5" r:id="rId7"/>
  </sheets>
  <externalReferences>
    <externalReference r:id="rId8"/>
  </externalReferences>
  <definedNames>
    <definedName name="initial2CIM">[1]DATA!$B$66:$D$67</definedName>
    <definedName name="initial2CIMchoice">[1]DATA!$B$66:$B$67</definedName>
    <definedName name="initial3CIM">[1]DATA!$B$48:$D$49</definedName>
    <definedName name="initial3CIMchoice">[1]DATA!$B$48:$B$49</definedName>
    <definedName name="lowgear3CIM">[1]DATA!$B$53:$D$55</definedName>
    <definedName name="lowgear3CIMchoice">[1]DATA!$B$53:$B$55</definedName>
    <definedName name="Motor">[1]DATA!$J$5:$N$13</definedName>
    <definedName name="MotorChoice">[1]DATA!$J$5:$J$13</definedName>
    <definedName name="Motors">[1]DATA!$B$5:$B$20</definedName>
    <definedName name="MotorTwo">[1]DATA!$J$16:$N$20</definedName>
    <definedName name="MotorTwochoice">[1]DATA!$J$16:$J$20</definedName>
    <definedName name="Specs">[1]DATA!$B$4:$G$20</definedName>
    <definedName name="SSDR">[1]DATA!$B$75:$D$77</definedName>
    <definedName name="SSDRchoice">[1]DATA!$B$75:$B$77</definedName>
    <definedName name="thirdstage2CIM">[1]DATA!$B$69:$D$73</definedName>
    <definedName name="thirdstage2CIMchoice">[1]DATA!$B$69:$B$73</definedName>
    <definedName name="thirdstage3CIM">[1]DATA!$B$57:$D$61</definedName>
    <definedName name="thirdstage3CIMchoice">[1]DATA!$B$57:$B$61</definedName>
    <definedName name="WCPDShighgear">[1]DATA!$B$40:$D$42</definedName>
    <definedName name="WCPDShighgearchoice">[1]DATA!$B$40:$B$42</definedName>
    <definedName name="WCPDSinput">[1]DATA!$B$28:$D$33</definedName>
    <definedName name="WCPDSinputchoice">[1]DATA!$B$28:$B$33</definedName>
    <definedName name="WCPDSlowgear">[1]DATA!$B$36:$D$37</definedName>
    <definedName name="WCPDSlowgearchoice">[1]DATA!$B$36:$B$37</definedName>
    <definedName name="WCPSSinput">[1]DATA!$B$82:$D$85</definedName>
    <definedName name="WCPSSinputchoice">[1]DATA!$B$82:$B$85</definedName>
    <definedName name="WCPSSsecond">[1]DATA!$B$88:$D$92</definedName>
    <definedName name="WCPSSsecondchoice">[1]DATA!$B$88:$B$92</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6" i="2" l="1"/>
  <c r="H10" i="2" s="1"/>
  <c r="E15" i="2"/>
  <c r="L7" i="2" s="1"/>
  <c r="C15" i="2"/>
  <c r="G10" i="2"/>
  <c r="G9" i="2"/>
  <c r="G8" i="2"/>
  <c r="H5" i="2" l="1"/>
  <c r="J8" i="2"/>
  <c r="K9" i="2"/>
  <c r="J10" i="2"/>
  <c r="J6" i="14" l="1"/>
  <c r="J7" i="14"/>
  <c r="J8" i="14"/>
  <c r="J5" i="14"/>
  <c r="C9" i="3"/>
  <c r="C11" i="3" s="1"/>
  <c r="J4" i="14"/>
  <c r="C10" i="3" l="1"/>
  <c r="H9" i="14" l="1"/>
  <c r="K23" i="14" s="1"/>
  <c r="K19" i="14" s="1"/>
  <c r="K20" i="14" s="1"/>
  <c r="L20" i="14"/>
  <c r="L19" i="14"/>
  <c r="H22" i="14"/>
  <c r="L14" i="14"/>
  <c r="L13" i="14"/>
  <c r="E18" i="14"/>
  <c r="E20" i="14"/>
  <c r="D8" i="14"/>
  <c r="E8" i="14" s="1"/>
  <c r="D7" i="14"/>
  <c r="E7" i="14" s="1"/>
  <c r="D6" i="14"/>
  <c r="E6" i="14" s="1"/>
  <c r="D5" i="14"/>
  <c r="E5" i="14" s="1"/>
  <c r="D5" i="2"/>
  <c r="K21" i="14" l="1"/>
  <c r="E9" i="14"/>
  <c r="H15" i="14"/>
  <c r="K24" i="14" s="1"/>
  <c r="D9" i="14"/>
  <c r="D15" i="3"/>
  <c r="D14" i="3"/>
  <c r="D11" i="3"/>
  <c r="D10" i="3"/>
  <c r="N8" i="6"/>
  <c r="O8" i="6"/>
  <c r="P8" i="6"/>
  <c r="M8" i="6"/>
  <c r="D15" i="6"/>
  <c r="E15" i="6"/>
  <c r="F15" i="6"/>
  <c r="G15" i="6"/>
  <c r="H15" i="6"/>
  <c r="I15" i="6"/>
  <c r="J15" i="6"/>
  <c r="C15" i="6"/>
  <c r="D11" i="6"/>
  <c r="E11" i="6"/>
  <c r="F11" i="6"/>
  <c r="G11" i="6"/>
  <c r="H11" i="6"/>
  <c r="I11" i="6"/>
  <c r="J11" i="6"/>
  <c r="C11" i="6"/>
  <c r="M13" i="6"/>
  <c r="D17" i="6"/>
  <c r="E17" i="6"/>
  <c r="E20" i="6" s="1"/>
  <c r="F17" i="6"/>
  <c r="G17" i="6"/>
  <c r="H17" i="6"/>
  <c r="H20" i="6" s="1"/>
  <c r="I17" i="6"/>
  <c r="I20" i="6" s="1"/>
  <c r="J17" i="6"/>
  <c r="J20" i="6" s="1"/>
  <c r="D14" i="6"/>
  <c r="E14" i="6"/>
  <c r="F14" i="6"/>
  <c r="G14" i="6"/>
  <c r="H14" i="6"/>
  <c r="I14" i="6"/>
  <c r="J14" i="6"/>
  <c r="C14" i="6"/>
  <c r="D10" i="6"/>
  <c r="E10" i="6"/>
  <c r="F10" i="6"/>
  <c r="G10" i="6"/>
  <c r="H10" i="6"/>
  <c r="I10" i="6"/>
  <c r="J10" i="6"/>
  <c r="C10" i="6"/>
  <c r="C17" i="6"/>
  <c r="C20" i="6" s="1"/>
  <c r="K15" i="14" l="1"/>
  <c r="K13" i="14"/>
  <c r="K14" i="14" s="1"/>
  <c r="M9" i="6"/>
  <c r="M15" i="6" s="1"/>
  <c r="G20" i="6"/>
  <c r="G21" i="6" s="1"/>
  <c r="J21" i="6"/>
  <c r="F20" i="6"/>
  <c r="F21" i="6" s="1"/>
  <c r="D20" i="6"/>
  <c r="D21" i="6" s="1"/>
  <c r="I21" i="6"/>
  <c r="H21" i="6"/>
  <c r="E21" i="6"/>
  <c r="C21" i="6"/>
  <c r="D8" i="2"/>
  <c r="E8" i="2" s="1"/>
  <c r="D7" i="2"/>
  <c r="E7" i="2" s="1"/>
  <c r="D6" i="2"/>
  <c r="E6" i="2" s="1"/>
  <c r="AC5" i="5"/>
  <c r="AC6" i="5"/>
  <c r="AC7" i="5"/>
  <c r="AC8" i="5"/>
  <c r="AC9" i="5"/>
  <c r="AC10" i="5"/>
  <c r="AC11" i="5"/>
  <c r="AC12" i="5"/>
  <c r="AC13" i="5"/>
  <c r="AC14" i="5"/>
  <c r="AC15" i="5"/>
  <c r="AC16" i="5"/>
  <c r="AC17" i="5"/>
  <c r="AC18" i="5"/>
  <c r="AC19" i="5"/>
  <c r="AC20" i="5"/>
  <c r="AC21" i="5"/>
  <c r="AC22" i="5"/>
  <c r="C16" i="2"/>
  <c r="C23" i="6" l="1"/>
  <c r="D9" i="2"/>
  <c r="C13" i="3"/>
  <c r="P5" i="2"/>
  <c r="P10" i="2" s="1"/>
  <c r="N5" i="2"/>
  <c r="N10" i="2" s="1"/>
  <c r="O5" i="2"/>
  <c r="O10" i="2" s="1"/>
  <c r="J11" i="2"/>
  <c r="M5" i="2"/>
  <c r="M10" i="2" s="1"/>
  <c r="H11" i="2"/>
  <c r="I5" i="2"/>
  <c r="I10" i="2" s="1"/>
  <c r="E5" i="2"/>
  <c r="L5" i="2" s="1"/>
  <c r="L10" i="2" s="1"/>
  <c r="B22" i="1"/>
  <c r="L11" i="2" l="1"/>
  <c r="C15" i="3"/>
  <c r="C14" i="3"/>
  <c r="H6" i="2"/>
  <c r="E9" i="2"/>
  <c r="O6" i="2"/>
  <c r="O8" i="2" s="1"/>
  <c r="N6" i="2"/>
  <c r="N8" i="2" s="1"/>
  <c r="P6" i="2"/>
  <c r="P8" i="2" s="1"/>
  <c r="M6" i="2"/>
  <c r="M8" i="2" s="1"/>
  <c r="J6" i="2"/>
  <c r="I6" i="2"/>
  <c r="I8" i="2" s="1"/>
  <c r="L6" i="2"/>
  <c r="L8" i="2" s="1"/>
  <c r="I11" i="2"/>
  <c r="K5" i="2"/>
  <c r="K10" i="2" s="1"/>
  <c r="I7" i="2" l="1"/>
  <c r="I9" i="2" s="1"/>
  <c r="M7" i="2"/>
  <c r="M9" i="2" s="1"/>
  <c r="O7" i="2"/>
  <c r="O9" i="2" s="1"/>
  <c r="P7" i="2"/>
  <c r="P9" i="2" s="1"/>
  <c r="N7" i="2"/>
  <c r="N9" i="2" s="1"/>
  <c r="H7" i="2"/>
  <c r="H9" i="2" s="1"/>
  <c r="H8" i="2"/>
  <c r="J7" i="2"/>
  <c r="J9" i="2" s="1"/>
  <c r="K11" i="2"/>
  <c r="K6" i="2"/>
  <c r="K8" i="2" s="1"/>
  <c r="C10" i="1"/>
  <c r="C7" i="1"/>
  <c r="D22" i="1" l="1"/>
  <c r="C22" i="1"/>
  <c r="E22" i="1" l="1"/>
  <c r="F22" i="1" l="1"/>
  <c r="G22" i="1" s="1"/>
  <c r="F23" i="1" l="1"/>
  <c r="F24" i="1" s="1"/>
  <c r="F25" i="1" s="1"/>
  <c r="F26" i="1" s="1"/>
  <c r="B23" i="1"/>
  <c r="C23" i="1" l="1"/>
  <c r="D23" i="1"/>
  <c r="F27" i="1"/>
  <c r="F28" i="1" s="1"/>
  <c r="E23" i="1" l="1"/>
  <c r="G23" i="1" s="1"/>
  <c r="H23" i="1" s="1"/>
  <c r="B24" i="1" s="1"/>
  <c r="D24" i="1" s="1"/>
  <c r="C24" i="1" l="1"/>
  <c r="E24" i="1" l="1"/>
  <c r="G24" i="1" s="1"/>
  <c r="H24" i="1" s="1"/>
  <c r="B25" i="1" s="1"/>
  <c r="D25" i="1" s="1"/>
  <c r="C25" i="1" l="1"/>
  <c r="E25" i="1" s="1"/>
  <c r="G25" i="1" s="1"/>
  <c r="H25" i="1" s="1"/>
  <c r="B26" i="1" l="1"/>
  <c r="D26" i="1" s="1"/>
  <c r="C26" i="1" l="1"/>
  <c r="E26" i="1" s="1"/>
  <c r="G26" i="1" s="1"/>
  <c r="H26" i="1" l="1"/>
  <c r="B27" i="1" s="1"/>
  <c r="D27" i="1" s="1"/>
  <c r="C27" i="1" l="1"/>
  <c r="E27" i="1" l="1"/>
  <c r="G27" i="1" s="1"/>
  <c r="H27" i="1" l="1"/>
  <c r="B28" i="1" s="1"/>
  <c r="D28" i="1" s="1"/>
  <c r="C28" i="1" l="1"/>
  <c r="C16" i="1"/>
  <c r="C19" i="1" s="1"/>
  <c r="E28" i="1" l="1"/>
  <c r="G28" i="1" s="1"/>
  <c r="H28" i="1" s="1"/>
  <c r="C18" i="1" l="1"/>
  <c r="C17" i="1"/>
</calcChain>
</file>

<file path=xl/sharedStrings.xml><?xml version="1.0" encoding="utf-8"?>
<sst xmlns="http://schemas.openxmlformats.org/spreadsheetml/2006/main" count="410" uniqueCount="358">
  <si>
    <t>Pitch</t>
  </si>
  <si>
    <t># Teeth 1</t>
  </si>
  <si>
    <t># Teeth 2</t>
  </si>
  <si>
    <t>Round Type</t>
  </si>
  <si>
    <t>Modulus</t>
  </si>
  <si>
    <t>Chain Length</t>
  </si>
  <si>
    <t># Links/Teeth</t>
  </si>
  <si>
    <t>Clearance</t>
  </si>
  <si>
    <t>a</t>
  </si>
  <si>
    <t>L</t>
  </si>
  <si>
    <t>target</t>
  </si>
  <si>
    <t>y</t>
  </si>
  <si>
    <r>
      <rPr>
        <sz val="10"/>
        <rFont val="Symbol"/>
        <family val="1"/>
        <charset val="2"/>
      </rPr>
      <t>D</t>
    </r>
    <r>
      <rPr>
        <sz val="11"/>
        <color theme="1"/>
        <rFont val="Calibri"/>
        <family val="2"/>
        <scheme val="minor"/>
      </rPr>
      <t>y/</t>
    </r>
    <r>
      <rPr>
        <sz val="10"/>
        <rFont val="Symbol"/>
        <family val="1"/>
        <charset val="2"/>
      </rPr>
      <t>D</t>
    </r>
    <r>
      <rPr>
        <sz val="11"/>
        <color theme="1"/>
        <rFont val="Calibri"/>
        <family val="2"/>
        <scheme val="minor"/>
      </rPr>
      <t>x</t>
    </r>
  </si>
  <si>
    <t>Up</t>
  </si>
  <si>
    <t># links</t>
  </si>
  <si>
    <t>D</t>
  </si>
  <si>
    <r>
      <t>D</t>
    </r>
    <r>
      <rPr>
        <vertAlign val="subscript"/>
        <sz val="11"/>
        <color theme="1"/>
        <rFont val="Calibri"/>
        <family val="2"/>
        <scheme val="minor"/>
      </rPr>
      <t>Estimated)</t>
    </r>
  </si>
  <si>
    <r>
      <t>D</t>
    </r>
    <r>
      <rPr>
        <vertAlign val="subscript"/>
        <sz val="11"/>
        <color theme="1"/>
        <rFont val="Calibri"/>
        <family val="2"/>
        <scheme val="minor"/>
      </rPr>
      <t>(Actual)</t>
    </r>
  </si>
  <si>
    <t>Pitch Dia. (d1)</t>
  </si>
  <si>
    <t>Pitch Dia. (d2)</t>
  </si>
  <si>
    <t xml:space="preserve"> &lt;- Characteristic of chain/belt</t>
  </si>
  <si>
    <t xml:space="preserve"> &lt;- Approximate distance between pulley centers</t>
  </si>
  <si>
    <t xml:space="preserve"> &lt;- Effective pulley diameter</t>
  </si>
  <si>
    <t xml:space="preserve"> &lt;- Force # links to be a multiple of this number</t>
  </si>
  <si>
    <t xml:space="preserve"> &lt;- Round to nearest multiple or force rounding up or down</t>
  </si>
  <si>
    <t>Chain/Belt C-C Calculator</t>
  </si>
  <si>
    <t>Any distance unit can be used, so long as it is used consistently.</t>
  </si>
  <si>
    <t xml:space="preserve"> &lt;- Actual C-C distance</t>
  </si>
  <si>
    <t xml:space="preserve"> &lt;- Length of chain/belt</t>
  </si>
  <si>
    <t xml:space="preserve"> &lt;- # of links/teeth in the chain/belt</t>
  </si>
  <si>
    <t xml:space="preserve"> &lt;- Space between sprockets (must be positive)</t>
  </si>
  <si>
    <t>CIM</t>
  </si>
  <si>
    <t>Adjusted</t>
  </si>
  <si>
    <t>Max. Power</t>
  </si>
  <si>
    <t>Max. Eff.</t>
  </si>
  <si>
    <t>By Ratio</t>
  </si>
  <si>
    <t>Rot. Speed</t>
  </si>
  <si>
    <t>Lin. Speed</t>
  </si>
  <si>
    <t>30A</t>
  </si>
  <si>
    <t>40A</t>
  </si>
  <si>
    <t>50A</t>
  </si>
  <si>
    <t>Current</t>
  </si>
  <si>
    <t>Free Speed (RPM)</t>
  </si>
  <si>
    <t>Gear Ratio</t>
  </si>
  <si>
    <t>Stall Torque (N*m)</t>
  </si>
  <si>
    <t>Rot. Free Speed (rps)</t>
  </si>
  <si>
    <t>Stall Current (A)</t>
  </si>
  <si>
    <t>Rot. Loaded Speed (rps)</t>
  </si>
  <si>
    <t>Free Current (A)</t>
  </si>
  <si>
    <t>Power (W)</t>
  </si>
  <si>
    <t># Motors</t>
  </si>
  <si>
    <t>Voltage Applied (V)</t>
  </si>
  <si>
    <t>Gearbox Efficiency</t>
  </si>
  <si>
    <t>Metric? (put any value in the box)</t>
  </si>
  <si>
    <t>Key</t>
  </si>
  <si>
    <t xml:space="preserve"> = Input Value</t>
  </si>
  <si>
    <t xml:space="preserve"> = Calculated Value</t>
  </si>
  <si>
    <t xml:space="preserve"> = Invalid Input</t>
  </si>
  <si>
    <t>Gear Size Calculator</t>
  </si>
  <si>
    <t>Desired Ratio</t>
  </si>
  <si>
    <t>Desired Distance</t>
  </si>
  <si>
    <t>Gear Pitch</t>
  </si>
  <si>
    <t>Driving Gear</t>
  </si>
  <si>
    <t>Driven Gear</t>
  </si>
  <si>
    <t>teeth</t>
  </si>
  <si>
    <t>Pitch Diameter</t>
  </si>
  <si>
    <t>Outer Diameter</t>
  </si>
  <si>
    <t>Mini CIM</t>
  </si>
  <si>
    <t>BAG Motor</t>
  </si>
  <si>
    <t>775pro</t>
  </si>
  <si>
    <t>AM 775</t>
  </si>
  <si>
    <t>AM 9015</t>
  </si>
  <si>
    <t>BB RS-775-18</t>
  </si>
  <si>
    <t>Neverest</t>
  </si>
  <si>
    <t>Throttle Motor</t>
  </si>
  <si>
    <t>Bosch Motor</t>
  </si>
  <si>
    <t>Chain/Belt Dimensions</t>
  </si>
  <si>
    <t>#25 Chain</t>
  </si>
  <si>
    <t>Width</t>
  </si>
  <si>
    <t>Height</t>
  </si>
  <si>
    <t>#35 Chain</t>
  </si>
  <si>
    <t>5mm HTD</t>
  </si>
  <si>
    <t>3mm GT3</t>
  </si>
  <si>
    <t>6.35 [.250"]</t>
  </si>
  <si>
    <t>9.53 [.375"]</t>
  </si>
  <si>
    <t>5 [.197"]</t>
  </si>
  <si>
    <t>3 [.118"]</t>
  </si>
  <si>
    <t>3mm GT2</t>
  </si>
  <si>
    <t>9 [.354"]</t>
  </si>
  <si>
    <t>5.90 [.232"]</t>
  </si>
  <si>
    <t>8.94 [.352"]</t>
  </si>
  <si>
    <t>11.76 [.463"]</t>
  </si>
  <si>
    <t>15 [.591"]</t>
  </si>
  <si>
    <t>Gear Sizes</t>
  </si>
  <si>
    <t>.5" Hex</t>
  </si>
  <si>
    <t>.375" Hex</t>
  </si>
  <si>
    <t>18 (A&amp;S)</t>
  </si>
  <si>
    <t>20 (A&amp;S)</t>
  </si>
  <si>
    <t>22 (A&amp;S)</t>
  </si>
  <si>
    <t>24 (A&amp;S)</t>
  </si>
  <si>
    <t>26 (A&amp;S)</t>
  </si>
  <si>
    <t>28 (A&amp;S)</t>
  </si>
  <si>
    <t>30 (A&amp;S)</t>
  </si>
  <si>
    <t>32 (A&amp;S)</t>
  </si>
  <si>
    <t>48 (VK)</t>
  </si>
  <si>
    <t>54 (VK)</t>
  </si>
  <si>
    <t>60 (VK)</t>
  </si>
  <si>
    <t>66 (VK)</t>
  </si>
  <si>
    <t>70 (VK)</t>
  </si>
  <si>
    <t>14 (A&amp;S)</t>
  </si>
  <si>
    <t>16 (A&amp;S)</t>
  </si>
  <si>
    <t>Bolt Circle</t>
  </si>
  <si>
    <t>CIM Pinion</t>
  </si>
  <si>
    <t>12 (A&amp;S)</t>
  </si>
  <si>
    <t>15 (32dp)</t>
  </si>
  <si>
    <t>Ball Shifter</t>
  </si>
  <si>
    <t>Dog Shifter</t>
  </si>
  <si>
    <t>32dp</t>
  </si>
  <si>
    <t>42 (P)</t>
  </si>
  <si>
    <t>44 (P)</t>
  </si>
  <si>
    <t>54 (VK)(P)</t>
  </si>
  <si>
    <t>60 (VK)(P)</t>
  </si>
  <si>
    <t>64 (VK)(P)</t>
  </si>
  <si>
    <t>72 (VK)(P)</t>
  </si>
  <si>
    <t>84 (VK)(P)</t>
  </si>
  <si>
    <t>12 (Pinion)</t>
  </si>
  <si>
    <t>40 (A&amp;S)</t>
  </si>
  <si>
    <t>50 (A&amp;S)(VK)</t>
  </si>
  <si>
    <t>38 (A&amp;S)</t>
  </si>
  <si>
    <t>40 (A&amp;S)(P)</t>
  </si>
  <si>
    <t>56 (A&amp;S)</t>
  </si>
  <si>
    <t>48 (VK)(A&amp;S)</t>
  </si>
  <si>
    <t>48 (A&amp;S)</t>
  </si>
  <si>
    <t>50 (Steel)</t>
  </si>
  <si>
    <t>20 (32dp) (S)</t>
  </si>
  <si>
    <t>11 (S)</t>
  </si>
  <si>
    <t>28 (S)</t>
  </si>
  <si>
    <t>50 (S)</t>
  </si>
  <si>
    <t>32 (S)</t>
  </si>
  <si>
    <t>15 (S)</t>
  </si>
  <si>
    <t>13 (S)</t>
  </si>
  <si>
    <t>35 (S)</t>
  </si>
  <si>
    <t>14 (S)</t>
  </si>
  <si>
    <t>36 (S)</t>
  </si>
  <si>
    <t>34 (S)</t>
  </si>
  <si>
    <t>25 (S)</t>
  </si>
  <si>
    <t>19 (S)</t>
  </si>
  <si>
    <t>21 (S)</t>
  </si>
  <si>
    <t>17 (S)</t>
  </si>
  <si>
    <t>46 (S)</t>
  </si>
  <si>
    <t>85 (S)</t>
  </si>
  <si>
    <t>29 (S)</t>
  </si>
  <si>
    <t>52 (S)</t>
  </si>
  <si>
    <t>56 (S)</t>
  </si>
  <si>
    <t>43 (S)</t>
  </si>
  <si>
    <t>45 (S)</t>
  </si>
  <si>
    <t>60 (S)</t>
  </si>
  <si>
    <t xml:space="preserve">50 (VK)(P) </t>
  </si>
  <si>
    <t>#25 Hub</t>
  </si>
  <si>
    <t>#25 Plate</t>
  </si>
  <si>
    <t>#35 Hub</t>
  </si>
  <si>
    <t>#35 Plate</t>
  </si>
  <si>
    <t>16 (H&amp;R)</t>
  </si>
  <si>
    <t>18 (Hex)</t>
  </si>
  <si>
    <t>22 (H&amp;R)</t>
  </si>
  <si>
    <t>12 (H&amp;R)(Dual)</t>
  </si>
  <si>
    <t>5mm HTD 9</t>
  </si>
  <si>
    <t>5mm HTD 18</t>
  </si>
  <si>
    <t>18 (.5" Hex)</t>
  </si>
  <si>
    <t>36 (.5" Hex)</t>
  </si>
  <si>
    <t>24 (.5" Hex)</t>
  </si>
  <si>
    <t>30 (.5" Hex)</t>
  </si>
  <si>
    <t>60 (.5" Hex)</t>
  </si>
  <si>
    <t>48 (.5" Hex)</t>
  </si>
  <si>
    <t>3mm GT2 9</t>
  </si>
  <si>
    <t>Sprocket/Pulley Sizes</t>
  </si>
  <si>
    <t>5mm HTD 15</t>
  </si>
  <si>
    <t>(S) = Steel</t>
  </si>
  <si>
    <t>(A&amp;S) = Aluminum &amp; Steel</t>
  </si>
  <si>
    <t>18…84 even</t>
  </si>
  <si>
    <t>(P) = Pocketed Available</t>
  </si>
  <si>
    <t>(VK) = VersaKey Available</t>
  </si>
  <si>
    <t>14…54 even</t>
  </si>
  <si>
    <t>(H&amp;R) = Hex &amp; Round</t>
  </si>
  <si>
    <t>42 (VK)</t>
  </si>
  <si>
    <t>(VK) = 1.875" Bolt Circle</t>
  </si>
  <si>
    <t>KEY</t>
  </si>
  <si>
    <t>16 (.375" R)</t>
  </si>
  <si>
    <t>10 (CIM)</t>
  </si>
  <si>
    <t>16 (CIM)</t>
  </si>
  <si>
    <t>(Dual) = Dual Sprocket</t>
  </si>
  <si>
    <t>12 (H&amp;R)</t>
  </si>
  <si>
    <t>16 (H&amp;R)(Dual)</t>
  </si>
  <si>
    <t>15 (H&amp;R)</t>
  </si>
  <si>
    <t>Motor Specs</t>
  </si>
  <si>
    <t xml:space="preserve">Snowblower </t>
  </si>
  <si>
    <t>Free Speed</t>
  </si>
  <si>
    <t>Stall Torque</t>
  </si>
  <si>
    <t xml:space="preserve">Stall Current </t>
  </si>
  <si>
    <t xml:space="preserve">Free Current </t>
  </si>
  <si>
    <t>Power</t>
  </si>
  <si>
    <t>Drive Gearbox Reductions</t>
  </si>
  <si>
    <t>WCP SS</t>
  </si>
  <si>
    <t>Vex SS/SR</t>
  </si>
  <si>
    <t>Vex SS/DR</t>
  </si>
  <si>
    <t>3.67/8.33</t>
  </si>
  <si>
    <t>11.73/26.67</t>
  </si>
  <si>
    <t>9.87/20.83</t>
  </si>
  <si>
    <t>6.60/15.00</t>
  </si>
  <si>
    <t>5.39/12.26</t>
  </si>
  <si>
    <t>9.07/19.61</t>
  </si>
  <si>
    <t>9.07/24.00</t>
  </si>
  <si>
    <t>9.07/33.33</t>
  </si>
  <si>
    <t>7.08/15.32</t>
  </si>
  <si>
    <t>7.08/18.75</t>
  </si>
  <si>
    <t>7.08/26.04</t>
  </si>
  <si>
    <t>5.10/11.03</t>
  </si>
  <si>
    <t>5.10/13.50</t>
  </si>
  <si>
    <t>5.10/18.75</t>
  </si>
  <si>
    <t>4.17/9.01</t>
  </si>
  <si>
    <t>4.17/11.03</t>
  </si>
  <si>
    <t>4.17/15.32</t>
  </si>
  <si>
    <t>2.83/6.13</t>
  </si>
  <si>
    <t>2.83/7.50</t>
  </si>
  <si>
    <t>2.83/10.42</t>
  </si>
  <si>
    <t>6.25/4.40</t>
  </si>
  <si>
    <t>6.25/3.53</t>
  </si>
  <si>
    <t>6.73/4.74</t>
  </si>
  <si>
    <t>6.73/3.80</t>
  </si>
  <si>
    <t>7.29/4.12</t>
  </si>
  <si>
    <t>7.29/5.13</t>
  </si>
  <si>
    <t>7.95/4.49</t>
  </si>
  <si>
    <t>7.95/5.60</t>
  </si>
  <si>
    <t>12.86/3.53</t>
  </si>
  <si>
    <t>12.83/4.40</t>
  </si>
  <si>
    <t>12.86/6.25</t>
  </si>
  <si>
    <t>13.85/3.80</t>
  </si>
  <si>
    <t>13.85/4.74</t>
  </si>
  <si>
    <t>13.85/6.73</t>
  </si>
  <si>
    <t>15.00/4.12</t>
  </si>
  <si>
    <t>15.00/5.13</t>
  </si>
  <si>
    <t>15.00/7.29</t>
  </si>
  <si>
    <t>16.36/4.49</t>
  </si>
  <si>
    <t>16.36/7.95</t>
  </si>
  <si>
    <t>WCP DS</t>
  </si>
  <si>
    <t>EVO Shifter</t>
  </si>
  <si>
    <t>TB Micro</t>
  </si>
  <si>
    <t>TB Mini</t>
  </si>
  <si>
    <t>Toughbox</t>
  </si>
  <si>
    <t>3CIM4U</t>
  </si>
  <si>
    <t>Sonic Shifter</t>
  </si>
  <si>
    <t>11.80/30.10</t>
  </si>
  <si>
    <t>9.40/24.00</t>
  </si>
  <si>
    <t>7.50/30.10</t>
  </si>
  <si>
    <t>6.00/24.00</t>
  </si>
  <si>
    <t>2 CIM BS</t>
  </si>
  <si>
    <t>3 CIM BS</t>
  </si>
  <si>
    <t>Rocketbox</t>
  </si>
  <si>
    <t>16.36/5.60</t>
  </si>
  <si>
    <t>WCP Flip DS</t>
  </si>
  <si>
    <t xml:space="preserve"> </t>
  </si>
  <si>
    <t>Diameter (in)</t>
  </si>
  <si>
    <t>Rod Diameter (in)</t>
  </si>
  <si>
    <t>CIM + Mini</t>
  </si>
  <si>
    <t>CIM + 2 Mini</t>
  </si>
  <si>
    <t>2 CIM + Mini</t>
  </si>
  <si>
    <t>Stroke Length (in)</t>
  </si>
  <si>
    <t>No Load Push Time (s)</t>
  </si>
  <si>
    <t>No Load Pull Time (s)</t>
  </si>
  <si>
    <t>link</t>
  </si>
  <si>
    <t>Push Force (lbsf)</t>
  </si>
  <si>
    <t>Pull Force (lbsf)</t>
  </si>
  <si>
    <t># Pushes per Cycle</t>
  </si>
  <si>
    <t># Pulls per Cycle</t>
  </si>
  <si>
    <t>Time per Cycle (s)</t>
  </si>
  <si>
    <t>Push Pressure (psig)</t>
  </si>
  <si>
    <t>Pull Pressure (psig)</t>
  </si>
  <si>
    <t>Volume Rate (in3/s)</t>
  </si>
  <si>
    <t>Tank Volume (in3)</t>
  </si>
  <si>
    <t># of Tanks</t>
  </si>
  <si>
    <t>Time Spent Cycling (s)</t>
  </si>
  <si>
    <t>Total Vol. Usage (in3)</t>
  </si>
  <si>
    <t>Tank Pressure (psig)</t>
  </si>
  <si>
    <t>Compressor Flow (cfm)</t>
  </si>
  <si>
    <t>Compressor Time (s)</t>
  </si>
  <si>
    <t>Compressed Vol. (in3)</t>
  </si>
  <si>
    <t>Vol/Cycle (in3)</t>
  </si>
  <si>
    <t>Vol. Usage (in3)</t>
  </si>
  <si>
    <t>Total Available Vol. (in3)</t>
  </si>
  <si>
    <t>Solenoid Flow (cfm)</t>
  </si>
  <si>
    <t>Standard Chain Additions</t>
  </si>
  <si>
    <t>#25</t>
  </si>
  <si>
    <t>#35</t>
  </si>
  <si>
    <t>0.012"</t>
  </si>
  <si>
    <t>0.016"</t>
  </si>
  <si>
    <t>0.31mm</t>
  </si>
  <si>
    <t>0.41mm</t>
  </si>
  <si>
    <t>0"</t>
  </si>
  <si>
    <t>0mm</t>
  </si>
  <si>
    <t>Tank 1</t>
  </si>
  <si>
    <t>Tank 2</t>
  </si>
  <si>
    <t>Tank 3</t>
  </si>
  <si>
    <t>Tank 4</t>
  </si>
  <si>
    <t>Total Tanks Vol. (in3)</t>
  </si>
  <si>
    <t>Weight on Driven Wheels</t>
  </si>
  <si>
    <t>Drivetrain Calculator</t>
  </si>
  <si>
    <t>Motors per Gearbox</t>
  </si>
  <si>
    <t>Gearboxes in Drive</t>
  </si>
  <si>
    <t>Robot Weight</t>
  </si>
  <si>
    <t>Speed Loss Coefficient</t>
  </si>
  <si>
    <t>Wheel Diameter</t>
  </si>
  <si>
    <t>Wheel Friction Coeff.</t>
  </si>
  <si>
    <t>Drive Gear</t>
  </si>
  <si>
    <t xml:space="preserve">Reduction: </t>
  </si>
  <si>
    <t>Adj. Speed</t>
  </si>
  <si>
    <t>Push Current</t>
  </si>
  <si>
    <t>Wheel 2 Diameter</t>
  </si>
  <si>
    <t>Wheel 2 Friction Coeff.</t>
  </si>
  <si>
    <t>2-Speed? (put any value in the box)</t>
  </si>
  <si>
    <t>Shifter Spread</t>
  </si>
  <si>
    <t>Final Ratio</t>
  </si>
  <si>
    <t>Second Speed</t>
  </si>
  <si>
    <t>dp</t>
  </si>
  <si>
    <t>inches</t>
  </si>
  <si>
    <t>Action 1</t>
  </si>
  <si>
    <t>Action 2</t>
  </si>
  <si>
    <t>Action 3</t>
  </si>
  <si>
    <t>Action 4</t>
  </si>
  <si>
    <t>Action 5</t>
  </si>
  <si>
    <t>Action 6</t>
  </si>
  <si>
    <t>Action 7</t>
  </si>
  <si>
    <t>Action 8</t>
  </si>
  <si>
    <t>Made by Ari Meles-Braverman, FRC 5987</t>
  </si>
  <si>
    <t>Different-radius wheels?</t>
  </si>
  <si>
    <t>Drivetrain Calculator:</t>
  </si>
  <si>
    <t>Chain/Belt C-C Calculator:</t>
  </si>
  <si>
    <t>Gear Size Calculator:</t>
  </si>
  <si>
    <t xml:space="preserve">This sheet calculates the gear pair that have a given reduction and C-C distance. It also calculates the pitch and clearance diameter for both gears. </t>
  </si>
  <si>
    <t>Pneumatics Calculator:</t>
  </si>
  <si>
    <t>Pneumatics Calculator</t>
  </si>
  <si>
    <t>Useful Values:</t>
  </si>
  <si>
    <t xml:space="preserve">This sheet calculates the total volume of air used throughout the match from all of the cylinders on the robot, as well as the total volume of air stored in tanks on the robot and the total volume compressed by the compressor during the match. It also calculates the extention and retraction (pull and push) force and time for each piston. Equations partially derived from Matthew Denny's Pneumatics Worksheet. </t>
  </si>
  <si>
    <t>This sheet calculates the closest exact C-C distance for given sprocket/pulley sizes and chain pitch. Use this sheet to find the correct C-C distance for using chain/belt without a tensioner. Choose rounding type and modulus number to force rounding up or down or rounding to a multiple of given number. Equations partially derived from Clem1640's Chain/Belt Calculator.</t>
  </si>
  <si>
    <t>This sheet calculates the other characteristics of a given mechanism that satisfies a certain characteristic (e.g. gear ratio, loaded linear velocity, stall load, current per motor, etc). Use this sheet to determine the needed type and number of motors and gear ratio to give a mechanism certain characteristics. Equations partially derived from JVN's Mechanical Design Calculator and Ether's Simple Motor Calculator.</t>
  </si>
  <si>
    <t>This sheet calculates the final speed and current draw of a given drivetrain setup. Use this sheet to determine the necessary drivetrain setup that meets the characteristics that are desired. Also calculates the C-C distance for gear reductions. Suitable for 1-speed, 2-speed, different-radius wheels, and articulating drives. Equations partially dreived from JVN's Mechanical Design Calculator.</t>
  </si>
  <si>
    <t>This sheet contains useful dimensions, sizes, and specifications for FRC COTS parts. Includes belt &amp; chain dimensions; gear, sprocket, and belt sizes;  motor specifications; and COTS FRC drive gearbox reduction options. Parts listed are from VexPro, AndyMark, and West Coast Products.</t>
  </si>
  <si>
    <t>Sources:</t>
  </si>
  <si>
    <t>JVN's Mechanical Design Calculator</t>
  </si>
  <si>
    <t>Clem1640's Chain/Belt Calculator</t>
  </si>
  <si>
    <t>Ether's Simple Motor Calculator</t>
  </si>
  <si>
    <t>Matthew Denny's Pneumatics Worksheet</t>
  </si>
  <si>
    <t>AMB Design Spreadsheet</t>
  </si>
  <si>
    <t>Mechanism Gear Ratio Calculator</t>
  </si>
  <si>
    <t>Mechanism Gear Ratio Calculator:</t>
  </si>
  <si>
    <t>Amps per Motor</t>
  </si>
  <si>
    <t>Current Per Motor (A)</t>
  </si>
  <si>
    <t>-0.001"</t>
  </si>
  <si>
    <t>-0.03mm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</si>
</sst>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1"/>
    <numFmt numFmtId="166" formatCode="0.0"/>
    <numFmt numFmtId="167" formatCode="0.00\x"/>
  </numFmts>
  <fonts count="1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vertAlign val="subscript"/>
      <sz val="11"/>
      <color theme="1"/>
      <name val="Calibri"/>
      <family val="2"/>
      <scheme val="minor"/>
    </font>
    <font>
      <sz val="11"/>
      <name val="Calibri"/>
      <family val="2"/>
      <scheme val="minor"/>
    </font>
    <font>
      <sz val="10"/>
      <name val="Symbol"/>
      <family val="1"/>
      <charset val="2"/>
    </font>
    <font>
      <sz val="10"/>
      <name val="Arial"/>
      <family val="2"/>
    </font>
    <font>
      <sz val="12"/>
      <color theme="1"/>
      <name val="Calibri"/>
      <family val="2"/>
      <scheme val="minor"/>
    </font>
    <font>
      <sz val="24"/>
      <color theme="1"/>
      <name val="Calibri"/>
      <family val="2"/>
      <scheme val="minor"/>
    </font>
    <font>
      <sz val="10"/>
      <color theme="1"/>
      <name val="Arial"/>
      <family val="2"/>
    </font>
    <font>
      <b/>
      <sz val="10"/>
      <name val="Arial"/>
      <family val="2"/>
    </font>
    <font>
      <b/>
      <sz val="10"/>
      <color theme="1"/>
      <name val="Arial"/>
      <family val="2"/>
    </font>
    <font>
      <u/>
      <sz val="11"/>
      <color theme="10"/>
      <name val="Calibri"/>
      <family val="2"/>
      <scheme val="minor"/>
    </font>
    <font>
      <sz val="24"/>
      <color rgb="FFFF0000"/>
      <name val="Calibri"/>
      <family val="2"/>
      <scheme val="minor"/>
    </font>
    <font>
      <u/>
      <sz val="11"/>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theme="1" tint="0.499984740745262"/>
      </bottom>
      <diagonal/>
    </border>
    <border>
      <left style="thin">
        <color indexed="64"/>
      </left>
      <right/>
      <top style="thin">
        <color indexed="64"/>
      </top>
      <bottom style="thin">
        <color theme="1" tint="0.499984740745262"/>
      </bottom>
      <diagonal/>
    </border>
    <border>
      <left/>
      <right style="thin">
        <color indexed="64"/>
      </right>
      <top style="thin">
        <color indexed="64"/>
      </top>
      <bottom style="thin">
        <color theme="1" tint="0.499984740745262"/>
      </bottom>
      <diagonal/>
    </border>
    <border>
      <left style="thin">
        <color theme="1" tint="0.499984740745262"/>
      </left>
      <right style="thin">
        <color indexed="64"/>
      </right>
      <top style="thin">
        <color indexed="64"/>
      </top>
      <bottom style="thin">
        <color indexed="64"/>
      </bottom>
      <diagonal/>
    </border>
    <border>
      <left style="thin">
        <color theme="1" tint="0.499984740745262"/>
      </left>
      <right style="thin">
        <color theme="1" tint="0.499984740745262"/>
      </right>
      <top style="thin">
        <color indexed="64"/>
      </top>
      <bottom style="thin">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0" tint="-0.499984740745262"/>
      </right>
      <top style="thin">
        <color indexed="64"/>
      </top>
      <bottom style="thin">
        <color indexed="64"/>
      </bottom>
      <diagonal/>
    </border>
    <border>
      <left style="thin">
        <color theme="0" tint="-0.499984740745262"/>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
      <left style="thin">
        <color indexed="64"/>
      </left>
      <right style="thin">
        <color theme="1" tint="0.499984740745262"/>
      </right>
      <top style="thin">
        <color indexed="64"/>
      </top>
      <bottom style="thin">
        <color theme="1" tint="0.499984740745262"/>
      </bottom>
      <diagonal/>
    </border>
    <border>
      <left style="thin">
        <color theme="1" tint="0.499984740745262"/>
      </left>
      <right style="thin">
        <color indexed="64"/>
      </right>
      <top style="thin">
        <color indexed="64"/>
      </top>
      <bottom style="thin">
        <color theme="1" tint="0.499984740745262"/>
      </bottom>
      <diagonal/>
    </border>
    <border>
      <left style="thin">
        <color indexed="64"/>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indexed="64"/>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indexed="64"/>
      </bottom>
      <diagonal/>
    </border>
    <border>
      <left style="thin">
        <color indexed="64"/>
      </left>
      <right style="thin">
        <color indexed="64"/>
      </right>
      <top/>
      <bottom/>
      <diagonal/>
    </border>
    <border>
      <left style="thin">
        <color indexed="64"/>
      </left>
      <right style="thin">
        <color indexed="64"/>
      </right>
      <top/>
      <bottom style="thin">
        <color theme="1" tint="0.499984740745262"/>
      </bottom>
      <diagonal/>
    </border>
    <border>
      <left style="thin">
        <color indexed="64"/>
      </left>
      <right style="thin">
        <color indexed="64"/>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style="thin">
        <color theme="1" tint="0.499984740745262"/>
      </top>
      <bottom/>
      <diagonal/>
    </border>
    <border>
      <left style="thin">
        <color indexed="64"/>
      </left>
      <right/>
      <top/>
      <bottom style="thin">
        <color theme="1" tint="0.499984740745262"/>
      </bottom>
      <diagonal/>
    </border>
    <border>
      <left style="thin">
        <color indexed="64"/>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indexed="64"/>
      </left>
      <right style="thin">
        <color indexed="64"/>
      </right>
      <top style="thin">
        <color theme="1" tint="0.499984740745262"/>
      </top>
      <bottom style="thin">
        <color indexed="64"/>
      </bottom>
      <diagonal/>
    </border>
    <border>
      <left/>
      <right style="thin">
        <color indexed="64"/>
      </right>
      <top style="thin">
        <color theme="1" tint="0.499984740745262"/>
      </top>
      <bottom style="thin">
        <color theme="1" tint="0.499984740745262"/>
      </bottom>
      <diagonal/>
    </border>
    <border>
      <left style="thin">
        <color indexed="64"/>
      </left>
      <right style="thin">
        <color theme="1" tint="0.499984740745262"/>
      </right>
      <top/>
      <bottom/>
      <diagonal/>
    </border>
    <border>
      <left/>
      <right style="thin">
        <color indexed="64"/>
      </right>
      <top/>
      <bottom style="thin">
        <color theme="1" tint="0.499984740745262"/>
      </bottom>
      <diagonal/>
    </border>
    <border>
      <left style="thin">
        <color theme="1" tint="0.499984740745262"/>
      </left>
      <right style="thin">
        <color indexed="64"/>
      </right>
      <top/>
      <bottom style="thin">
        <color theme="1" tint="0.499984740745262"/>
      </bottom>
      <diagonal/>
    </border>
    <border>
      <left style="thin">
        <color indexed="64"/>
      </left>
      <right style="thin">
        <color theme="1" tint="0.499984740745262"/>
      </right>
      <top style="thin">
        <color theme="1" tint="0.499984740745262"/>
      </top>
      <bottom/>
      <diagonal/>
    </border>
    <border>
      <left style="thin">
        <color theme="1" tint="0.499984740745262"/>
      </left>
      <right style="thin">
        <color indexed="64"/>
      </right>
      <top style="thin">
        <color theme="1" tint="0.499984740745262"/>
      </top>
      <bottom style="thin">
        <color indexed="64"/>
      </bottom>
      <diagonal/>
    </border>
    <border>
      <left style="thin">
        <color indexed="64"/>
      </left>
      <right/>
      <top style="thin">
        <color theme="1" tint="0.499984740745262"/>
      </top>
      <bottom style="thin">
        <color indexed="64"/>
      </bottom>
      <diagonal/>
    </border>
    <border>
      <left/>
      <right style="thin">
        <color theme="1" tint="0.499984740745262"/>
      </right>
      <top style="thin">
        <color indexed="64"/>
      </top>
      <bottom style="thin">
        <color theme="1" tint="0.499984740745262"/>
      </bottom>
      <diagonal/>
    </border>
    <border>
      <left/>
      <right style="thin">
        <color theme="1" tint="0.499984740745262"/>
      </right>
      <top style="thin">
        <color theme="1" tint="0.499984740745262"/>
      </top>
      <bottom style="thin">
        <color indexed="64"/>
      </bottom>
      <diagonal/>
    </border>
    <border>
      <left style="thin">
        <color indexed="64"/>
      </left>
      <right/>
      <top style="thin">
        <color theme="1" tint="0.499984740745262"/>
      </top>
      <bottom/>
      <diagonal/>
    </border>
    <border>
      <left/>
      <right style="thin">
        <color indexed="64"/>
      </right>
      <top style="thin">
        <color theme="1" tint="0.499984740745262"/>
      </top>
      <bottom/>
      <diagonal/>
    </border>
    <border>
      <left style="thin">
        <color theme="1" tint="0.499984740745262"/>
      </left>
      <right style="thin">
        <color indexed="64"/>
      </right>
      <top style="thin">
        <color theme="1" tint="0.499984740745262"/>
      </top>
      <bottom/>
      <diagonal/>
    </border>
  </borders>
  <cellStyleXfs count="4">
    <xf numFmtId="0" fontId="0" fillId="0" borderId="0"/>
    <xf numFmtId="9" fontId="1" fillId="0" borderId="0" applyFont="0" applyFill="0" applyBorder="0" applyAlignment="0" applyProtection="0"/>
    <xf numFmtId="0" fontId="9" fillId="0" borderId="0"/>
    <xf numFmtId="0" fontId="14" fillId="0" borderId="0" applyNumberFormat="0" applyFill="0" applyBorder="0" applyAlignment="0" applyProtection="0"/>
  </cellStyleXfs>
  <cellXfs count="215">
    <xf numFmtId="0" fontId="0" fillId="0" borderId="0" xfId="0"/>
    <xf numFmtId="0" fontId="0" fillId="0" borderId="1" xfId="0" applyBorder="1"/>
    <xf numFmtId="0" fontId="0" fillId="0" borderId="1" xfId="0" applyFill="1" applyBorder="1"/>
    <xf numFmtId="0" fontId="0" fillId="3" borderId="1" xfId="0" applyFill="1" applyBorder="1"/>
    <xf numFmtId="0" fontId="0" fillId="2" borderId="0" xfId="0" applyFill="1"/>
    <xf numFmtId="0" fontId="0" fillId="4" borderId="3" xfId="0" applyFill="1" applyBorder="1"/>
    <xf numFmtId="0" fontId="0" fillId="4" borderId="2" xfId="0" applyFill="1" applyBorder="1"/>
    <xf numFmtId="0" fontId="0" fillId="4" borderId="4" xfId="0" applyFill="1" applyBorder="1"/>
    <xf numFmtId="0" fontId="0" fillId="4" borderId="6" xfId="0" applyFill="1" applyBorder="1"/>
    <xf numFmtId="0" fontId="0" fillId="4" borderId="8" xfId="0" applyFill="1" applyBorder="1" applyAlignment="1">
      <alignment horizontal="center" vertical="top"/>
    </xf>
    <xf numFmtId="0" fontId="8" fillId="4" borderId="9" xfId="0" applyFont="1" applyFill="1" applyBorder="1"/>
    <xf numFmtId="0" fontId="7" fillId="4" borderId="12" xfId="0" applyFont="1" applyFill="1" applyBorder="1" applyAlignment="1">
      <alignment horizontal="center" vertical="top"/>
    </xf>
    <xf numFmtId="0" fontId="0" fillId="4" borderId="13" xfId="0" applyFill="1" applyBorder="1"/>
    <xf numFmtId="0" fontId="0" fillId="4" borderId="14" xfId="0" applyFill="1" applyBorder="1"/>
    <xf numFmtId="0" fontId="0" fillId="4" borderId="12" xfId="0" applyFill="1" applyBorder="1" applyAlignment="1">
      <alignment horizontal="center" vertical="top"/>
    </xf>
    <xf numFmtId="0" fontId="0" fillId="4" borderId="12" xfId="0" applyFill="1" applyBorder="1" applyAlignment="1">
      <alignment horizontal="center"/>
    </xf>
    <xf numFmtId="0" fontId="6" fillId="3" borderId="16" xfId="0" applyFont="1" applyFill="1" applyBorder="1"/>
    <xf numFmtId="0" fontId="0" fillId="0" borderId="15" xfId="0" applyBorder="1"/>
    <xf numFmtId="0" fontId="0" fillId="3" borderId="16" xfId="0" applyFill="1" applyBorder="1"/>
    <xf numFmtId="164" fontId="0" fillId="2" borderId="16" xfId="0" applyNumberFormat="1" applyFill="1" applyBorder="1"/>
    <xf numFmtId="0" fontId="0" fillId="3" borderId="16" xfId="0" applyFill="1" applyBorder="1" applyAlignment="1">
      <alignment horizontal="right"/>
    </xf>
    <xf numFmtId="0" fontId="0" fillId="2" borderId="16" xfId="0" applyFill="1" applyBorder="1"/>
    <xf numFmtId="0" fontId="0" fillId="0" borderId="15" xfId="0" applyFill="1" applyBorder="1"/>
    <xf numFmtId="0" fontId="10" fillId="0" borderId="0" xfId="0" applyFont="1"/>
    <xf numFmtId="0" fontId="2" fillId="0" borderId="0" xfId="0" applyFont="1"/>
    <xf numFmtId="0" fontId="3" fillId="0" borderId="0" xfId="0" applyFont="1"/>
    <xf numFmtId="0" fontId="0" fillId="0" borderId="18" xfId="0" applyBorder="1"/>
    <xf numFmtId="1" fontId="0" fillId="0" borderId="16" xfId="0" applyNumberFormat="1" applyFont="1" applyFill="1" applyBorder="1" applyAlignment="1">
      <alignment horizontal="center" vertical="center"/>
    </xf>
    <xf numFmtId="1" fontId="0" fillId="0" borderId="1" xfId="0" applyNumberFormat="1" applyBorder="1" applyAlignment="1">
      <alignment horizontal="center"/>
    </xf>
    <xf numFmtId="0" fontId="0" fillId="0" borderId="16" xfId="0" applyNumberFormat="1" applyFont="1" applyFill="1" applyBorder="1" applyAlignment="1">
      <alignment horizontal="center" vertical="center"/>
    </xf>
    <xf numFmtId="2" fontId="0" fillId="0" borderId="1" xfId="0" applyNumberFormat="1" applyBorder="1" applyAlignment="1">
      <alignment horizontal="center"/>
    </xf>
    <xf numFmtId="2" fontId="0" fillId="2" borderId="1" xfId="0" applyNumberFormat="1" applyFill="1" applyBorder="1"/>
    <xf numFmtId="166" fontId="0" fillId="0" borderId="1" xfId="0" applyNumberFormat="1" applyBorder="1" applyAlignment="1">
      <alignment horizontal="center"/>
    </xf>
    <xf numFmtId="0" fontId="0" fillId="0" borderId="17" xfId="0" applyBorder="1"/>
    <xf numFmtId="0" fontId="0" fillId="0" borderId="17" xfId="0" applyFill="1" applyBorder="1"/>
    <xf numFmtId="166" fontId="0" fillId="0" borderId="19" xfId="0" applyNumberFormat="1" applyFont="1" applyFill="1" applyBorder="1" applyAlignment="1">
      <alignment horizontal="center" vertical="center"/>
    </xf>
    <xf numFmtId="0" fontId="0" fillId="0" borderId="18" xfId="0" applyFill="1" applyBorder="1"/>
    <xf numFmtId="9" fontId="0" fillId="3" borderId="16" xfId="1" applyFont="1" applyFill="1" applyBorder="1"/>
    <xf numFmtId="0" fontId="0" fillId="0" borderId="0" xfId="0" applyBorder="1"/>
    <xf numFmtId="0" fontId="4" fillId="0" borderId="0" xfId="0" applyFont="1"/>
    <xf numFmtId="0" fontId="0" fillId="0" borderId="0" xfId="0" quotePrefix="1"/>
    <xf numFmtId="165" fontId="0" fillId="3" borderId="16" xfId="0" applyNumberFormat="1" applyFill="1" applyBorder="1"/>
    <xf numFmtId="0" fontId="0" fillId="0" borderId="20" xfId="0" applyBorder="1"/>
    <xf numFmtId="2" fontId="12" fillId="0" borderId="0" xfId="2" applyNumberFormat="1" applyFont="1" applyBorder="1" applyAlignment="1">
      <alignment horizontal="right" vertical="center" wrapText="1"/>
    </xf>
    <xf numFmtId="0" fontId="3" fillId="0" borderId="1" xfId="0" applyFont="1" applyBorder="1"/>
    <xf numFmtId="0" fontId="0" fillId="0" borderId="21" xfId="0" applyBorder="1"/>
    <xf numFmtId="0" fontId="0" fillId="0" borderId="7" xfId="0" applyBorder="1"/>
    <xf numFmtId="0" fontId="0" fillId="0" borderId="22" xfId="0" applyBorder="1"/>
    <xf numFmtId="0" fontId="0" fillId="0" borderId="23" xfId="0" applyBorder="1"/>
    <xf numFmtId="0" fontId="0" fillId="0" borderId="4" xfId="0" applyBorder="1"/>
    <xf numFmtId="0" fontId="0" fillId="0" borderId="24" xfId="0" applyBorder="1"/>
    <xf numFmtId="0" fontId="0" fillId="0" borderId="25" xfId="0" applyBorder="1"/>
    <xf numFmtId="0" fontId="0" fillId="0" borderId="12" xfId="0" applyBorder="1"/>
    <xf numFmtId="0" fontId="0" fillId="0" borderId="27" xfId="0" applyBorder="1"/>
    <xf numFmtId="16" fontId="0" fillId="0" borderId="20" xfId="0" quotePrefix="1" applyNumberFormat="1" applyBorder="1"/>
    <xf numFmtId="0" fontId="0" fillId="0" borderId="26" xfId="0" quotePrefix="1" applyBorder="1"/>
    <xf numFmtId="0" fontId="0" fillId="0" borderId="25" xfId="0" quotePrefix="1" applyBorder="1"/>
    <xf numFmtId="0" fontId="0" fillId="0" borderId="0" xfId="0" applyFont="1"/>
    <xf numFmtId="0" fontId="0" fillId="0" borderId="28" xfId="0" applyFont="1" applyBorder="1" applyAlignment="1">
      <alignment horizontal="right"/>
    </xf>
    <xf numFmtId="0" fontId="0" fillId="0" borderId="28" xfId="0" applyBorder="1" applyAlignment="1">
      <alignment horizontal="right"/>
    </xf>
    <xf numFmtId="0" fontId="0" fillId="0" borderId="21" xfId="0" applyBorder="1" applyAlignment="1">
      <alignment horizontal="right"/>
    </xf>
    <xf numFmtId="0" fontId="0" fillId="0" borderId="28" xfId="0" applyBorder="1"/>
    <xf numFmtId="0" fontId="0" fillId="0" borderId="30" xfId="0" applyBorder="1" applyAlignment="1">
      <alignment horizontal="right"/>
    </xf>
    <xf numFmtId="0" fontId="0" fillId="0" borderId="3" xfId="0" applyBorder="1"/>
    <xf numFmtId="0" fontId="0" fillId="0" borderId="29" xfId="0" applyFont="1" applyFill="1" applyBorder="1" applyAlignment="1">
      <alignment horizontal="right"/>
    </xf>
    <xf numFmtId="0" fontId="0" fillId="0" borderId="30" xfId="0" applyFill="1" applyBorder="1" applyAlignment="1">
      <alignment horizontal="right"/>
    </xf>
    <xf numFmtId="0" fontId="0" fillId="0" borderId="28" xfId="0" applyFill="1" applyBorder="1" applyAlignment="1">
      <alignment horizontal="right"/>
    </xf>
    <xf numFmtId="0" fontId="0" fillId="0" borderId="38" xfId="0" applyFill="1" applyBorder="1" applyAlignment="1">
      <alignment horizontal="right"/>
    </xf>
    <xf numFmtId="0" fontId="0" fillId="0" borderId="30" xfId="0" applyFont="1" applyFill="1" applyBorder="1" applyAlignment="1">
      <alignment horizontal="right"/>
    </xf>
    <xf numFmtId="0" fontId="0" fillId="0" borderId="28" xfId="0" applyFont="1" applyFill="1" applyBorder="1" applyAlignment="1">
      <alignment horizontal="right"/>
    </xf>
    <xf numFmtId="0" fontId="0" fillId="0" borderId="30" xfId="0" applyFont="1" applyFill="1" applyBorder="1"/>
    <xf numFmtId="0" fontId="0" fillId="0" borderId="30" xfId="0" applyFill="1" applyBorder="1"/>
    <xf numFmtId="0" fontId="0" fillId="0" borderId="38" xfId="0" applyFill="1" applyBorder="1"/>
    <xf numFmtId="0" fontId="0" fillId="0" borderId="29" xfId="0" applyFill="1" applyBorder="1"/>
    <xf numFmtId="0" fontId="0" fillId="0" borderId="4" xfId="0" applyFill="1" applyBorder="1" applyAlignment="1">
      <alignment horizontal="right"/>
    </xf>
    <xf numFmtId="0" fontId="0" fillId="0" borderId="29" xfId="0" applyFont="1" applyFill="1" applyBorder="1"/>
    <xf numFmtId="0" fontId="0" fillId="0" borderId="21" xfId="0" applyFont="1" applyFill="1" applyBorder="1" applyAlignment="1">
      <alignment horizontal="right"/>
    </xf>
    <xf numFmtId="0" fontId="3" fillId="0" borderId="1" xfId="0" applyFont="1" applyFill="1" applyBorder="1"/>
    <xf numFmtId="0" fontId="0" fillId="0" borderId="21" xfId="0" applyFill="1" applyBorder="1" applyAlignment="1">
      <alignment horizontal="right"/>
    </xf>
    <xf numFmtId="0" fontId="0" fillId="0" borderId="21" xfId="0" applyFont="1" applyBorder="1"/>
    <xf numFmtId="0" fontId="0" fillId="0" borderId="30" xfId="0" applyBorder="1"/>
    <xf numFmtId="0" fontId="0" fillId="0" borderId="30" xfId="0" applyFont="1" applyBorder="1"/>
    <xf numFmtId="0" fontId="3" fillId="0" borderId="17" xfId="0" applyFont="1" applyFill="1" applyBorder="1"/>
    <xf numFmtId="0" fontId="0" fillId="0" borderId="41" xfId="0" applyBorder="1" applyAlignment="1">
      <alignment horizontal="right"/>
    </xf>
    <xf numFmtId="0" fontId="0" fillId="0" borderId="29" xfId="0" applyFill="1" applyBorder="1" applyAlignment="1">
      <alignment horizontal="right"/>
    </xf>
    <xf numFmtId="0" fontId="0" fillId="0" borderId="29" xfId="0" applyBorder="1" applyAlignment="1">
      <alignment horizontal="right"/>
    </xf>
    <xf numFmtId="0" fontId="0" fillId="0" borderId="5" xfId="0" applyBorder="1"/>
    <xf numFmtId="0" fontId="0" fillId="0" borderId="43" xfId="0" applyBorder="1"/>
    <xf numFmtId="0" fontId="0" fillId="0" borderId="6" xfId="0" applyBorder="1"/>
    <xf numFmtId="0" fontId="0" fillId="0" borderId="2" xfId="0" applyBorder="1"/>
    <xf numFmtId="0" fontId="3" fillId="0" borderId="0" xfId="0" applyFont="1" applyBorder="1"/>
    <xf numFmtId="0" fontId="0" fillId="0" borderId="0" xfId="0" applyFont="1" applyBorder="1"/>
    <xf numFmtId="0" fontId="0" fillId="0" borderId="34" xfId="0" applyFill="1" applyBorder="1"/>
    <xf numFmtId="0" fontId="0" fillId="0" borderId="35" xfId="0" applyFill="1" applyBorder="1"/>
    <xf numFmtId="0" fontId="0" fillId="0" borderId="0" xfId="0" applyFill="1"/>
    <xf numFmtId="0" fontId="0" fillId="0" borderId="0" xfId="0" applyFont="1" applyFill="1"/>
    <xf numFmtId="0" fontId="0" fillId="0" borderId="21" xfId="0" applyFont="1" applyFill="1" applyBorder="1"/>
    <xf numFmtId="0" fontId="0" fillId="0" borderId="25" xfId="0" applyFill="1" applyBorder="1"/>
    <xf numFmtId="0" fontId="0" fillId="0" borderId="33" xfId="0" applyBorder="1" applyAlignment="1">
      <alignment horizontal="right"/>
    </xf>
    <xf numFmtId="0" fontId="0" fillId="0" borderId="7" xfId="0" applyFont="1" applyFill="1" applyBorder="1" applyAlignment="1">
      <alignment horizontal="right"/>
    </xf>
    <xf numFmtId="2" fontId="8" fillId="0" borderId="20" xfId="2" applyNumberFormat="1" applyFont="1" applyFill="1" applyBorder="1" applyAlignment="1">
      <alignment horizontal="center" vertical="center" wrapText="1"/>
    </xf>
    <xf numFmtId="2" fontId="11" fillId="0" borderId="20" xfId="2" applyNumberFormat="1" applyFont="1" applyFill="1" applyBorder="1" applyAlignment="1">
      <alignment horizontal="center" vertical="center"/>
    </xf>
    <xf numFmtId="0" fontId="8" fillId="0" borderId="20" xfId="2" applyNumberFormat="1" applyFont="1" applyFill="1" applyBorder="1" applyAlignment="1">
      <alignment horizontal="center" vertical="center" wrapText="1"/>
    </xf>
    <xf numFmtId="0" fontId="8" fillId="0" borderId="36" xfId="2" applyNumberFormat="1" applyFont="1" applyFill="1" applyBorder="1" applyAlignment="1">
      <alignment horizontal="center" vertical="center" wrapText="1"/>
    </xf>
    <xf numFmtId="2" fontId="8" fillId="0" borderId="31" xfId="2" applyNumberFormat="1" applyFont="1" applyFill="1" applyBorder="1" applyAlignment="1">
      <alignment horizontal="center" vertical="center" wrapText="1"/>
    </xf>
    <xf numFmtId="0" fontId="8" fillId="0" borderId="32" xfId="2" applyNumberFormat="1" applyFont="1" applyFill="1" applyBorder="1" applyAlignment="1">
      <alignment horizontal="center" vertical="center" wrapText="1"/>
    </xf>
    <xf numFmtId="1" fontId="8" fillId="0" borderId="36" xfId="2" applyNumberFormat="1" applyFont="1" applyFill="1" applyBorder="1" applyAlignment="1">
      <alignment horizontal="center" vertical="center" wrapText="1"/>
    </xf>
    <xf numFmtId="1" fontId="11" fillId="0" borderId="36" xfId="2" applyNumberFormat="1" applyFont="1" applyFill="1" applyBorder="1" applyAlignment="1">
      <alignment horizontal="center" vertical="center"/>
    </xf>
    <xf numFmtId="1" fontId="8" fillId="0" borderId="37" xfId="2" applyNumberFormat="1" applyFont="1" applyBorder="1" applyAlignment="1">
      <alignment horizontal="center" vertical="center" wrapText="1"/>
    </xf>
    <xf numFmtId="1" fontId="8" fillId="0" borderId="36" xfId="2" applyNumberFormat="1" applyFont="1" applyBorder="1" applyAlignment="1">
      <alignment horizontal="center" vertical="center" wrapText="1"/>
    </xf>
    <xf numFmtId="2" fontId="12" fillId="0" borderId="7" xfId="2" applyNumberFormat="1" applyFont="1" applyFill="1" applyBorder="1" applyAlignment="1">
      <alignment horizontal="right" vertical="center" wrapText="1"/>
    </xf>
    <xf numFmtId="2" fontId="12" fillId="0" borderId="30" xfId="2" applyNumberFormat="1" applyFont="1" applyFill="1" applyBorder="1" applyAlignment="1">
      <alignment horizontal="right" vertical="center" wrapText="1"/>
    </xf>
    <xf numFmtId="0" fontId="13" fillId="0" borderId="30" xfId="2" applyFont="1" applyBorder="1" applyAlignment="1">
      <alignment horizontal="right"/>
    </xf>
    <xf numFmtId="2" fontId="8" fillId="0" borderId="12" xfId="2" applyNumberFormat="1" applyFont="1" applyFill="1" applyBorder="1" applyAlignment="1">
      <alignment horizontal="center" vertical="center" wrapText="1"/>
    </xf>
    <xf numFmtId="2" fontId="11" fillId="0" borderId="23" xfId="2" applyNumberFormat="1" applyFont="1" applyBorder="1" applyAlignment="1">
      <alignment horizontal="center" vertical="center" wrapText="1"/>
    </xf>
    <xf numFmtId="2" fontId="11" fillId="0" borderId="26" xfId="2" applyNumberFormat="1" applyFont="1" applyBorder="1" applyAlignment="1">
      <alignment horizontal="center" vertical="center" wrapText="1"/>
    </xf>
    <xf numFmtId="0" fontId="8" fillId="0" borderId="27" xfId="2" applyNumberFormat="1" applyFont="1" applyFill="1" applyBorder="1" applyAlignment="1">
      <alignment horizontal="center" vertical="center" wrapText="1"/>
    </xf>
    <xf numFmtId="2" fontId="11" fillId="0" borderId="44" xfId="2" applyNumberFormat="1" applyFont="1" applyBorder="1" applyAlignment="1">
      <alignment horizontal="center" vertical="center" wrapText="1"/>
    </xf>
    <xf numFmtId="0" fontId="11" fillId="0" borderId="21" xfId="2" applyFont="1" applyBorder="1" applyAlignment="1">
      <alignment horizontal="right"/>
    </xf>
    <xf numFmtId="0" fontId="13" fillId="0" borderId="28" xfId="2" applyFont="1" applyBorder="1" applyAlignment="1">
      <alignment horizontal="right"/>
    </xf>
    <xf numFmtId="1" fontId="8" fillId="0" borderId="46" xfId="2" applyNumberFormat="1" applyFont="1" applyFill="1" applyBorder="1" applyAlignment="1">
      <alignment horizontal="center" vertical="center" wrapText="1"/>
    </xf>
    <xf numFmtId="1" fontId="8" fillId="0" borderId="47" xfId="2" applyNumberFormat="1" applyFont="1" applyBorder="1" applyAlignment="1">
      <alignment horizontal="center" vertical="center" wrapText="1"/>
    </xf>
    <xf numFmtId="0" fontId="11" fillId="0" borderId="30" xfId="2" applyFont="1" applyBorder="1" applyAlignment="1">
      <alignment horizontal="right"/>
    </xf>
    <xf numFmtId="2" fontId="12" fillId="0" borderId="15" xfId="2" applyNumberFormat="1" applyFont="1" applyBorder="1" applyAlignment="1">
      <alignment horizontal="left" vertical="center" wrapText="1"/>
    </xf>
    <xf numFmtId="2" fontId="12" fillId="0" borderId="11" xfId="2" applyNumberFormat="1" applyFont="1" applyBorder="1" applyAlignment="1">
      <alignment horizontal="left" vertical="center" wrapText="1"/>
    </xf>
    <xf numFmtId="2" fontId="12" fillId="0" borderId="10" xfId="2" applyNumberFormat="1" applyFont="1" applyBorder="1" applyAlignment="1">
      <alignment horizontal="left" vertical="center" wrapText="1"/>
    </xf>
    <xf numFmtId="2" fontId="0" fillId="0" borderId="0" xfId="0" applyNumberFormat="1" applyBorder="1"/>
    <xf numFmtId="0" fontId="0" fillId="0" borderId="0" xfId="0" applyBorder="1" applyAlignment="1">
      <alignment horizontal="right"/>
    </xf>
    <xf numFmtId="2" fontId="12" fillId="0" borderId="5" xfId="2" applyNumberFormat="1" applyFont="1" applyFill="1" applyBorder="1" applyAlignment="1">
      <alignment horizontal="left" vertical="center" wrapText="1"/>
    </xf>
    <xf numFmtId="2" fontId="0" fillId="0" borderId="28" xfId="0" applyNumberFormat="1" applyBorder="1"/>
    <xf numFmtId="2" fontId="0" fillId="0" borderId="28" xfId="0" applyNumberFormat="1" applyFont="1" applyBorder="1"/>
    <xf numFmtId="2" fontId="0" fillId="0" borderId="21" xfId="0" applyNumberFormat="1" applyBorder="1"/>
    <xf numFmtId="0" fontId="0" fillId="0" borderId="21" xfId="0" applyFont="1" applyBorder="1" applyAlignment="1">
      <alignment horizontal="right"/>
    </xf>
    <xf numFmtId="2" fontId="12" fillId="0" borderId="5" xfId="2" applyNumberFormat="1" applyFont="1" applyFill="1" applyBorder="1" applyAlignment="1">
      <alignment horizontal="left" vertical="center"/>
    </xf>
    <xf numFmtId="2" fontId="0" fillId="0" borderId="28" xfId="0" applyNumberFormat="1" applyFill="1" applyBorder="1"/>
    <xf numFmtId="2" fontId="0" fillId="0" borderId="28" xfId="0" applyNumberFormat="1" applyFont="1" applyFill="1" applyBorder="1"/>
    <xf numFmtId="2" fontId="0" fillId="0" borderId="21" xfId="0" applyNumberFormat="1" applyFont="1" applyFill="1" applyBorder="1"/>
    <xf numFmtId="0" fontId="0" fillId="0" borderId="21" xfId="0" applyFill="1" applyBorder="1"/>
    <xf numFmtId="0" fontId="0" fillId="0" borderId="28" xfId="0" applyFill="1" applyBorder="1"/>
    <xf numFmtId="0" fontId="0" fillId="3" borderId="30" xfId="0" applyFill="1" applyBorder="1"/>
    <xf numFmtId="0" fontId="0" fillId="3" borderId="39" xfId="0" applyFill="1" applyBorder="1"/>
    <xf numFmtId="165" fontId="0" fillId="2" borderId="7" xfId="0" applyNumberFormat="1" applyFill="1" applyBorder="1"/>
    <xf numFmtId="2" fontId="0" fillId="2" borderId="30" xfId="0" applyNumberFormat="1" applyFill="1" applyBorder="1"/>
    <xf numFmtId="166" fontId="0" fillId="2" borderId="30" xfId="0" applyNumberFormat="1" applyFill="1" applyBorder="1"/>
    <xf numFmtId="166" fontId="0" fillId="2" borderId="38" xfId="0" applyNumberFormat="1" applyFill="1" applyBorder="1"/>
    <xf numFmtId="165" fontId="0" fillId="3" borderId="7" xfId="0" applyNumberFormat="1" applyFill="1" applyBorder="1"/>
    <xf numFmtId="2" fontId="0" fillId="3" borderId="30" xfId="0" applyNumberFormat="1" applyFill="1" applyBorder="1"/>
    <xf numFmtId="0" fontId="0" fillId="5" borderId="38" xfId="0" applyFill="1" applyBorder="1"/>
    <xf numFmtId="166" fontId="0" fillId="3" borderId="38" xfId="0" applyNumberFormat="1" applyFill="1" applyBorder="1"/>
    <xf numFmtId="0" fontId="0" fillId="2" borderId="30" xfId="0" applyFill="1" applyBorder="1"/>
    <xf numFmtId="0" fontId="0" fillId="2" borderId="39" xfId="0" applyFill="1" applyBorder="1"/>
    <xf numFmtId="0" fontId="0" fillId="3" borderId="11" xfId="0" applyFill="1" applyBorder="1"/>
    <xf numFmtId="0" fontId="3" fillId="0" borderId="5" xfId="0" applyFont="1" applyFill="1" applyBorder="1" applyAlignment="1">
      <alignment horizontal="left"/>
    </xf>
    <xf numFmtId="2" fontId="0" fillId="0" borderId="33" xfId="0" applyNumberFormat="1" applyBorder="1"/>
    <xf numFmtId="2" fontId="12" fillId="0" borderId="7" xfId="2" applyNumberFormat="1" applyFont="1" applyFill="1" applyBorder="1" applyAlignment="1">
      <alignment horizontal="left" vertical="center" wrapText="1"/>
    </xf>
    <xf numFmtId="0" fontId="0" fillId="0" borderId="33" xfId="0" applyBorder="1"/>
    <xf numFmtId="2" fontId="12" fillId="0" borderId="7" xfId="2" applyNumberFormat="1" applyFont="1" applyFill="1" applyBorder="1" applyAlignment="1">
      <alignment horizontal="left" vertical="center"/>
    </xf>
    <xf numFmtId="2" fontId="0" fillId="0" borderId="33" xfId="0" applyNumberFormat="1" applyFill="1" applyBorder="1"/>
    <xf numFmtId="2" fontId="0" fillId="0" borderId="29" xfId="0" applyNumberFormat="1" applyFont="1" applyFill="1" applyBorder="1"/>
    <xf numFmtId="0" fontId="14" fillId="0" borderId="38" xfId="3" applyBorder="1"/>
    <xf numFmtId="0" fontId="0" fillId="0" borderId="5"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3" borderId="33" xfId="0" applyFill="1" applyBorder="1"/>
    <xf numFmtId="0" fontId="0" fillId="2" borderId="38" xfId="0" applyFill="1" applyBorder="1"/>
    <xf numFmtId="0" fontId="0" fillId="3" borderId="29" xfId="0" applyFill="1" applyBorder="1"/>
    <xf numFmtId="0" fontId="0" fillId="3" borderId="5" xfId="0" applyFill="1" applyBorder="1"/>
    <xf numFmtId="0" fontId="0" fillId="2" borderId="35" xfId="0" applyFill="1" applyBorder="1"/>
    <xf numFmtId="0" fontId="0" fillId="3" borderId="23" xfId="0" applyFill="1" applyBorder="1"/>
    <xf numFmtId="0" fontId="0" fillId="2" borderId="26" xfId="0" applyFill="1" applyBorder="1"/>
    <xf numFmtId="0" fontId="0" fillId="3" borderId="26" xfId="0" applyFill="1" applyBorder="1"/>
    <xf numFmtId="0" fontId="0" fillId="2" borderId="10" xfId="0" applyFill="1" applyBorder="1"/>
    <xf numFmtId="0" fontId="0" fillId="2" borderId="44" xfId="0" applyFill="1" applyBorder="1"/>
    <xf numFmtId="0" fontId="0" fillId="3" borderId="41" xfId="0" applyFill="1" applyBorder="1"/>
    <xf numFmtId="0" fontId="0" fillId="3" borderId="49" xfId="0" applyFill="1" applyBorder="1"/>
    <xf numFmtId="0" fontId="0" fillId="2" borderId="49" xfId="0" applyFill="1" applyBorder="1"/>
    <xf numFmtId="0" fontId="0" fillId="0" borderId="40" xfId="0" applyFill="1" applyBorder="1"/>
    <xf numFmtId="0" fontId="0" fillId="0" borderId="24" xfId="0" applyFill="1" applyBorder="1"/>
    <xf numFmtId="0" fontId="0" fillId="0" borderId="8" xfId="0" applyBorder="1" applyAlignment="1"/>
    <xf numFmtId="0" fontId="0" fillId="0" borderId="35" xfId="0" applyBorder="1" applyAlignment="1"/>
    <xf numFmtId="0" fontId="0" fillId="0" borderId="45" xfId="0" applyBorder="1" applyAlignment="1"/>
    <xf numFmtId="0" fontId="0" fillId="0" borderId="1" xfId="0" applyBorder="1" applyAlignment="1"/>
    <xf numFmtId="0" fontId="3" fillId="0" borderId="0" xfId="0" applyFont="1" applyAlignment="1">
      <alignment horizontal="left"/>
    </xf>
    <xf numFmtId="0" fontId="0" fillId="3" borderId="42" xfId="0" applyFill="1" applyBorder="1"/>
    <xf numFmtId="0" fontId="0" fillId="0" borderId="15" xfId="0" applyBorder="1" applyAlignment="1"/>
    <xf numFmtId="0" fontId="0" fillId="0" borderId="48" xfId="0" applyBorder="1" applyAlignment="1"/>
    <xf numFmtId="0" fontId="0" fillId="2" borderId="50" xfId="0" applyFill="1" applyBorder="1"/>
    <xf numFmtId="166" fontId="0" fillId="0" borderId="16" xfId="0" applyNumberFormat="1" applyFont="1" applyFill="1" applyBorder="1" applyAlignment="1">
      <alignment horizontal="center" vertical="center"/>
    </xf>
    <xf numFmtId="2" fontId="0" fillId="0" borderId="16" xfId="0" applyNumberFormat="1" applyFont="1" applyFill="1" applyBorder="1" applyAlignment="1">
      <alignment horizontal="center" vertical="center"/>
    </xf>
    <xf numFmtId="0" fontId="0" fillId="3" borderId="10" xfId="0" applyFill="1" applyBorder="1"/>
    <xf numFmtId="9" fontId="0" fillId="3" borderId="10" xfId="1" applyFont="1" applyFill="1" applyBorder="1"/>
    <xf numFmtId="0" fontId="0" fillId="3" borderId="10" xfId="1" applyNumberFormat="1" applyFont="1" applyFill="1" applyBorder="1"/>
    <xf numFmtId="165" fontId="0" fillId="0" borderId="0" xfId="0" applyNumberFormat="1"/>
    <xf numFmtId="167" fontId="0" fillId="2" borderId="1" xfId="0" applyNumberFormat="1" applyFill="1" applyBorder="1"/>
    <xf numFmtId="167" fontId="6" fillId="2" borderId="1" xfId="0" applyNumberFormat="1" applyFont="1" applyFill="1" applyBorder="1"/>
    <xf numFmtId="0" fontId="0" fillId="0" borderId="17" xfId="0" applyBorder="1" applyAlignment="1">
      <alignment horizontal="left"/>
    </xf>
    <xf numFmtId="0" fontId="0" fillId="0" borderId="16" xfId="0" applyBorder="1" applyAlignment="1">
      <alignment horizontal="left"/>
    </xf>
    <xf numFmtId="0" fontId="0" fillId="2" borderId="1" xfId="0" applyFill="1" applyBorder="1"/>
    <xf numFmtId="0" fontId="9" fillId="0" borderId="0" xfId="0" applyFont="1"/>
    <xf numFmtId="0" fontId="15" fillId="0" borderId="0" xfId="0" applyFont="1"/>
    <xf numFmtId="0" fontId="0" fillId="6" borderId="1" xfId="0" applyFill="1" applyBorder="1"/>
    <xf numFmtId="0" fontId="16" fillId="5" borderId="5" xfId="0" applyFont="1" applyFill="1" applyBorder="1"/>
    <xf numFmtId="0" fontId="0" fillId="5" borderId="28" xfId="0" applyFill="1" applyBorder="1" applyAlignment="1">
      <alignment wrapText="1"/>
    </xf>
    <xf numFmtId="0" fontId="0" fillId="5" borderId="21" xfId="0" applyFill="1" applyBorder="1"/>
    <xf numFmtId="0" fontId="14" fillId="5" borderId="28" xfId="3" applyFill="1" applyBorder="1"/>
    <xf numFmtId="0" fontId="14" fillId="5" borderId="21" xfId="3" applyFill="1" applyBorder="1"/>
    <xf numFmtId="0" fontId="0" fillId="3" borderId="17"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5"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4" xfId="0" applyBorder="1" applyAlignment="1">
      <alignment horizontal="left"/>
    </xf>
    <xf numFmtId="0" fontId="0" fillId="0" borderId="44" xfId="0" applyBorder="1" applyAlignment="1">
      <alignment horizontal="left"/>
    </xf>
    <xf numFmtId="0" fontId="0" fillId="0" borderId="7" xfId="0" quotePrefix="1" applyBorder="1"/>
    <xf numFmtId="0" fontId="0" fillId="0" borderId="21" xfId="0" quotePrefix="1" applyBorder="1"/>
  </cellXfs>
  <cellStyles count="4">
    <cellStyle name="Hyperlink" xfId="3" builtinId="8"/>
    <cellStyle name="Normal" xfId="0" builtinId="0"/>
    <cellStyle name="Normal 2" xfId="2"/>
    <cellStyle name="Percent" xfId="1" builtinId="5"/>
  </cellStyles>
  <dxfs count="11">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patternType="darkGray"/>
      </fill>
    </dxf>
    <dxf>
      <fill>
        <patternFill patternType="dark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6</xdr:col>
      <xdr:colOff>0</xdr:colOff>
      <xdr:row>12</xdr:row>
      <xdr:rowOff>15240</xdr:rowOff>
    </xdr:from>
    <xdr:to>
      <xdr:col>17</xdr:col>
      <xdr:colOff>601980</xdr:colOff>
      <xdr:row>28</xdr:row>
      <xdr:rowOff>0</xdr:rowOff>
    </xdr:to>
    <xdr:sp macro="" textlink="">
      <xdr:nvSpPr>
        <xdr:cNvPr id="2" name="TextBox 1">
          <a:extLst>
            <a:ext uri="{FF2B5EF4-FFF2-40B4-BE49-F238E27FC236}">
              <a16:creationId xmlns:a16="http://schemas.microsoft.com/office/drawing/2014/main" id="{9D505752-BC1A-4A06-A47E-432A22F5A10B}"/>
            </a:ext>
          </a:extLst>
        </xdr:cNvPr>
        <xdr:cNvSpPr txBox="1"/>
      </xdr:nvSpPr>
      <xdr:spPr>
        <a:xfrm>
          <a:off x="3954780" y="2423160"/>
          <a:ext cx="8732520" cy="291084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1400" b="1"/>
            <a:t>EXAMPLE USES:</a:t>
          </a:r>
        </a:p>
        <a:p>
          <a:r>
            <a:rPr lang="en-US" sz="1100" u="sng"/>
            <a:t>Winch:</a:t>
          </a:r>
          <a:r>
            <a:rPr lang="en-US" sz="1100" u="none" baseline="0"/>
            <a:t> As an endgame, you need to winch up the robot by spinning a cable around a circular drum. For radius, enter the drum's radius. For load, enter the weight of the robot (154lb max = 120lb robot + 20lb bumpers + 14lb battery). Since this is an end game task, change Voltage Applied to 10V to account for battery drop throughout the match. Then specify a desired linear speed under that load in the Lin. Speed column or a maximum allowable current draw in the Current column. Change the type and number of motors to can see how different numbers and types motors will perform under those conditions, and the required gear ratio for the system to be at a desired calculation point.</a:t>
          </a:r>
        </a:p>
        <a:p>
          <a:endParaRPr lang="en-US" sz="110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u="sng"/>
            <a:t>Elevator:</a:t>
          </a:r>
          <a:r>
            <a:rPr lang="en-US" sz="1100" u="none"/>
            <a:t> You need to lift a load with a motor connected to a linear elevator system. For radius, enter the radius of the pulley/sprocket driving the elevator. For load, enter the weight of the load. </a:t>
          </a:r>
          <a:r>
            <a:rPr lang="en-US" sz="1100" baseline="0">
              <a:solidFill>
                <a:schemeClr val="dk1"/>
              </a:solidFill>
              <a:effectLst/>
              <a:latin typeface="+mn-lt"/>
              <a:ea typeface="+mn-ea"/>
              <a:cs typeface="+mn-cs"/>
            </a:rPr>
            <a:t>Then specify a desired linear speed under that load in the Lin. Speed column or a maximum allowable current draw in the Current column. Change the type and number of motors to can see how different numbers and types motors will perform under those conditions, and the required gear ratio for the system to be at a desired calculation point.</a:t>
          </a:r>
          <a:endParaRPr lang="en-US">
            <a:effectLst/>
          </a:endParaRPr>
        </a:p>
        <a:p>
          <a:endParaRPr lang="en-US" sz="1100" u="sng"/>
        </a:p>
        <a:p>
          <a:pPr marL="0" marR="0" lvl="0" indent="0" defTabSz="914400" eaLnBrk="1" fontAlgn="auto" latinLnBrk="0" hangingPunct="1">
            <a:lnSpc>
              <a:spcPct val="100000"/>
            </a:lnSpc>
            <a:spcBef>
              <a:spcPts val="0"/>
            </a:spcBef>
            <a:spcAft>
              <a:spcPts val="0"/>
            </a:spcAft>
            <a:buClrTx/>
            <a:buSzTx/>
            <a:buFontTx/>
            <a:buNone/>
            <a:tabLst/>
            <a:defRPr/>
          </a:pPr>
          <a:r>
            <a:rPr lang="en-US" sz="1100" u="sng"/>
            <a:t>Arm:</a:t>
          </a:r>
          <a:r>
            <a:rPr lang="en-US" sz="1100" u="none"/>
            <a:t> You need to lift a load using an arm driven by </a:t>
          </a:r>
          <a:r>
            <a:rPr lang="en-US" sz="1100" u="none" baseline="0"/>
            <a:t>a motor. For radius , enter the length of the arm. For load, enter the weight of the load lifted. </a:t>
          </a:r>
          <a:r>
            <a:rPr lang="en-US" sz="1100" baseline="0">
              <a:solidFill>
                <a:schemeClr val="dk1"/>
              </a:solidFill>
              <a:effectLst/>
              <a:latin typeface="+mn-lt"/>
              <a:ea typeface="+mn-ea"/>
              <a:cs typeface="+mn-cs"/>
            </a:rPr>
            <a:t>Then specify a desired rotational speed under that load for the arm in the Lin. Speed column or a maximum allowable current draw in the Current column. Change the type and number of motors to can see how different numbers and types motors will perform under those conditions, and the required gear ratio for the system to be at a desired calculation point.</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4</xdr:row>
      <xdr:rowOff>22860</xdr:rowOff>
    </xdr:from>
    <xdr:to>
      <xdr:col>17</xdr:col>
      <xdr:colOff>481511</xdr:colOff>
      <xdr:row>19</xdr:row>
      <xdr:rowOff>0</xdr:rowOff>
    </xdr:to>
    <xdr:pic>
      <xdr:nvPicPr>
        <xdr:cNvPr id="3" name="Picture 2">
          <a:extLst>
            <a:ext uri="{FF2B5EF4-FFF2-40B4-BE49-F238E27FC236}">
              <a16:creationId xmlns:a16="http://schemas.microsoft.com/office/drawing/2014/main" id="{E2FF14EB-1079-4A4D-BCA6-38BEA6617C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87640" y="967740"/>
          <a:ext cx="5358311" cy="2750820"/>
        </a:xfrm>
        <a:prstGeom prst="rect">
          <a:avLst/>
        </a:prstGeom>
        <a:ln w="12700">
          <a:solidFill>
            <a:sysClr val="windowText" lastClr="000000"/>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VN-DesignCalc.2016012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ustom 2-Speed Drive"/>
      <sheetName val="VEXpro 3-CIM Ball Shifter"/>
      <sheetName val="VEXpro 2-CIM Ball Shifter"/>
      <sheetName val="WCP DS"/>
      <sheetName val="Custom 1-Speed Drive"/>
      <sheetName val="VEXpro SS,DR"/>
      <sheetName val="WCP SS"/>
      <sheetName val="Articulating Drive"/>
      <sheetName val="Rotary Mechanism"/>
      <sheetName val="Linear Mechanism"/>
      <sheetName val="Intake Mechanism"/>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t="str">
            <v>Free Speed (RPM)</v>
          </cell>
          <cell r="D4" t="str">
            <v>Stall Torque (N-m)</v>
          </cell>
          <cell r="E4" t="str">
            <v>Stall Current (Amp)</v>
          </cell>
          <cell r="F4" t="str">
            <v>Free Current (Amp)</v>
          </cell>
          <cell r="G4" t="str">
            <v>Power (W)</v>
          </cell>
        </row>
        <row r="5">
          <cell r="B5" t="str">
            <v>CIM</v>
          </cell>
          <cell r="C5">
            <v>5330</v>
          </cell>
          <cell r="D5">
            <v>2.41</v>
          </cell>
          <cell r="E5">
            <v>131</v>
          </cell>
          <cell r="F5">
            <v>2.7</v>
          </cell>
          <cell r="G5">
            <v>336.28916760964142</v>
          </cell>
          <cell r="J5" t="str">
            <v>1 Mini CIM</v>
          </cell>
          <cell r="K5">
            <v>5840</v>
          </cell>
          <cell r="L5">
            <v>1.41</v>
          </cell>
          <cell r="M5">
            <v>89</v>
          </cell>
          <cell r="N5">
            <v>3</v>
          </cell>
        </row>
        <row r="6">
          <cell r="B6" t="str">
            <v>Mini CIM</v>
          </cell>
          <cell r="C6">
            <v>5840</v>
          </cell>
          <cell r="D6">
            <v>1.41</v>
          </cell>
          <cell r="E6">
            <v>89</v>
          </cell>
          <cell r="F6">
            <v>3</v>
          </cell>
          <cell r="G6">
            <v>215.57608788933157</v>
          </cell>
          <cell r="J6" t="str">
            <v>1 CIM</v>
          </cell>
          <cell r="K6">
            <v>5330</v>
          </cell>
          <cell r="L6">
            <v>2.41</v>
          </cell>
          <cell r="M6">
            <v>131</v>
          </cell>
          <cell r="N6">
            <v>2.7</v>
          </cell>
        </row>
        <row r="7">
          <cell r="B7" t="str">
            <v>BAG Motor</v>
          </cell>
          <cell r="C7">
            <v>13180</v>
          </cell>
          <cell r="D7">
            <v>0.43</v>
          </cell>
          <cell r="E7">
            <v>53</v>
          </cell>
          <cell r="F7">
            <v>1.8</v>
          </cell>
          <cell r="G7">
            <v>148.37218504128995</v>
          </cell>
          <cell r="J7" t="str">
            <v>2 Mini CIM</v>
          </cell>
          <cell r="K7">
            <v>5840</v>
          </cell>
          <cell r="L7">
            <v>2.82</v>
          </cell>
          <cell r="M7">
            <v>178</v>
          </cell>
          <cell r="N7">
            <v>6</v>
          </cell>
        </row>
        <row r="8">
          <cell r="B8" t="str">
            <v>775pro</v>
          </cell>
          <cell r="C8">
            <v>18730</v>
          </cell>
          <cell r="D8">
            <v>0.71</v>
          </cell>
          <cell r="E8">
            <v>134</v>
          </cell>
          <cell r="F8">
            <v>0.7</v>
          </cell>
          <cell r="G8">
            <v>348.14867987694288</v>
          </cell>
          <cell r="J8" t="str">
            <v>1 CIM + 1 Mini CIM (Copioli)</v>
          </cell>
          <cell r="K8">
            <v>5508</v>
          </cell>
          <cell r="L8">
            <v>3.82</v>
          </cell>
          <cell r="M8">
            <v>220</v>
          </cell>
          <cell r="N8">
            <v>8.16</v>
          </cell>
        </row>
        <row r="9">
          <cell r="B9" t="str">
            <v>AM 775</v>
          </cell>
          <cell r="C9">
            <v>5800</v>
          </cell>
          <cell r="D9">
            <v>0.28000000000000003</v>
          </cell>
          <cell r="E9">
            <v>18</v>
          </cell>
          <cell r="F9">
            <v>1.6</v>
          </cell>
          <cell r="G9">
            <v>42.516220578581873</v>
          </cell>
          <cell r="J9" t="str">
            <v>3 Mini CIM</v>
          </cell>
          <cell r="K9">
            <v>5840</v>
          </cell>
          <cell r="L9">
            <v>4.2299999999999995</v>
          </cell>
          <cell r="M9">
            <v>267</v>
          </cell>
          <cell r="N9">
            <v>9</v>
          </cell>
        </row>
        <row r="10">
          <cell r="B10" t="str">
            <v>AM 9015</v>
          </cell>
          <cell r="C10">
            <v>14270</v>
          </cell>
          <cell r="D10">
            <v>0.36</v>
          </cell>
          <cell r="E10">
            <v>71</v>
          </cell>
          <cell r="F10">
            <v>3.7</v>
          </cell>
          <cell r="G10">
            <v>134.49158150017902</v>
          </cell>
          <cell r="J10" t="str">
            <v>2 CIM</v>
          </cell>
          <cell r="K10">
            <v>5330</v>
          </cell>
          <cell r="L10">
            <v>4.82</v>
          </cell>
          <cell r="M10">
            <v>262</v>
          </cell>
          <cell r="N10">
            <v>5.4</v>
          </cell>
        </row>
        <row r="11">
          <cell r="B11" t="str">
            <v>1 CIM + 1 Mini CIM (Copioli)</v>
          </cell>
          <cell r="C11">
            <v>5508</v>
          </cell>
          <cell r="D11">
            <v>3.82</v>
          </cell>
          <cell r="E11">
            <v>220</v>
          </cell>
          <cell r="F11">
            <v>8.16</v>
          </cell>
          <cell r="G11">
            <v>550.84057269512709</v>
          </cell>
          <cell r="J11" t="str">
            <v>1 CIM + 2 Mini CIM (Copioli)</v>
          </cell>
          <cell r="K11">
            <v>5593</v>
          </cell>
          <cell r="L11">
            <v>5.23</v>
          </cell>
          <cell r="M11">
            <v>309</v>
          </cell>
          <cell r="N11">
            <v>9.6199999999999992</v>
          </cell>
        </row>
        <row r="12">
          <cell r="B12" t="str">
            <v>1 CIM + 2 Mini CIM (Copioli)</v>
          </cell>
          <cell r="C12">
            <v>5593</v>
          </cell>
          <cell r="D12">
            <v>5.23</v>
          </cell>
          <cell r="E12">
            <v>309</v>
          </cell>
          <cell r="F12">
            <v>9.6199999999999992</v>
          </cell>
          <cell r="G12">
            <v>765.79959942741618</v>
          </cell>
          <cell r="J12" t="str">
            <v>2 CIM + 1 Mini CIM (Copioli)</v>
          </cell>
          <cell r="K12">
            <v>5437</v>
          </cell>
          <cell r="L12">
            <v>6.23</v>
          </cell>
          <cell r="M12">
            <v>351</v>
          </cell>
          <cell r="N12">
            <v>9.15</v>
          </cell>
        </row>
        <row r="13">
          <cell r="B13" t="str">
            <v>2 CIM + 1 Mini CIM (Copioli)</v>
          </cell>
          <cell r="C13">
            <v>5437</v>
          </cell>
          <cell r="D13">
            <v>6.23</v>
          </cell>
          <cell r="E13">
            <v>351</v>
          </cell>
          <cell r="F13">
            <v>9.15</v>
          </cell>
          <cell r="G13">
            <v>886.78023812205663</v>
          </cell>
          <cell r="J13" t="str">
            <v>3 CIM</v>
          </cell>
          <cell r="K13">
            <v>5330</v>
          </cell>
          <cell r="L13">
            <v>7.23</v>
          </cell>
          <cell r="M13">
            <v>393</v>
          </cell>
          <cell r="N13">
            <v>8.1000000000000014</v>
          </cell>
        </row>
        <row r="14">
          <cell r="B14" t="str">
            <v>BB RS-775-18</v>
          </cell>
          <cell r="C14">
            <v>13050</v>
          </cell>
          <cell r="D14">
            <v>0.72</v>
          </cell>
          <cell r="E14">
            <v>97</v>
          </cell>
          <cell r="F14">
            <v>2.7</v>
          </cell>
          <cell r="G14">
            <v>245.98670477608078</v>
          </cell>
        </row>
        <row r="15">
          <cell r="B15" t="str">
            <v>BB RS-550</v>
          </cell>
          <cell r="C15">
            <v>19000</v>
          </cell>
          <cell r="D15">
            <v>0.38</v>
          </cell>
          <cell r="E15">
            <v>84</v>
          </cell>
          <cell r="F15">
            <v>0.4</v>
          </cell>
          <cell r="G15">
            <v>189.01915799098589</v>
          </cell>
        </row>
        <row r="16">
          <cell r="G16">
            <v>0</v>
          </cell>
          <cell r="J16" t="str">
            <v>1 Mini CIM</v>
          </cell>
          <cell r="K16">
            <v>5840</v>
          </cell>
          <cell r="L16">
            <v>1.41</v>
          </cell>
          <cell r="M16">
            <v>89</v>
          </cell>
          <cell r="N16">
            <v>3</v>
          </cell>
        </row>
        <row r="17">
          <cell r="G17">
            <v>0</v>
          </cell>
          <cell r="J17" t="str">
            <v>1 CIM</v>
          </cell>
          <cell r="K17">
            <v>5330</v>
          </cell>
          <cell r="L17">
            <v>2.41</v>
          </cell>
          <cell r="M17">
            <v>131</v>
          </cell>
          <cell r="N17">
            <v>2.7</v>
          </cell>
        </row>
        <row r="18">
          <cell r="G18">
            <v>0</v>
          </cell>
          <cell r="J18" t="str">
            <v>2 Mini CIM</v>
          </cell>
          <cell r="K18">
            <v>5840</v>
          </cell>
          <cell r="L18">
            <v>2.82</v>
          </cell>
          <cell r="M18">
            <v>178</v>
          </cell>
          <cell r="N18">
            <v>6</v>
          </cell>
        </row>
        <row r="19">
          <cell r="G19">
            <v>0</v>
          </cell>
          <cell r="J19" t="str">
            <v>1 CIM + 1 Mini CIM (Copioli)</v>
          </cell>
          <cell r="K19">
            <v>5508</v>
          </cell>
          <cell r="L19">
            <v>3.82</v>
          </cell>
          <cell r="M19">
            <v>220</v>
          </cell>
          <cell r="N19">
            <v>8.16</v>
          </cell>
        </row>
        <row r="20">
          <cell r="G20">
            <v>0</v>
          </cell>
          <cell r="J20" t="str">
            <v>2 CIM</v>
          </cell>
          <cell r="K20">
            <v>5330</v>
          </cell>
          <cell r="L20">
            <v>4.82</v>
          </cell>
          <cell r="M20">
            <v>262</v>
          </cell>
          <cell r="N20">
            <v>5.4</v>
          </cell>
        </row>
        <row r="28">
          <cell r="B28" t="str">
            <v>11:42</v>
          </cell>
          <cell r="C28">
            <v>11</v>
          </cell>
          <cell r="D28">
            <v>42</v>
          </cell>
        </row>
        <row r="29">
          <cell r="B29" t="str">
            <v>12:42</v>
          </cell>
          <cell r="C29">
            <v>12</v>
          </cell>
          <cell r="D29">
            <v>42</v>
          </cell>
        </row>
        <row r="30">
          <cell r="B30" t="str">
            <v>13:42</v>
          </cell>
          <cell r="C30">
            <v>13</v>
          </cell>
          <cell r="D30">
            <v>42</v>
          </cell>
        </row>
        <row r="31">
          <cell r="B31" t="str">
            <v>13:40</v>
          </cell>
          <cell r="C31">
            <v>13</v>
          </cell>
          <cell r="D31">
            <v>40</v>
          </cell>
        </row>
        <row r="32">
          <cell r="B32" t="str">
            <v>14:42</v>
          </cell>
          <cell r="C32">
            <v>14</v>
          </cell>
          <cell r="D32">
            <v>42</v>
          </cell>
        </row>
        <row r="33">
          <cell r="B33" t="str">
            <v>14:40</v>
          </cell>
          <cell r="C33">
            <v>14</v>
          </cell>
          <cell r="D33">
            <v>40</v>
          </cell>
        </row>
        <row r="36">
          <cell r="B36" t="str">
            <v>14:60</v>
          </cell>
          <cell r="C36">
            <v>14</v>
          </cell>
          <cell r="D36">
            <v>60</v>
          </cell>
        </row>
        <row r="37">
          <cell r="B37" t="str">
            <v>24:50</v>
          </cell>
          <cell r="C37">
            <v>24</v>
          </cell>
          <cell r="D37">
            <v>50</v>
          </cell>
        </row>
        <row r="40">
          <cell r="B40" t="str">
            <v>24:50</v>
          </cell>
          <cell r="C40">
            <v>24</v>
          </cell>
          <cell r="D40">
            <v>50</v>
          </cell>
        </row>
        <row r="41">
          <cell r="B41" t="str">
            <v>30:44</v>
          </cell>
          <cell r="C41">
            <v>30</v>
          </cell>
          <cell r="D41">
            <v>44</v>
          </cell>
        </row>
        <row r="42">
          <cell r="B42" t="str">
            <v>34:40</v>
          </cell>
          <cell r="C42">
            <v>34</v>
          </cell>
          <cell r="D42">
            <v>40</v>
          </cell>
        </row>
        <row r="48">
          <cell r="B48" t="str">
            <v>Standard 12-tooth Pinion [50:12]</v>
          </cell>
          <cell r="C48">
            <v>12</v>
          </cell>
          <cell r="D48">
            <v>50</v>
          </cell>
        </row>
        <row r="49">
          <cell r="B49" t="str">
            <v>Optional 11-tooth Pinion [50:11]</v>
          </cell>
          <cell r="C49">
            <v>11</v>
          </cell>
          <cell r="D49">
            <v>50</v>
          </cell>
        </row>
        <row r="53">
          <cell r="B53" t="str">
            <v>Low Gear Option 1 (2.16x Shifter Spread) [50:34]</v>
          </cell>
          <cell r="C53">
            <v>34</v>
          </cell>
          <cell r="D53">
            <v>50</v>
          </cell>
        </row>
        <row r="54">
          <cell r="B54" t="str">
            <v>Low Gear Option 2 (2.65x Shifter Spread) [54:30]</v>
          </cell>
          <cell r="C54">
            <v>30</v>
          </cell>
          <cell r="D54">
            <v>54</v>
          </cell>
        </row>
        <row r="55">
          <cell r="B55" t="str">
            <v>Low Gear Option 3 (3.68x Shifter Spread) [60:24]</v>
          </cell>
          <cell r="C55">
            <v>24</v>
          </cell>
          <cell r="D55">
            <v>60</v>
          </cell>
        </row>
        <row r="57">
          <cell r="B57" t="str">
            <v>NO 3rd Stage Gearing</v>
          </cell>
          <cell r="C57">
            <v>1</v>
          </cell>
          <cell r="D57">
            <v>1</v>
          </cell>
        </row>
        <row r="58">
          <cell r="B58" t="str">
            <v>3rd Stage Option 1 [64:20]</v>
          </cell>
          <cell r="C58">
            <v>20</v>
          </cell>
          <cell r="D58">
            <v>64</v>
          </cell>
        </row>
        <row r="59">
          <cell r="B59" t="str">
            <v>3rd Stage Option 2 [60:24]</v>
          </cell>
          <cell r="C59">
            <v>24</v>
          </cell>
          <cell r="D59">
            <v>60</v>
          </cell>
        </row>
        <row r="60">
          <cell r="B60" t="str">
            <v>3rd Stage Option 3 [54:30]</v>
          </cell>
          <cell r="C60">
            <v>30</v>
          </cell>
          <cell r="D60">
            <v>54</v>
          </cell>
        </row>
        <row r="61">
          <cell r="B61" t="str">
            <v>3rd Stage Option 4 [50:34]</v>
          </cell>
          <cell r="C61">
            <v>34</v>
          </cell>
          <cell r="D61">
            <v>50</v>
          </cell>
        </row>
        <row r="66">
          <cell r="B66" t="str">
            <v>Standard 12-tooth Pinion [40:12]</v>
          </cell>
          <cell r="C66">
            <v>12</v>
          </cell>
          <cell r="D66">
            <v>40</v>
          </cell>
        </row>
        <row r="67">
          <cell r="B67" t="str">
            <v>Optional 11-tooth Pinion [40:11]</v>
          </cell>
          <cell r="C67">
            <v>11</v>
          </cell>
          <cell r="D67">
            <v>40</v>
          </cell>
        </row>
        <row r="69">
          <cell r="B69" t="str">
            <v>NO 3rd Stage Gearing</v>
          </cell>
          <cell r="C69">
            <v>1</v>
          </cell>
          <cell r="D69">
            <v>1</v>
          </cell>
        </row>
        <row r="70">
          <cell r="B70" t="str">
            <v>3rd Stage Option 1 [50:34]</v>
          </cell>
          <cell r="C70">
            <v>34</v>
          </cell>
          <cell r="D70">
            <v>50</v>
          </cell>
        </row>
        <row r="71">
          <cell r="B71" t="str">
            <v>3rd Stage Option 2 [54:30]</v>
          </cell>
          <cell r="C71">
            <v>30</v>
          </cell>
          <cell r="D71">
            <v>54</v>
          </cell>
        </row>
        <row r="72">
          <cell r="B72" t="str">
            <v>3rd Stage Option 3 [60:24]</v>
          </cell>
          <cell r="C72">
            <v>24</v>
          </cell>
          <cell r="D72">
            <v>60</v>
          </cell>
        </row>
        <row r="73">
          <cell r="B73" t="str">
            <v>3rd Stage Option 4 [64:20]</v>
          </cell>
          <cell r="C73">
            <v>20</v>
          </cell>
          <cell r="D73">
            <v>64</v>
          </cell>
        </row>
        <row r="75">
          <cell r="B75" t="str">
            <v>Standard 2nd Stage [40:14]</v>
          </cell>
          <cell r="C75">
            <v>14</v>
          </cell>
          <cell r="D75">
            <v>40</v>
          </cell>
        </row>
        <row r="76">
          <cell r="B76" t="str">
            <v>Optional 2nd Stage [34:20]</v>
          </cell>
          <cell r="C76">
            <v>20</v>
          </cell>
          <cell r="D76">
            <v>34</v>
          </cell>
        </row>
        <row r="77">
          <cell r="B77" t="str">
            <v>Optional 2nd Stage [30:24]</v>
          </cell>
          <cell r="C77">
            <v>24</v>
          </cell>
          <cell r="D77">
            <v>30</v>
          </cell>
        </row>
        <row r="82">
          <cell r="B82" t="str">
            <v>11-tooth Pinion [50:11]</v>
          </cell>
          <cell r="C82">
            <v>11</v>
          </cell>
          <cell r="D82">
            <v>50</v>
          </cell>
        </row>
        <row r="83">
          <cell r="B83" t="str">
            <v>12-tooth Pinion [50:12]</v>
          </cell>
          <cell r="C83">
            <v>12</v>
          </cell>
          <cell r="D83">
            <v>50</v>
          </cell>
        </row>
        <row r="84">
          <cell r="B84" t="str">
            <v>13-tooth Pinion [50:13]</v>
          </cell>
          <cell r="C84">
            <v>13</v>
          </cell>
          <cell r="D84">
            <v>50</v>
          </cell>
        </row>
        <row r="85">
          <cell r="B85" t="str">
            <v>14-tooth Pinion [50:14]</v>
          </cell>
          <cell r="C85">
            <v>14</v>
          </cell>
          <cell r="D85">
            <v>50</v>
          </cell>
        </row>
        <row r="88">
          <cell r="B88" t="str">
            <v>2nd Stage Option 1 [40:34]</v>
          </cell>
          <cell r="C88">
            <v>34</v>
          </cell>
          <cell r="D88">
            <v>40</v>
          </cell>
        </row>
        <row r="89">
          <cell r="B89" t="str">
            <v>2nd Stage Option 2 [44:30]</v>
          </cell>
          <cell r="C89">
            <v>30</v>
          </cell>
          <cell r="D89">
            <v>44</v>
          </cell>
        </row>
        <row r="90">
          <cell r="B90" t="str">
            <v>2nd Stage Option 3 [50:24]</v>
          </cell>
          <cell r="C90">
            <v>24</v>
          </cell>
          <cell r="D90">
            <v>50</v>
          </cell>
        </row>
        <row r="91">
          <cell r="B91" t="str">
            <v>2nd Stage Option 4 [54:20]</v>
          </cell>
          <cell r="C91">
            <v>20</v>
          </cell>
          <cell r="D91">
            <v>54</v>
          </cell>
        </row>
        <row r="92">
          <cell r="B92" t="str">
            <v>2nd Stage Option 5 [60:14]</v>
          </cell>
          <cell r="C92">
            <v>14</v>
          </cell>
          <cell r="D92">
            <v>60</v>
          </cell>
        </row>
      </sheetData>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hiefdelphi.com/media/papers/2432?" TargetMode="External"/><Relationship Id="rId2" Type="http://schemas.openxmlformats.org/officeDocument/2006/relationships/hyperlink" Target="https://www.chiefdelphi.com/media/papers/2715" TargetMode="External"/><Relationship Id="rId1" Type="http://schemas.openxmlformats.org/officeDocument/2006/relationships/hyperlink" Target="https://www.chiefdelphi.com/media/papers/3188" TargetMode="External"/><Relationship Id="rId4" Type="http://schemas.openxmlformats.org/officeDocument/2006/relationships/hyperlink" Target="https://www.chiefdelphi.com/forums/showpost.php?p=1221175&amp;postcount=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www.wcproducts.net/wcp-ds-flipp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C33"/>
  <sheetViews>
    <sheetView tabSelected="1" topLeftCell="A7" workbookViewId="0">
      <selection activeCell="F11" sqref="F11"/>
    </sheetView>
  </sheetViews>
  <sheetFormatPr defaultRowHeight="14.4" x14ac:dyDescent="0.3"/>
  <cols>
    <col min="2" max="2" width="2.77734375" customWidth="1"/>
    <col min="3" max="3" width="70.77734375" customWidth="1"/>
  </cols>
  <sheetData>
    <row r="2" spans="2:3" ht="31.2" x14ac:dyDescent="0.6">
      <c r="C2" s="199" t="s">
        <v>351</v>
      </c>
    </row>
    <row r="3" spans="2:3" ht="15.6" x14ac:dyDescent="0.3">
      <c r="C3" s="198" t="s">
        <v>332</v>
      </c>
    </row>
    <row r="5" spans="2:3" x14ac:dyDescent="0.3">
      <c r="C5" s="25" t="s">
        <v>54</v>
      </c>
    </row>
    <row r="6" spans="2:3" x14ac:dyDescent="0.3">
      <c r="B6" s="3"/>
      <c r="C6" t="s">
        <v>55</v>
      </c>
    </row>
    <row r="7" spans="2:3" x14ac:dyDescent="0.3">
      <c r="B7" s="197"/>
      <c r="C7" t="s">
        <v>56</v>
      </c>
    </row>
    <row r="8" spans="2:3" x14ac:dyDescent="0.3">
      <c r="B8" s="200"/>
      <c r="C8" s="40" t="s">
        <v>57</v>
      </c>
    </row>
    <row r="10" spans="2:3" x14ac:dyDescent="0.3">
      <c r="C10" s="201" t="s">
        <v>334</v>
      </c>
    </row>
    <row r="11" spans="2:3" ht="72" x14ac:dyDescent="0.3">
      <c r="C11" s="202" t="s">
        <v>344</v>
      </c>
    </row>
    <row r="12" spans="2:3" x14ac:dyDescent="0.3">
      <c r="C12" s="203"/>
    </row>
    <row r="13" spans="2:3" x14ac:dyDescent="0.3">
      <c r="C13" s="201" t="s">
        <v>353</v>
      </c>
    </row>
    <row r="14" spans="2:3" ht="72" x14ac:dyDescent="0.3">
      <c r="C14" s="202" t="s">
        <v>343</v>
      </c>
    </row>
    <row r="15" spans="2:3" x14ac:dyDescent="0.3">
      <c r="C15" s="203"/>
    </row>
    <row r="16" spans="2:3" x14ac:dyDescent="0.3">
      <c r="C16" s="201" t="s">
        <v>335</v>
      </c>
    </row>
    <row r="17" spans="3:3" ht="72" x14ac:dyDescent="0.3">
      <c r="C17" s="202" t="s">
        <v>342</v>
      </c>
    </row>
    <row r="18" spans="3:3" x14ac:dyDescent="0.3">
      <c r="C18" s="203"/>
    </row>
    <row r="19" spans="3:3" x14ac:dyDescent="0.3">
      <c r="C19" s="201" t="s">
        <v>336</v>
      </c>
    </row>
    <row r="20" spans="3:3" ht="28.8" x14ac:dyDescent="0.3">
      <c r="C20" s="202" t="s">
        <v>337</v>
      </c>
    </row>
    <row r="21" spans="3:3" x14ac:dyDescent="0.3">
      <c r="C21" s="203"/>
    </row>
    <row r="22" spans="3:3" x14ac:dyDescent="0.3">
      <c r="C22" s="201" t="s">
        <v>338</v>
      </c>
    </row>
    <row r="23" spans="3:3" ht="72" x14ac:dyDescent="0.3">
      <c r="C23" s="202" t="s">
        <v>341</v>
      </c>
    </row>
    <row r="24" spans="3:3" x14ac:dyDescent="0.3">
      <c r="C24" s="203"/>
    </row>
    <row r="25" spans="3:3" x14ac:dyDescent="0.3">
      <c r="C25" s="201" t="s">
        <v>340</v>
      </c>
    </row>
    <row r="26" spans="3:3" ht="57.6" x14ac:dyDescent="0.3">
      <c r="C26" s="202" t="s">
        <v>345</v>
      </c>
    </row>
    <row r="27" spans="3:3" x14ac:dyDescent="0.3">
      <c r="C27" s="203"/>
    </row>
    <row r="29" spans="3:3" x14ac:dyDescent="0.3">
      <c r="C29" s="201" t="s">
        <v>346</v>
      </c>
    </row>
    <row r="30" spans="3:3" x14ac:dyDescent="0.3">
      <c r="C30" s="204" t="s">
        <v>347</v>
      </c>
    </row>
    <row r="31" spans="3:3" x14ac:dyDescent="0.3">
      <c r="C31" s="204" t="s">
        <v>349</v>
      </c>
    </row>
    <row r="32" spans="3:3" x14ac:dyDescent="0.3">
      <c r="C32" s="204" t="s">
        <v>348</v>
      </c>
    </row>
    <row r="33" spans="3:3" x14ac:dyDescent="0.3">
      <c r="C33" s="205" t="s">
        <v>350</v>
      </c>
    </row>
  </sheetData>
  <hyperlinks>
    <hyperlink ref="C30" r:id="rId1"/>
    <hyperlink ref="C32" r:id="rId2"/>
    <hyperlink ref="C31" r:id="rId3"/>
    <hyperlink ref="C33"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L24"/>
  <sheetViews>
    <sheetView zoomScaleNormal="100" workbookViewId="0">
      <selection activeCell="H15" sqref="H15"/>
    </sheetView>
  </sheetViews>
  <sheetFormatPr defaultRowHeight="14.4" x14ac:dyDescent="0.3"/>
  <cols>
    <col min="2" max="2" width="2.77734375" customWidth="1"/>
    <col min="3" max="3" width="21.33203125" customWidth="1"/>
    <col min="7" max="8" width="10.33203125" customWidth="1"/>
    <col min="10" max="10" width="12.33203125" customWidth="1"/>
    <col min="11" max="11" width="9.33203125" customWidth="1"/>
    <col min="12" max="12" width="14.44140625" customWidth="1"/>
    <col min="13" max="13" width="9.33203125" customWidth="1"/>
    <col min="14" max="14" width="6.33203125" customWidth="1"/>
  </cols>
  <sheetData>
    <row r="2" spans="2:12" ht="31.2" x14ac:dyDescent="0.6">
      <c r="C2" s="23" t="s">
        <v>305</v>
      </c>
    </row>
    <row r="4" spans="2:12" x14ac:dyDescent="0.3">
      <c r="C4" s="206" t="s">
        <v>31</v>
      </c>
      <c r="D4" s="207"/>
      <c r="E4" s="25" t="s">
        <v>32</v>
      </c>
      <c r="G4" s="1" t="s">
        <v>312</v>
      </c>
      <c r="H4" s="1" t="s">
        <v>63</v>
      </c>
      <c r="I4" s="2" t="s">
        <v>322</v>
      </c>
      <c r="J4" s="1" t="str">
        <f>IF(ISBLANK(B11), "C-C Dist. (in)", "C-C Dist. (mm)")</f>
        <v>C-C Dist. (in)</v>
      </c>
    </row>
    <row r="5" spans="2:12" x14ac:dyDescent="0.3">
      <c r="C5" s="26" t="s">
        <v>42</v>
      </c>
      <c r="D5" s="27">
        <f>VLOOKUP($C$4,UsefulValues!$X$5:$AC$22,2,FALSE)</f>
        <v>5330</v>
      </c>
      <c r="E5" s="28">
        <f>D5</f>
        <v>5330</v>
      </c>
      <c r="G5" s="3">
        <v>12</v>
      </c>
      <c r="H5" s="3">
        <v>40</v>
      </c>
      <c r="I5" s="3">
        <v>20</v>
      </c>
      <c r="J5" s="197">
        <f>IFERROR((G5+H5)/(2*I5)*IF(ISBLANK(B$11), 1, 25.4), "")</f>
        <v>1.3</v>
      </c>
    </row>
    <row r="6" spans="2:12" x14ac:dyDescent="0.3">
      <c r="C6" s="26" t="s">
        <v>44</v>
      </c>
      <c r="D6" s="188">
        <f>VLOOKUP($C$4,UsefulValues!$X$5:$AC$22,3,FALSE)</f>
        <v>2.41</v>
      </c>
      <c r="E6" s="30">
        <f>D6*D13*D14*D15</f>
        <v>8.6760000000000002</v>
      </c>
      <c r="G6" s="3">
        <v>14</v>
      </c>
      <c r="H6" s="3">
        <v>40</v>
      </c>
      <c r="I6" s="3">
        <v>20</v>
      </c>
      <c r="J6" s="197">
        <f t="shared" ref="J6:J8" si="0">IFERROR((G6+H6)/(2*I6)*IF(ISBLANK(B$11), 1, 25.4), "")</f>
        <v>1.35</v>
      </c>
    </row>
    <row r="7" spans="2:12" x14ac:dyDescent="0.3">
      <c r="C7" s="26" t="s">
        <v>46</v>
      </c>
      <c r="D7" s="187">
        <f>VLOOKUP($C$4,UsefulValues!$X$5:$AC$22,4,FALSE)</f>
        <v>131</v>
      </c>
      <c r="E7" s="32">
        <f>D7*D13*D14</f>
        <v>524</v>
      </c>
      <c r="G7" s="3"/>
      <c r="H7" s="3"/>
      <c r="I7" s="3"/>
      <c r="J7" s="197" t="str">
        <f t="shared" si="0"/>
        <v/>
      </c>
    </row>
    <row r="8" spans="2:12" x14ac:dyDescent="0.3">
      <c r="C8" s="26" t="s">
        <v>48</v>
      </c>
      <c r="D8" s="187">
        <f>VLOOKUP($C$4,UsefulValues!$X$5:$AC$22,5,FALSE)</f>
        <v>2.7</v>
      </c>
      <c r="E8" s="32">
        <f>D8*D13*D14</f>
        <v>10.8</v>
      </c>
      <c r="G8" s="3"/>
      <c r="H8" s="3"/>
      <c r="I8" s="3"/>
      <c r="J8" s="197" t="str">
        <f t="shared" si="0"/>
        <v/>
      </c>
    </row>
    <row r="9" spans="2:12" x14ac:dyDescent="0.3">
      <c r="C9" s="22" t="s">
        <v>49</v>
      </c>
      <c r="D9" s="27">
        <f>(D5/60*2*PI())*D6/4</f>
        <v>336.28916760964142</v>
      </c>
      <c r="E9" s="27">
        <f>(E5/60*2*PI())*E6/4</f>
        <v>1210.6410033947091</v>
      </c>
      <c r="G9" t="s">
        <v>313</v>
      </c>
      <c r="H9" s="192">
        <f>IF(H5=0,1,H5)*IF(H6=0,1,H6)*IF(H7=0,1,H7)*IF(H8=0,1,H8)/IF(G5=0,1,G5)/IF(G6=0,1,G6)/IF(G7=0,1,G7)/IF(G8=0,1,G8)</f>
        <v>9.5238095238095237</v>
      </c>
    </row>
    <row r="11" spans="2:12" x14ac:dyDescent="0.3">
      <c r="B11" s="1"/>
      <c r="C11" t="s">
        <v>53</v>
      </c>
    </row>
    <row r="13" spans="2:12" x14ac:dyDescent="0.3">
      <c r="C13" s="26" t="s">
        <v>306</v>
      </c>
      <c r="D13" s="18">
        <v>2</v>
      </c>
      <c r="G13" s="1" t="s">
        <v>312</v>
      </c>
      <c r="H13" s="1" t="s">
        <v>63</v>
      </c>
      <c r="J13" s="1" t="s">
        <v>196</v>
      </c>
      <c r="K13" s="31">
        <f>E$5/H15*(D$20/(IF(ISBLANK(B$11), 1, 25.4))*PI())/12/60/IF(ISBLANK(B$11), 1, 3.281)</f>
        <v>7.8141881270290119</v>
      </c>
      <c r="L13" t="str">
        <f>IF(ISBLANK(B$11), "ft/s", "m/s")</f>
        <v>ft/s</v>
      </c>
    </row>
    <row r="14" spans="2:12" x14ac:dyDescent="0.3">
      <c r="C14" s="26" t="s">
        <v>307</v>
      </c>
      <c r="D14" s="18">
        <v>2</v>
      </c>
      <c r="G14" s="3">
        <v>12</v>
      </c>
      <c r="H14" s="3">
        <v>15</v>
      </c>
      <c r="J14" s="1" t="s">
        <v>314</v>
      </c>
      <c r="K14" s="31">
        <f>K13*D$16</f>
        <v>6.3294923828935001</v>
      </c>
      <c r="L14" t="str">
        <f>IF(ISBLANK(B$11), "ft/s", "m/s")</f>
        <v>ft/s</v>
      </c>
    </row>
    <row r="15" spans="2:12" x14ac:dyDescent="0.3">
      <c r="C15" s="36" t="s">
        <v>52</v>
      </c>
      <c r="D15" s="37">
        <v>0.9</v>
      </c>
      <c r="G15" s="1" t="s">
        <v>320</v>
      </c>
      <c r="H15" s="194">
        <f>H9*IF(H14=0,1,H14)/IF(G14=0,1,G14)</f>
        <v>11.904761904761905</v>
      </c>
      <c r="J15" s="1" t="s">
        <v>315</v>
      </c>
      <c r="K15" s="31">
        <f>((E$7-E$8)/E$6)*((D$18*IF(ISBLANK(B$11), 1, 2.205))*D$19*D$21/D$14)*4.44822161526*(D20/IF(ISBLANK(B$11), 1, 25.4))*0.0254/2/D$13/H15 +(E$8/D$13/D$14)</f>
        <v>50.249935647241152</v>
      </c>
      <c r="L15" t="s">
        <v>354</v>
      </c>
    </row>
    <row r="16" spans="2:12" x14ac:dyDescent="0.3">
      <c r="C16" s="36" t="s">
        <v>309</v>
      </c>
      <c r="D16" s="37">
        <v>0.81</v>
      </c>
    </row>
    <row r="18" spans="2:12" x14ac:dyDescent="0.3">
      <c r="C18" s="33" t="s">
        <v>308</v>
      </c>
      <c r="D18" s="189">
        <v>154</v>
      </c>
      <c r="E18" t="str">
        <f>IF(ISBLANK($B$11), "lbs", "kg")</f>
        <v>lbs</v>
      </c>
      <c r="G18" s="25" t="s">
        <v>321</v>
      </c>
    </row>
    <row r="19" spans="2:12" x14ac:dyDescent="0.3">
      <c r="C19" s="33" t="s">
        <v>304</v>
      </c>
      <c r="D19" s="190">
        <v>1</v>
      </c>
      <c r="G19" s="1" t="s">
        <v>312</v>
      </c>
      <c r="H19" s="1" t="s">
        <v>63</v>
      </c>
      <c r="J19" s="1" t="s">
        <v>196</v>
      </c>
      <c r="K19" s="31" t="str">
        <f>IF(ISBLANK($B$23), "", E$5/K23*(IF(ISBLANK(B24),D20,G22)/IF(ISBLANK(B$11), 1, 25.4)*PI())/12/60/IF(ISBLANK(B$11), 1, 3.281))</f>
        <v/>
      </c>
      <c r="L19" t="str">
        <f>IF(ISBLANK(B$11), "ft/s", "m/s")</f>
        <v>ft/s</v>
      </c>
    </row>
    <row r="20" spans="2:12" x14ac:dyDescent="0.3">
      <c r="C20" s="33" t="s">
        <v>310</v>
      </c>
      <c r="D20" s="191">
        <v>4</v>
      </c>
      <c r="E20" t="str">
        <f>IF(ISBLANK($B$11), "inches", "mm")</f>
        <v>inches</v>
      </c>
      <c r="G20" s="166"/>
      <c r="H20" s="166"/>
      <c r="I20" s="39"/>
      <c r="J20" s="1" t="s">
        <v>314</v>
      </c>
      <c r="K20" s="31" t="str">
        <f>IF(ISBLANK($B$23), "", K19*D$16)</f>
        <v/>
      </c>
      <c r="L20" t="str">
        <f>IF(ISBLANK(B$11), "ft/s", "m/s")</f>
        <v>ft/s</v>
      </c>
    </row>
    <row r="21" spans="2:12" x14ac:dyDescent="0.3">
      <c r="C21" s="33" t="s">
        <v>311</v>
      </c>
      <c r="D21" s="191">
        <v>1.1000000000000001</v>
      </c>
      <c r="G21" s="195" t="s">
        <v>316</v>
      </c>
      <c r="H21" s="196"/>
      <c r="J21" s="1" t="s">
        <v>315</v>
      </c>
      <c r="K21" s="31" t="str">
        <f>IF(ISBLANK($B$23), "", ((E$7-E$8)/E$6)*((D$18*IF(ISBLANK(B$11), 1, 2.205))*D$19*D$21/D$14)*4.44822161526*IF(ISBLANK(B24),D20,G22)/IF(ISBLANK(B$11), 1, 25.4)*0.0254/2/D$13/K23 +(E$8/D$13/D$14))</f>
        <v/>
      </c>
      <c r="L21" t="s">
        <v>354</v>
      </c>
    </row>
    <row r="22" spans="2:12" x14ac:dyDescent="0.3">
      <c r="G22" s="3"/>
      <c r="H22" t="str">
        <f>IF(ISBLANK($B$11), "inches", "mm")</f>
        <v>inches</v>
      </c>
    </row>
    <row r="23" spans="2:12" x14ac:dyDescent="0.3">
      <c r="B23" s="1"/>
      <c r="C23" t="s">
        <v>318</v>
      </c>
      <c r="G23" s="195" t="s">
        <v>317</v>
      </c>
      <c r="H23" s="196"/>
      <c r="J23" s="2" t="s">
        <v>320</v>
      </c>
      <c r="K23" s="193" t="str">
        <f>IF(ISBLANK($B$23), "", H9*IF(H20=0,1,H20)/IF(G20=0,1,G20))</f>
        <v/>
      </c>
    </row>
    <row r="24" spans="2:12" x14ac:dyDescent="0.3">
      <c r="B24" s="1"/>
      <c r="C24" t="s">
        <v>333</v>
      </c>
      <c r="G24" s="3"/>
      <c r="J24" s="2" t="s">
        <v>319</v>
      </c>
      <c r="K24" s="193" t="str">
        <f>IF(ISBLANK($B$23), "", IF(H15&gt;K23, H15/K23, H15/H15))</f>
        <v/>
      </c>
    </row>
  </sheetData>
  <mergeCells count="1">
    <mergeCell ref="C4:D4"/>
  </mergeCells>
  <conditionalFormatting sqref="G18:L20 I21:L24">
    <cfRule type="expression" dxfId="10" priority="2">
      <formula>ISBLANK($B$23)</formula>
    </cfRule>
  </conditionalFormatting>
  <conditionalFormatting sqref="G21:H24">
    <cfRule type="expression" dxfId="9" priority="1">
      <formula>OR(ISBLANK($B$23), ISBLANK($B$24))</formula>
    </cfRule>
  </conditionalFormatting>
  <dataValidations count="3">
    <dataValidation type="custom" showErrorMessage="1" errorTitle="One-Speed Selected" error="Select 2-Speed to enable multiple speed outputs." sqref="G20:H20">
      <formula1>NOT(ISBLANK($B$23))</formula1>
    </dataValidation>
    <dataValidation type="custom" showErrorMessage="1" errorTitle="One-Speed Selected" error="Select 2-Speed to enable multiple speed outputs." sqref="G24">
      <formula1>NOT(OR(ISBLANK(B23), ISBLANK(B24)))</formula1>
    </dataValidation>
    <dataValidation type="custom" showErrorMessage="1" errorTitle="One-Speed Selected" error="Select 2-Speed to enable multiple speed outputs." sqref="G22">
      <formula1>NOT(OR(ISBLANK($B$23), ISBLANK($B$24)))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UsefulValues!$X$5:$X$22</xm:f>
          </x14:formula1>
          <xm:sqref>C4:D4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B2:P19"/>
  <sheetViews>
    <sheetView workbookViewId="0">
      <selection activeCell="D17" sqref="D17"/>
    </sheetView>
  </sheetViews>
  <sheetFormatPr defaultRowHeight="14.4" x14ac:dyDescent="0.3"/>
  <cols>
    <col min="2" max="2" width="2.77734375" customWidth="1"/>
    <col min="3" max="3" width="18.88671875" customWidth="1"/>
    <col min="4" max="4" width="8.88671875" customWidth="1"/>
    <col min="5" max="5" width="9.44140625" customWidth="1"/>
    <col min="6" max="6" width="8.6640625" customWidth="1"/>
    <col min="7" max="7" width="20.88671875" customWidth="1"/>
    <col min="8" max="16" width="11.33203125" customWidth="1"/>
  </cols>
  <sheetData>
    <row r="2" spans="3:16" ht="31.2" x14ac:dyDescent="0.6">
      <c r="C2" s="23" t="s">
        <v>352</v>
      </c>
    </row>
    <row r="4" spans="3:16" x14ac:dyDescent="0.3">
      <c r="C4" s="206" t="s">
        <v>31</v>
      </c>
      <c r="D4" s="207"/>
      <c r="E4" s="25" t="s">
        <v>32</v>
      </c>
      <c r="H4" s="182" t="s">
        <v>33</v>
      </c>
      <c r="I4" s="182" t="s">
        <v>34</v>
      </c>
      <c r="J4" s="182" t="s">
        <v>35</v>
      </c>
      <c r="K4" s="182" t="s">
        <v>36</v>
      </c>
      <c r="L4" s="182" t="s">
        <v>37</v>
      </c>
      <c r="M4" s="182" t="s">
        <v>38</v>
      </c>
      <c r="N4" s="182" t="s">
        <v>39</v>
      </c>
      <c r="O4" s="182" t="s">
        <v>40</v>
      </c>
      <c r="P4" s="182" t="s">
        <v>41</v>
      </c>
    </row>
    <row r="5" spans="3:16" x14ac:dyDescent="0.3">
      <c r="C5" s="26" t="s">
        <v>42</v>
      </c>
      <c r="D5" s="27">
        <f>VLOOKUP($C$4,UsefulValues!$X$5:$AC$22,2,FALSE)</f>
        <v>5330</v>
      </c>
      <c r="E5" s="28">
        <f>D5*(D$12/12)</f>
        <v>4885.833333333333</v>
      </c>
      <c r="G5" s="1" t="s">
        <v>43</v>
      </c>
      <c r="H5" s="141">
        <f>E15*(H10*IF(ISBLANK(B$19), 1, 2.205))/E6*0.113</f>
        <v>12.787627310448888</v>
      </c>
      <c r="I5" s="141">
        <f>E15*E16/8.850745792/((SQRT(E8)*E6)/(SQRT(E7)+SQRT(E8)))</f>
        <v>50.923235641741456</v>
      </c>
      <c r="J5" s="145">
        <v>10</v>
      </c>
      <c r="K5" s="141">
        <f>($E$6*$E$5+SQRT(($E$6*$E$5)^2-27.119*$E$16*$E$15*K7*$E$6*$E$5))/(120*K7*$E$6)</f>
        <v>32.772032194087664</v>
      </c>
      <c r="L5" s="141">
        <f>($E$6*$E$5+SQRT(($E$6*$E$5)^2-27.119*$E$16*$E$15*L7*$E$6*$E$5))/(120*L7*$E$6)</f>
        <v>34.804557011837872</v>
      </c>
      <c r="M5" s="141">
        <f>($E7-$E8)/($E6/$D$13)*$E15*$E16/$D11/0.2248/39.37/(M11-$E8/$D11)</f>
        <v>21.853477965680096</v>
      </c>
      <c r="N5" s="141">
        <f>($E7-$E8)/($E6/$D$13)*$E15*$E16/$D11/0.2248/39.37/(N11-$E8/$D11)</f>
        <v>16.029766315931901</v>
      </c>
      <c r="O5" s="141">
        <f>($E7-$E8)/($E6/$D$13)*$E15*$E16/$D11/0.2248/39.37/(O11-$E8/$D11)</f>
        <v>12.65685388754013</v>
      </c>
      <c r="P5" s="141">
        <f>($E7-$E8)/($E6/$D$13)*$E15*$E16/$D11/0.2248/39.37/(P11-$E8/$D11)</f>
        <v>26.704416470825514</v>
      </c>
    </row>
    <row r="6" spans="3:16" x14ac:dyDescent="0.3">
      <c r="C6" s="26" t="s">
        <v>44</v>
      </c>
      <c r="D6" s="29">
        <f>VLOOKUP($C$4,UsefulValues!X5:AC22,3,FALSE)</f>
        <v>2.41</v>
      </c>
      <c r="E6" s="30">
        <f>D6*(D$12/12)*D11*D13</f>
        <v>1.7673333333333332</v>
      </c>
      <c r="G6" s="1" t="s">
        <v>45</v>
      </c>
      <c r="H6" s="142">
        <f t="shared" ref="H6:P6" si="0">$E5/H5/60</f>
        <v>6.36791748607014</v>
      </c>
      <c r="I6" s="142">
        <f t="shared" si="0"/>
        <v>1.599084475472871</v>
      </c>
      <c r="J6" s="142">
        <f t="shared" si="0"/>
        <v>8.1430555555555557</v>
      </c>
      <c r="K6" s="142">
        <f t="shared" si="0"/>
        <v>2.4847575845554757</v>
      </c>
      <c r="L6" s="142">
        <f t="shared" si="0"/>
        <v>2.3396521187687882</v>
      </c>
      <c r="M6" s="142">
        <f t="shared" si="0"/>
        <v>3.726205763834872</v>
      </c>
      <c r="N6" s="142">
        <f t="shared" si="0"/>
        <v>5.0799589932026743</v>
      </c>
      <c r="O6" s="142">
        <f t="shared" si="0"/>
        <v>6.4337122225704739</v>
      </c>
      <c r="P6" s="142">
        <f t="shared" si="0"/>
        <v>3.0493291491509713</v>
      </c>
    </row>
    <row r="7" spans="3:16" x14ac:dyDescent="0.3">
      <c r="C7" s="26" t="s">
        <v>46</v>
      </c>
      <c r="D7" s="29">
        <f>VLOOKUP($C$4,UsefulValues!X5:AC22,4,FALSE)</f>
        <v>131</v>
      </c>
      <c r="E7" s="32">
        <f>D7*(D$12/12)*D11</f>
        <v>120.08333333333333</v>
      </c>
      <c r="G7" s="1" t="s">
        <v>47</v>
      </c>
      <c r="H7" s="142">
        <f>H6*(1-$E16/(H10*IF(ISBLANK(B$19), 1, 2.205)))</f>
        <v>3.18395874303507</v>
      </c>
      <c r="I7" s="142">
        <f>I6*(1-$E16/(I10*IF(ISBLANK(B$19), 1, 2.205)))</f>
        <v>1.3983253820357102</v>
      </c>
      <c r="J7" s="142">
        <f>J6*(1-$E16/(J10*IF(ISBLANK(B$19), 1, 2.205)))</f>
        <v>2.9370190708217168</v>
      </c>
      <c r="K7" s="146">
        <v>2</v>
      </c>
      <c r="L7" s="142">
        <f>(L9*IF(ISBLANK(B$19), 1, 3.281))/E15/2/PI()*12</f>
        <v>1.909859317102744</v>
      </c>
      <c r="M7" s="142">
        <f>M6*(1-$E16/(M10*IF(ISBLANK(B$19), 1, 2.205)))</f>
        <v>2.6361064194408215</v>
      </c>
      <c r="N7" s="142">
        <f>N6*(1-$E16/(N10*IF(ISBLANK(B$19), 1, 2.205)))</f>
        <v>3.0538965555218445</v>
      </c>
      <c r="O7" s="142">
        <f>O6*(1-$E16/(O10*IF(ISBLANK(B$19), 1, 2.205)))</f>
        <v>3.1839194069643475</v>
      </c>
      <c r="P7" s="142">
        <f>P6*(1-$E16/(P10*IF(ISBLANK(B$19), 1, 2.205)))</f>
        <v>2.3192986196608669</v>
      </c>
    </row>
    <row r="8" spans="3:16" x14ac:dyDescent="0.3">
      <c r="C8" s="26" t="s">
        <v>48</v>
      </c>
      <c r="D8" s="29">
        <f>VLOOKUP($C$4,UsefulValues!X5:AC22,5,FALSE)</f>
        <v>2.7</v>
      </c>
      <c r="E8" s="32">
        <f>D8*(D$12/12)*D11</f>
        <v>2.4750000000000001</v>
      </c>
      <c r="G8" s="1" t="str">
        <f>IF(ISBLANK(B$19), "Lin. Free Speed (ft/s)", "Lin. Free Speed (m/s)")</f>
        <v>Lin. Free Speed (ft/s)</v>
      </c>
      <c r="H8" s="142">
        <f>H6/12*2*PI()*$E$15/IF(ISBLANK(B$19), 1, 3.281)</f>
        <v>16.671168994086614</v>
      </c>
      <c r="I8" s="142">
        <f>I6/12*2*PI()*$E$15/IF(ISBLANK(B$19), 1, 3.281)</f>
        <v>4.1863933671792157</v>
      </c>
      <c r="J8" s="142">
        <f>J6/12*2*PI()*$E$15/IF(ISBLANK(B$19), 1, 3.281)</f>
        <v>21.318469592589075</v>
      </c>
      <c r="K8" s="142">
        <f>K6/12*2*PI()*$E$15/IF(ISBLANK(B$19), 1, 3.281)</f>
        <v>6.5050801446591686</v>
      </c>
      <c r="L8" s="142">
        <f>L6/12*2*PI()*$E$15/IF(ISBLANK(B$19), 1, 3.281)</f>
        <v>6.1251949235665162</v>
      </c>
      <c r="M8" s="142">
        <f>M6/12*2*PI()*$E$15/IF(ISBLANK(B$19), 1, 3.281)</f>
        <v>9.7551838778563145</v>
      </c>
      <c r="N8" s="142">
        <f>N6/12*2*PI()*$E$15/IF(ISBLANK(B$19), 1, 3.281)</f>
        <v>13.299301544652435</v>
      </c>
      <c r="O8" s="142">
        <f>O6/12*2*PI()*$E$15/IF(ISBLANK(B$19), 1, 3.281)</f>
        <v>16.843419211448552</v>
      </c>
      <c r="P8" s="142">
        <f>P6/12*2*PI()*$E$15/IF(ISBLANK(B$19), 1, 3.281)</f>
        <v>7.983125044458256</v>
      </c>
    </row>
    <row r="9" spans="3:16" x14ac:dyDescent="0.3">
      <c r="C9" s="34" t="s">
        <v>49</v>
      </c>
      <c r="D9" s="35">
        <f>D5/2*(1/60*2*PI())*D6/2</f>
        <v>336.28916760964142</v>
      </c>
      <c r="E9" s="35">
        <f>E5/2*(1/60*2*PI())*E6/2</f>
        <v>226.06105155981447</v>
      </c>
      <c r="G9" s="1" t="str">
        <f>IF(ISBLANK(B$19), "Lin. Loaded Speed (ft/s)", "Lin. Loaded Speed (m/s)")</f>
        <v>Lin. Loaded Speed (ft/s)</v>
      </c>
      <c r="H9" s="142">
        <f>H7/12*2*PI()*$E$15/IF(ISBLANK(B$19), 1, 3.281)</f>
        <v>8.3355844970433068</v>
      </c>
      <c r="I9" s="142">
        <f>I7/12*2*PI()*$E$15/IF(ISBLANK(B$19), 1, 3.281)</f>
        <v>3.6608072896096067</v>
      </c>
      <c r="J9" s="142">
        <f>J7/12*2*PI()*$E$15/IF(ISBLANK(B$19), 1, 3.281)</f>
        <v>7.6890979469555205</v>
      </c>
      <c r="K9" s="142">
        <f>K7/12*2*PI()*$E$15/IF(ISBLANK(B$19), 1, 3.281)</f>
        <v>5.2359877559829879</v>
      </c>
      <c r="L9" s="146">
        <v>5</v>
      </c>
      <c r="M9" s="142">
        <f>M7/12*2*PI()*$E$15/IF(ISBLANK(B$19), 1, 3.281)</f>
        <v>6.9013104678301485</v>
      </c>
      <c r="N9" s="142">
        <f>N7/12*2*PI()*$E$15/IF(ISBLANK(B$19), 1, 3.281)</f>
        <v>7.9950824863755008</v>
      </c>
      <c r="O9" s="142">
        <f>O7/12*2*PI()*$E$15/IF(ISBLANK(B$19), 1, 3.281)</f>
        <v>8.3354815154509705</v>
      </c>
      <c r="P9" s="142">
        <f>P7/12*2*PI()*$E$15/IF(ISBLANK(B$19), 1, 3.281)</f>
        <v>6.0719095875062736</v>
      </c>
    </row>
    <row r="10" spans="3:16" x14ac:dyDescent="0.3">
      <c r="G10" s="2" t="str">
        <f>IF(ISBLANK(B$19), "Stall Load (lbs)", "Stall Load (kg)")</f>
        <v>Stall Load (lbs)</v>
      </c>
      <c r="H10" s="143">
        <f>2*E16/IF(ISBLANK(B$19), 1, 2.205)</f>
        <v>40</v>
      </c>
      <c r="I10" s="143">
        <f>$E$6*I5*39.37*0.2248/$E$15/IF(ISBLANK(B$19), 1, 2.205)</f>
        <v>159.30381514433344</v>
      </c>
      <c r="J10" s="143">
        <f>$E$6*J5*39.37*0.2248/$E$15/IF(ISBLANK(B$19), 1, 2.205)</f>
        <v>31.283129034666661</v>
      </c>
      <c r="K10" s="143">
        <f>$E$6*K5*39.37*0.2248/$E$15/IF(ISBLANK(B$19), 1, 2.205)</f>
        <v>102.52117118558945</v>
      </c>
      <c r="L10" s="143">
        <f>$E$6*L5*39.37*0.2248/$E$15/IF(ISBLANK(B$19), 1, 2.205)</f>
        <v>108.87954479957364</v>
      </c>
      <c r="M10" s="143">
        <f>$E$6*M5*39.37*0.2248/$E$15/IF(ISBLANK(B$19), 1, 2.205)</f>
        <v>68.36451710566152</v>
      </c>
      <c r="N10" s="143">
        <f>$E$6*N5*39.37*0.2248/$E$15/IF(ISBLANK(B$19), 1, 2.205)</f>
        <v>50.146124805685091</v>
      </c>
      <c r="O10" s="143">
        <f>$E$6*O5*39.37*0.2248/$E$15/IF(ISBLANK(B$19), 1, 2.205)</f>
        <v>39.59459933368403</v>
      </c>
      <c r="P10" s="143">
        <f>$E$6*P5*39.37*0.2248/$E$15/IF(ISBLANK(B$19), 1, 2.205)</f>
        <v>83.539770625231228</v>
      </c>
    </row>
    <row r="11" spans="3:16" x14ac:dyDescent="0.3">
      <c r="C11" s="26" t="s">
        <v>50</v>
      </c>
      <c r="D11" s="18">
        <v>1</v>
      </c>
      <c r="G11" s="1" t="s">
        <v>355</v>
      </c>
      <c r="H11" s="144">
        <f>($E7-$E8)/($E6/$D$13)*$E15*$E16/H5/$D11/0.2248/39.37 + ($E8/D11)</f>
        <v>49.513982791892879</v>
      </c>
      <c r="I11" s="144">
        <f>($E7-$E8)/($E6/$D$13)*$E15*$E16/I5/$D11/0.2248/39.37 + $E8/$D11</f>
        <v>14.287230181859949</v>
      </c>
      <c r="J11" s="144">
        <f>($E7-$E8)/($E6/$D$13)*$E15*$E16/J5/$D11/0.2248/39.37 + $E8/$D11</f>
        <v>62.626698100534476</v>
      </c>
      <c r="K11" s="144">
        <f>($E7-$E8)/($E6/$D$13)*$E15*$E16/K5/$D11/0.2248/39.37 + $E8/$D11</f>
        <v>20.829582878563851</v>
      </c>
      <c r="L11" s="144">
        <f>($E7-$E8)/($E6/$D$13)*$E15*$E16/L5/$D11/0.2248/39.37 + $E8/$D11</f>
        <v>19.757707571906582</v>
      </c>
      <c r="M11" s="147">
        <v>30</v>
      </c>
      <c r="N11" s="147">
        <v>40</v>
      </c>
      <c r="O11" s="147">
        <v>50</v>
      </c>
      <c r="P11" s="148">
        <v>25</v>
      </c>
    </row>
    <row r="12" spans="3:16" x14ac:dyDescent="0.3">
      <c r="C12" s="26" t="s">
        <v>51</v>
      </c>
      <c r="D12" s="18">
        <v>11</v>
      </c>
    </row>
    <row r="13" spans="3:16" x14ac:dyDescent="0.3">
      <c r="C13" s="36" t="s">
        <v>52</v>
      </c>
      <c r="D13" s="37">
        <v>0.8</v>
      </c>
    </row>
    <row r="14" spans="3:16" x14ac:dyDescent="0.3">
      <c r="F14" s="38"/>
    </row>
    <row r="15" spans="3:16" x14ac:dyDescent="0.3">
      <c r="C15" s="26" t="str">
        <f>"Radius (" &amp; IF(ISBLANK(B19),"in","mm") &amp; ")"</f>
        <v>Radius (in)</v>
      </c>
      <c r="D15" s="18">
        <v>5</v>
      </c>
      <c r="E15" s="39">
        <f>IF(ISBLANK($B$19),D15,D15/25.4)</f>
        <v>5</v>
      </c>
    </row>
    <row r="16" spans="3:16" x14ac:dyDescent="0.3">
      <c r="C16" s="36" t="str">
        <f>"Load (" &amp; IF(ISBLANK(B19),"lbs","kg") &amp; ")"</f>
        <v>Load (lbs)</v>
      </c>
      <c r="D16" s="18">
        <v>20</v>
      </c>
      <c r="E16" s="39">
        <f>IF(ISBLANK($B$19),D16,D16*2.205)</f>
        <v>20</v>
      </c>
    </row>
    <row r="19" spans="2:3" x14ac:dyDescent="0.3">
      <c r="B19" s="1"/>
      <c r="C19" t="s">
        <v>53</v>
      </c>
    </row>
  </sheetData>
  <mergeCells count="1">
    <mergeCell ref="C4:D4"/>
  </mergeCells>
  <conditionalFormatting sqref="P11">
    <cfRule type="expression" dxfId="8" priority="9">
      <formula>$P$5&lt;=0</formula>
    </cfRule>
  </conditionalFormatting>
  <conditionalFormatting sqref="L9">
    <cfRule type="expression" dxfId="7" priority="8">
      <formula>OR(ISERROR($L$5),$L$9&lt;=0)</formula>
    </cfRule>
  </conditionalFormatting>
  <conditionalFormatting sqref="K7">
    <cfRule type="expression" dxfId="6" priority="7">
      <formula>OR(ISERROR($K$5), $K$7&lt;=0)</formula>
    </cfRule>
  </conditionalFormatting>
  <conditionalFormatting sqref="D11">
    <cfRule type="expression" dxfId="5" priority="6">
      <formula>$D$11&lt;=0</formula>
    </cfRule>
  </conditionalFormatting>
  <conditionalFormatting sqref="D12">
    <cfRule type="expression" dxfId="4" priority="5">
      <formula>OR($D$12&lt;=0, $D$12&gt;12)</formula>
    </cfRule>
  </conditionalFormatting>
  <conditionalFormatting sqref="D13">
    <cfRule type="expression" dxfId="3" priority="4">
      <formula>OR($D$13&lt;=0, $D$13&gt;1)</formula>
    </cfRule>
  </conditionalFormatting>
  <conditionalFormatting sqref="D15">
    <cfRule type="expression" dxfId="2" priority="3">
      <formula>$D$15&lt;=0</formula>
    </cfRule>
  </conditionalFormatting>
  <conditionalFormatting sqref="D16">
    <cfRule type="expression" dxfId="1" priority="2">
      <formula>$D$16&lt;=0</formula>
    </cfRule>
  </conditionalFormatting>
  <conditionalFormatting sqref="J5">
    <cfRule type="expression" dxfId="0" priority="1">
      <formula>$J$7&lt;=0</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UsefulValues!$X$5:$X$22</xm:f>
          </x14:formula1>
          <xm:sqref>C4:D4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2:M28"/>
  <sheetViews>
    <sheetView workbookViewId="0">
      <selection activeCell="L25" sqref="L25"/>
    </sheetView>
  </sheetViews>
  <sheetFormatPr defaultRowHeight="14.4" x14ac:dyDescent="0.3"/>
  <cols>
    <col min="2" max="2" width="12.21875" customWidth="1"/>
    <col min="3" max="3" width="8" customWidth="1"/>
    <col min="10" max="10" width="8.88671875" customWidth="1"/>
  </cols>
  <sheetData>
    <row r="2" spans="2:10" ht="31.2" x14ac:dyDescent="0.6">
      <c r="B2" s="23" t="s">
        <v>25</v>
      </c>
    </row>
    <row r="4" spans="2:10" x14ac:dyDescent="0.3">
      <c r="B4" s="17" t="s">
        <v>0</v>
      </c>
      <c r="C4" s="16">
        <v>0.25</v>
      </c>
      <c r="D4" t="s">
        <v>20</v>
      </c>
      <c r="J4" s="24" t="s">
        <v>26</v>
      </c>
    </row>
    <row r="6" spans="2:10" x14ac:dyDescent="0.3">
      <c r="B6" s="17" t="s">
        <v>1</v>
      </c>
      <c r="C6" s="18">
        <v>15</v>
      </c>
    </row>
    <row r="7" spans="2:10" x14ac:dyDescent="0.3">
      <c r="B7" s="17" t="s">
        <v>18</v>
      </c>
      <c r="C7" s="19">
        <f>C6*C$4/PI()</f>
        <v>1.1936620731892151</v>
      </c>
      <c r="D7" t="s">
        <v>22</v>
      </c>
    </row>
    <row r="9" spans="2:10" x14ac:dyDescent="0.3">
      <c r="B9" s="17" t="s">
        <v>2</v>
      </c>
      <c r="C9" s="18">
        <v>24</v>
      </c>
    </row>
    <row r="10" spans="2:10" x14ac:dyDescent="0.3">
      <c r="B10" s="17" t="s">
        <v>19</v>
      </c>
      <c r="C10" s="19">
        <f>C9*C$4/PI()</f>
        <v>1.909859317102744</v>
      </c>
      <c r="D10" t="s">
        <v>22</v>
      </c>
    </row>
    <row r="12" spans="2:10" ht="15.6" x14ac:dyDescent="0.35">
      <c r="B12" s="17" t="s">
        <v>16</v>
      </c>
      <c r="C12" s="18">
        <v>5</v>
      </c>
      <c r="D12" t="s">
        <v>21</v>
      </c>
    </row>
    <row r="13" spans="2:10" x14ac:dyDescent="0.3">
      <c r="B13" s="17" t="s">
        <v>3</v>
      </c>
      <c r="C13" s="20" t="s">
        <v>13</v>
      </c>
      <c r="D13" t="s">
        <v>24</v>
      </c>
    </row>
    <row r="14" spans="2:10" x14ac:dyDescent="0.3">
      <c r="B14" s="17" t="s">
        <v>4</v>
      </c>
      <c r="C14" s="18">
        <v>2</v>
      </c>
      <c r="D14" t="s">
        <v>23</v>
      </c>
    </row>
    <row r="16" spans="2:10" ht="15.6" x14ac:dyDescent="0.35">
      <c r="B16" s="17" t="s">
        <v>17</v>
      </c>
      <c r="C16" s="21">
        <f>B28</f>
        <v>5.0497976650951664</v>
      </c>
      <c r="D16" t="s">
        <v>27</v>
      </c>
    </row>
    <row r="17" spans="2:13" x14ac:dyDescent="0.3">
      <c r="B17" s="17" t="s">
        <v>5</v>
      </c>
      <c r="C17" s="21">
        <f>E28*C4</f>
        <v>15</v>
      </c>
      <c r="D17" t="s">
        <v>28</v>
      </c>
    </row>
    <row r="18" spans="2:13" x14ac:dyDescent="0.3">
      <c r="B18" s="17" t="s">
        <v>6</v>
      </c>
      <c r="C18" s="21">
        <f>E28</f>
        <v>60</v>
      </c>
      <c r="D18" t="s">
        <v>29</v>
      </c>
    </row>
    <row r="19" spans="2:13" x14ac:dyDescent="0.3">
      <c r="B19" s="22" t="s">
        <v>7</v>
      </c>
      <c r="C19" s="21">
        <f>C16-(C7+C10)/2</f>
        <v>3.4980369699491867</v>
      </c>
      <c r="D19" t="s">
        <v>30</v>
      </c>
    </row>
    <row r="21" spans="2:13" x14ac:dyDescent="0.3">
      <c r="B21" s="9" t="s">
        <v>15</v>
      </c>
      <c r="C21" s="11" t="s">
        <v>8</v>
      </c>
      <c r="D21" s="14" t="s">
        <v>9</v>
      </c>
      <c r="E21" s="14" t="s">
        <v>14</v>
      </c>
      <c r="F21" s="14" t="s">
        <v>10</v>
      </c>
      <c r="G21" s="15" t="s">
        <v>11</v>
      </c>
      <c r="H21" s="10" t="s">
        <v>12</v>
      </c>
      <c r="J21" s="25" t="s">
        <v>290</v>
      </c>
    </row>
    <row r="22" spans="2:13" x14ac:dyDescent="0.3">
      <c r="B22" s="6">
        <f>C12</f>
        <v>5</v>
      </c>
      <c r="C22" s="12">
        <f>ACOS((C$10-C$7)/(2*B22))</f>
        <v>1.4991152331213429</v>
      </c>
      <c r="D22" s="12">
        <f>SQRT(B22^2-(C$7/2-C$10/2)^2)</f>
        <v>4.9871600512669199</v>
      </c>
      <c r="E22" s="12">
        <f t="shared" ref="E22:E28" si="0">(2*D22+C$6*C$4*C22/PI()+C$9*C$4*(PI()-C22)/PI())/$C$4</f>
        <v>59.602631617054186</v>
      </c>
      <c r="F22" s="12">
        <f>IF(C13="Nearest", MROUND(E22, C14), IF(C13="Up", _xlfn.CEILING.MATH(E22, C14), _xlfn.FLOOR.MATH(E22, C14)))</f>
        <v>60</v>
      </c>
      <c r="G22" s="12">
        <f t="shared" ref="G22:G28" si="1">E22-F22</f>
        <v>-0.39736838294581389</v>
      </c>
      <c r="H22" s="5"/>
      <c r="J22" s="1" t="s">
        <v>291</v>
      </c>
      <c r="K22" s="1" t="s">
        <v>292</v>
      </c>
      <c r="L22" s="1" t="s">
        <v>81</v>
      </c>
      <c r="M22" s="1" t="s">
        <v>82</v>
      </c>
    </row>
    <row r="23" spans="2:13" x14ac:dyDescent="0.3">
      <c r="B23" s="6">
        <f>IF(F22&gt;E22, B22+C4/10, B22-C4/10)</f>
        <v>5.0250000000000004</v>
      </c>
      <c r="C23" s="12">
        <f t="shared" ref="C23:C28" si="2">ACOS((C$10-C$7)/(2*B23))</f>
        <v>1.4994724629584435</v>
      </c>
      <c r="D23" s="12">
        <f t="shared" ref="D23:D28" si="3">SQRT(B23^2-(C$7/2-C$10/2)^2)</f>
        <v>5.012224094845787</v>
      </c>
      <c r="E23" s="12">
        <f t="shared" si="0"/>
        <v>59.802120577586024</v>
      </c>
      <c r="F23" s="12">
        <f>F22</f>
        <v>60</v>
      </c>
      <c r="G23" s="12">
        <f t="shared" si="1"/>
        <v>-0.19787942241397616</v>
      </c>
      <c r="H23" s="5">
        <f t="shared" ref="H23:H28" si="4">(G23-G22)/(B23-B22)</f>
        <v>7.9795584212733957</v>
      </c>
      <c r="J23" s="46" t="s">
        <v>293</v>
      </c>
      <c r="K23" s="46" t="s">
        <v>294</v>
      </c>
      <c r="L23" s="213" t="s">
        <v>356</v>
      </c>
      <c r="M23" s="46" t="s">
        <v>297</v>
      </c>
    </row>
    <row r="24" spans="2:13" x14ac:dyDescent="0.3">
      <c r="B24" s="6">
        <f>IF(ABS(G23)&lt;0.000000000001,B23,B23-G23/H23)</f>
        <v>5.0497982923323717</v>
      </c>
      <c r="C24" s="12">
        <f t="shared" si="2"/>
        <v>1.4998233073027167</v>
      </c>
      <c r="D24" s="12">
        <f t="shared" si="3"/>
        <v>5.0370852851818588</v>
      </c>
      <c r="E24" s="12">
        <f t="shared" si="0"/>
        <v>60.000005005264953</v>
      </c>
      <c r="F24" s="12">
        <f t="shared" ref="F24:F27" si="5">F23</f>
        <v>60</v>
      </c>
      <c r="G24" s="12">
        <f t="shared" si="1"/>
        <v>5.005264952728794E-6</v>
      </c>
      <c r="H24" s="5">
        <f t="shared" si="4"/>
        <v>7.9797602603713846</v>
      </c>
      <c r="J24" s="45" t="s">
        <v>295</v>
      </c>
      <c r="K24" s="45" t="s">
        <v>296</v>
      </c>
      <c r="L24" s="214" t="s">
        <v>357</v>
      </c>
      <c r="M24" s="45" t="s">
        <v>298</v>
      </c>
    </row>
    <row r="25" spans="2:13" x14ac:dyDescent="0.3">
      <c r="B25" s="6">
        <f>IF(ABS(G24)&lt;0.000000000001,B24,B24-G24/H24)</f>
        <v>5.0497976650873433</v>
      </c>
      <c r="C25" s="12">
        <f t="shared" si="2"/>
        <v>1.4998232984721904</v>
      </c>
      <c r="D25" s="12">
        <f t="shared" si="3"/>
        <v>5.0370846563537377</v>
      </c>
      <c r="E25" s="12">
        <f t="shared" si="0"/>
        <v>59.999999999937572</v>
      </c>
      <c r="F25" s="12">
        <f t="shared" si="5"/>
        <v>60</v>
      </c>
      <c r="G25" s="12">
        <f t="shared" si="1"/>
        <v>-6.2428284763882402E-11</v>
      </c>
      <c r="H25" s="5">
        <f t="shared" si="4"/>
        <v>7.9798597911353975</v>
      </c>
    </row>
    <row r="26" spans="2:13" x14ac:dyDescent="0.3">
      <c r="B26" s="6">
        <f>IF(ABS(G25)&lt;0.000000000001,B25,B25-G25/H25)</f>
        <v>5.0497976650951664</v>
      </c>
      <c r="C26" s="12">
        <f t="shared" si="2"/>
        <v>1.4998232984723006</v>
      </c>
      <c r="D26" s="12">
        <f t="shared" si="3"/>
        <v>5.0370846563615803</v>
      </c>
      <c r="E26" s="12">
        <f t="shared" si="0"/>
        <v>60</v>
      </c>
      <c r="F26" s="12">
        <f t="shared" si="5"/>
        <v>60</v>
      </c>
      <c r="G26" s="12">
        <f t="shared" si="1"/>
        <v>0</v>
      </c>
      <c r="H26" s="5">
        <f t="shared" si="4"/>
        <v>7.9800181653042692</v>
      </c>
    </row>
    <row r="27" spans="2:13" x14ac:dyDescent="0.3">
      <c r="B27" s="6">
        <f>IF(ABS(G26)&lt;0.000000000001,B26,B26-G26/H26)</f>
        <v>5.0497976650951664</v>
      </c>
      <c r="C27" s="12">
        <f t="shared" si="2"/>
        <v>1.4998232984723006</v>
      </c>
      <c r="D27" s="12">
        <f t="shared" si="3"/>
        <v>5.0370846563615803</v>
      </c>
      <c r="E27" s="12">
        <f t="shared" si="0"/>
        <v>60</v>
      </c>
      <c r="F27" s="12">
        <f t="shared" si="5"/>
        <v>60</v>
      </c>
      <c r="G27" s="12">
        <f t="shared" si="1"/>
        <v>0</v>
      </c>
      <c r="H27" s="5" t="e">
        <f t="shared" si="4"/>
        <v>#DIV/0!</v>
      </c>
    </row>
    <row r="28" spans="2:13" x14ac:dyDescent="0.3">
      <c r="B28" s="8">
        <f>IF(ABS(G27)&lt;0.000000000001,B27,B27-G27/H27)</f>
        <v>5.0497976650951664</v>
      </c>
      <c r="C28" s="13">
        <f t="shared" si="2"/>
        <v>1.4998232984723006</v>
      </c>
      <c r="D28" s="13">
        <f t="shared" si="3"/>
        <v>5.0370846563615803</v>
      </c>
      <c r="E28" s="13">
        <f t="shared" si="0"/>
        <v>60</v>
      </c>
      <c r="F28" s="13">
        <f>F27</f>
        <v>60</v>
      </c>
      <c r="G28" s="13">
        <f t="shared" si="1"/>
        <v>0</v>
      </c>
      <c r="H28" s="7" t="e">
        <f t="shared" si="4"/>
        <v>#DIV/0!</v>
      </c>
    </row>
  </sheetData>
  <dataValidations disablePrompts="1" count="1">
    <dataValidation type="list" allowBlank="1" showInputMessage="1" showErrorMessage="1" sqref="C13">
      <formula1>"Nearest, Up, Down"</formula1>
    </dataValidation>
  </dataValidations>
  <pageMargins left="0.7" right="0.7" top="0.75" bottom="0.75" header="0.3" footer="0.3"/>
  <pageSetup orientation="portrait" r:id="rId1"/>
  <ignoredErrors>
    <ignoredError sqref="H28" evalErro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2:D15"/>
  <sheetViews>
    <sheetView workbookViewId="0">
      <selection activeCell="C8" sqref="C8"/>
    </sheetView>
  </sheetViews>
  <sheetFormatPr defaultRowHeight="14.4" x14ac:dyDescent="0.3"/>
  <cols>
    <col min="2" max="2" width="14.6640625" customWidth="1"/>
    <col min="4" max="4" width="7.21875" customWidth="1"/>
  </cols>
  <sheetData>
    <row r="2" spans="2:4" ht="31.2" x14ac:dyDescent="0.6">
      <c r="B2" s="23" t="s">
        <v>58</v>
      </c>
    </row>
    <row r="3" spans="2:4" x14ac:dyDescent="0.3">
      <c r="D3" s="38"/>
    </row>
    <row r="4" spans="2:4" x14ac:dyDescent="0.3">
      <c r="B4" s="17" t="s">
        <v>61</v>
      </c>
      <c r="C4" s="189">
        <v>20</v>
      </c>
      <c r="D4" s="38"/>
    </row>
    <row r="6" spans="2:4" x14ac:dyDescent="0.3">
      <c r="B6" s="17" t="s">
        <v>59</v>
      </c>
      <c r="C6" s="41">
        <v>3</v>
      </c>
    </row>
    <row r="7" spans="2:4" x14ac:dyDescent="0.3">
      <c r="B7" s="17" t="s">
        <v>60</v>
      </c>
      <c r="C7" s="151">
        <v>3</v>
      </c>
      <c r="D7" s="18" t="s">
        <v>323</v>
      </c>
    </row>
    <row r="9" spans="2:4" x14ac:dyDescent="0.3">
      <c r="B9" s="17" t="s">
        <v>62</v>
      </c>
      <c r="C9" s="21">
        <f>2*IF(D7="inches",C7,C7/25.4)*C4/(C6+1)</f>
        <v>30</v>
      </c>
      <c r="D9" t="s">
        <v>64</v>
      </c>
    </row>
    <row r="10" spans="2:4" x14ac:dyDescent="0.3">
      <c r="B10" s="22" t="s">
        <v>65</v>
      </c>
      <c r="C10" s="21">
        <f>C9/C$4*IF(D7="mm",25.4,1)</f>
        <v>1.5</v>
      </c>
      <c r="D10" t="str">
        <f>D$7</f>
        <v>inches</v>
      </c>
    </row>
    <row r="11" spans="2:4" x14ac:dyDescent="0.3">
      <c r="B11" s="22" t="s">
        <v>66</v>
      </c>
      <c r="C11" s="21">
        <f>(C9+2)/C$4*IF(D$7="mm",25.4,1)</f>
        <v>1.6</v>
      </c>
      <c r="D11" t="str">
        <f>D$7</f>
        <v>inches</v>
      </c>
    </row>
    <row r="13" spans="2:4" x14ac:dyDescent="0.3">
      <c r="B13" s="17" t="s">
        <v>63</v>
      </c>
      <c r="C13" s="21">
        <f>C9*C6</f>
        <v>90</v>
      </c>
      <c r="D13" t="s">
        <v>64</v>
      </c>
    </row>
    <row r="14" spans="2:4" x14ac:dyDescent="0.3">
      <c r="B14" s="22" t="s">
        <v>65</v>
      </c>
      <c r="C14" s="21">
        <f>C13/C$4*IF(D11="mm",25.4,1)</f>
        <v>4.5</v>
      </c>
      <c r="D14" t="str">
        <f>D$7</f>
        <v>inches</v>
      </c>
    </row>
    <row r="15" spans="2:4" x14ac:dyDescent="0.3">
      <c r="B15" s="22" t="s">
        <v>66</v>
      </c>
      <c r="C15" s="21">
        <f>(C13+2)/C$4*IF(D$7="mm",25.4,1)</f>
        <v>4.5999999999999996</v>
      </c>
      <c r="D15" t="str">
        <f>D$7</f>
        <v>inches</v>
      </c>
    </row>
  </sheetData>
  <dataValidations count="1">
    <dataValidation type="list" allowBlank="1" showInputMessage="1" showErrorMessage="1" sqref="D7">
      <formula1>"inches,mm"</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2:P23"/>
  <sheetViews>
    <sheetView workbookViewId="0">
      <selection activeCell="M13" sqref="M13"/>
    </sheetView>
  </sheetViews>
  <sheetFormatPr defaultRowHeight="14.4" x14ac:dyDescent="0.3"/>
  <cols>
    <col min="2" max="2" width="19.5546875" customWidth="1"/>
    <col min="3" max="10" width="7.44140625" customWidth="1"/>
    <col min="11" max="11" width="6.77734375" customWidth="1"/>
    <col min="12" max="12" width="20.88671875" customWidth="1"/>
    <col min="13" max="16" width="6.77734375" customWidth="1"/>
  </cols>
  <sheetData>
    <row r="2" spans="1:16" ht="31.2" x14ac:dyDescent="0.6">
      <c r="B2" s="23" t="s">
        <v>339</v>
      </c>
    </row>
    <row r="4" spans="1:16" x14ac:dyDescent="0.3">
      <c r="C4" s="46" t="s">
        <v>324</v>
      </c>
      <c r="D4" s="46" t="s">
        <v>325</v>
      </c>
      <c r="E4" s="46" t="s">
        <v>326</v>
      </c>
      <c r="F4" s="46" t="s">
        <v>327</v>
      </c>
      <c r="G4" s="46" t="s">
        <v>328</v>
      </c>
      <c r="H4" s="46" t="s">
        <v>329</v>
      </c>
      <c r="I4" s="46" t="s">
        <v>330</v>
      </c>
      <c r="J4" s="46" t="s">
        <v>331</v>
      </c>
      <c r="M4" s="46" t="s">
        <v>299</v>
      </c>
      <c r="N4" s="46" t="s">
        <v>300</v>
      </c>
      <c r="O4" s="86" t="s">
        <v>301</v>
      </c>
      <c r="P4" s="46" t="s">
        <v>302</v>
      </c>
    </row>
    <row r="5" spans="1:16" x14ac:dyDescent="0.3">
      <c r="B5" s="47" t="s">
        <v>261</v>
      </c>
      <c r="C5" s="173">
        <v>1.5</v>
      </c>
      <c r="D5" s="165"/>
      <c r="E5" s="165"/>
      <c r="F5" s="165"/>
      <c r="G5" s="165"/>
      <c r="H5" s="165"/>
      <c r="I5" s="165"/>
      <c r="J5" s="165"/>
      <c r="L5" s="178" t="s">
        <v>278</v>
      </c>
      <c r="M5" s="183">
        <v>35</v>
      </c>
      <c r="N5" s="165"/>
      <c r="O5" s="139"/>
      <c r="P5" s="165"/>
    </row>
    <row r="6" spans="1:16" x14ac:dyDescent="0.3">
      <c r="A6" s="63"/>
      <c r="B6" s="51" t="s">
        <v>262</v>
      </c>
      <c r="C6" s="140">
        <v>0.25</v>
      </c>
      <c r="D6" s="139"/>
      <c r="E6" s="139"/>
      <c r="F6" s="139"/>
      <c r="G6" s="139"/>
      <c r="H6" s="139"/>
      <c r="I6" s="139"/>
      <c r="J6" s="139"/>
      <c r="L6" s="179" t="s">
        <v>279</v>
      </c>
      <c r="M6" s="170">
        <v>2</v>
      </c>
      <c r="N6" s="139"/>
      <c r="O6" s="139"/>
      <c r="P6" s="139"/>
    </row>
    <row r="7" spans="1:16" x14ac:dyDescent="0.3">
      <c r="B7" s="87" t="s">
        <v>266</v>
      </c>
      <c r="C7" s="140">
        <v>2</v>
      </c>
      <c r="D7" s="163"/>
      <c r="E7" s="163"/>
      <c r="F7" s="163"/>
      <c r="G7" s="163"/>
      <c r="H7" s="139"/>
      <c r="I7" s="139"/>
      <c r="J7" s="163"/>
      <c r="L7" s="179" t="s">
        <v>282</v>
      </c>
      <c r="M7" s="170">
        <v>120</v>
      </c>
      <c r="N7" s="139"/>
      <c r="O7" s="139"/>
      <c r="P7" s="139"/>
    </row>
    <row r="8" spans="1:16" x14ac:dyDescent="0.3">
      <c r="B8" s="87" t="s">
        <v>289</v>
      </c>
      <c r="C8" s="140">
        <v>0.3</v>
      </c>
      <c r="D8" s="163"/>
      <c r="E8" s="163"/>
      <c r="F8" s="163"/>
      <c r="G8" s="163"/>
      <c r="H8" s="139"/>
      <c r="I8" s="139"/>
      <c r="J8" s="163"/>
      <c r="K8" s="61"/>
      <c r="L8" s="185" t="s">
        <v>278</v>
      </c>
      <c r="M8" s="186">
        <f>M5*M6*(M7+14.7)/14.7</f>
        <v>641.42857142857144</v>
      </c>
      <c r="N8" s="164">
        <f>N5*N6*(N7+14.7)/14.7</f>
        <v>0</v>
      </c>
      <c r="O8" s="164">
        <f>O5*O6*(O7+14.7)/14.7</f>
        <v>0</v>
      </c>
      <c r="P8" s="164">
        <f>P5*P6*(P7+14.7)/14.7</f>
        <v>0</v>
      </c>
    </row>
    <row r="9" spans="1:16" x14ac:dyDescent="0.3">
      <c r="B9" s="51" t="s">
        <v>275</v>
      </c>
      <c r="C9" s="173">
        <v>30</v>
      </c>
      <c r="D9" s="139"/>
      <c r="E9" s="139"/>
      <c r="F9" s="139"/>
      <c r="G9" s="139"/>
      <c r="H9" s="165"/>
      <c r="I9" s="165"/>
      <c r="J9" s="139"/>
      <c r="K9" s="89"/>
      <c r="L9" s="184" t="s">
        <v>303</v>
      </c>
      <c r="M9" s="171">
        <f>SUM(M8:P8)</f>
        <v>641.42857142857144</v>
      </c>
    </row>
    <row r="10" spans="1:16" x14ac:dyDescent="0.3">
      <c r="B10" s="97" t="s">
        <v>270</v>
      </c>
      <c r="C10" s="150">
        <f t="shared" ref="C10:J10" si="0">(C5/2)^2*PI()*C9</f>
        <v>53.014376029327757</v>
      </c>
      <c r="D10" s="4">
        <f t="shared" si="0"/>
        <v>0</v>
      </c>
      <c r="E10" s="167">
        <f t="shared" si="0"/>
        <v>0</v>
      </c>
      <c r="F10" s="167">
        <f t="shared" si="0"/>
        <v>0</v>
      </c>
      <c r="G10" s="167">
        <f t="shared" si="0"/>
        <v>0</v>
      </c>
      <c r="H10" s="149">
        <f t="shared" si="0"/>
        <v>0</v>
      </c>
      <c r="I10" s="4">
        <f t="shared" si="0"/>
        <v>0</v>
      </c>
      <c r="J10" s="167">
        <f t="shared" si="0"/>
        <v>0</v>
      </c>
      <c r="K10" s="89"/>
    </row>
    <row r="11" spans="1:16" x14ac:dyDescent="0.3">
      <c r="B11" s="176" t="s">
        <v>267</v>
      </c>
      <c r="C11" s="150">
        <f>IFERROR((((C5/2)^2*PI()*C7)*14.7/(C9+14.7))/(0.471*22.67*231/0.1337/60*C8*(C9+14.7)/SQRT(80+460)), 0)</f>
        <v>6.5505619667092091E-3</v>
      </c>
      <c r="D11" s="150">
        <f t="shared" ref="D11:J11" si="1">IFERROR((((D5/2)^2*PI()*D7)*14.7/(D9+14.7))/(0.471*22.67*231/0.1337/60*D8*(D9+14.7)/SQRT(80+460)), 0)</f>
        <v>0</v>
      </c>
      <c r="E11" s="150">
        <f t="shared" si="1"/>
        <v>0</v>
      </c>
      <c r="F11" s="150">
        <f t="shared" si="1"/>
        <v>0</v>
      </c>
      <c r="G11" s="150">
        <f t="shared" si="1"/>
        <v>0</v>
      </c>
      <c r="H11" s="150">
        <f t="shared" si="1"/>
        <v>0</v>
      </c>
      <c r="I11" s="150">
        <f t="shared" si="1"/>
        <v>0</v>
      </c>
      <c r="J11" s="150">
        <f t="shared" si="1"/>
        <v>0</v>
      </c>
      <c r="K11" s="89"/>
      <c r="L11" s="178" t="s">
        <v>283</v>
      </c>
      <c r="M11" s="168">
        <v>0.4</v>
      </c>
    </row>
    <row r="12" spans="1:16" x14ac:dyDescent="0.3">
      <c r="B12" s="51" t="s">
        <v>272</v>
      </c>
      <c r="C12" s="140">
        <v>1</v>
      </c>
      <c r="D12" s="139"/>
      <c r="E12" s="139"/>
      <c r="F12" s="139"/>
      <c r="G12" s="139"/>
      <c r="H12" s="139"/>
      <c r="I12" s="139"/>
      <c r="J12" s="139"/>
      <c r="L12" s="179" t="s">
        <v>284</v>
      </c>
      <c r="M12" s="170">
        <v>40</v>
      </c>
    </row>
    <row r="13" spans="1:16" x14ac:dyDescent="0.3">
      <c r="B13" s="51" t="s">
        <v>276</v>
      </c>
      <c r="C13" s="140">
        <v>17</v>
      </c>
      <c r="D13" s="139"/>
      <c r="E13" s="139"/>
      <c r="F13" s="139"/>
      <c r="G13" s="139"/>
      <c r="H13" s="139"/>
      <c r="I13" s="139"/>
      <c r="J13" s="139"/>
      <c r="L13" s="180" t="s">
        <v>285</v>
      </c>
      <c r="M13" s="172">
        <f>M11*12^3/60*M12</f>
        <v>460.80000000000007</v>
      </c>
    </row>
    <row r="14" spans="1:16" x14ac:dyDescent="0.3">
      <c r="B14" s="97" t="s">
        <v>271</v>
      </c>
      <c r="C14" s="169">
        <f t="shared" ref="C14:J14" si="2">((C5/2)^2-(C6/2)^2)*PI()*C13</f>
        <v>29.206994201342606</v>
      </c>
      <c r="D14" s="167">
        <f t="shared" si="2"/>
        <v>0</v>
      </c>
      <c r="E14" s="167">
        <f t="shared" si="2"/>
        <v>0</v>
      </c>
      <c r="F14" s="149">
        <f t="shared" si="2"/>
        <v>0</v>
      </c>
      <c r="G14" s="149">
        <f t="shared" si="2"/>
        <v>0</v>
      </c>
      <c r="H14" s="167">
        <f t="shared" si="2"/>
        <v>0</v>
      </c>
      <c r="I14" s="167">
        <f t="shared" si="2"/>
        <v>0</v>
      </c>
      <c r="J14" s="149">
        <f t="shared" si="2"/>
        <v>0</v>
      </c>
    </row>
    <row r="15" spans="1:16" x14ac:dyDescent="0.3">
      <c r="B15" s="176" t="s">
        <v>268</v>
      </c>
      <c r="C15" s="169">
        <f>IFERROR(((((C5/2)^2-(C6/2)^2)*PI()*C7)*14.7/(C13+14.7))/(0.471*22.67*231/0.1337/60*C8*(C13+14.7)/SQRT(80+460)), 0)</f>
        <v>1.266311715163324E-2</v>
      </c>
      <c r="D15" s="4">
        <f t="shared" ref="D15:J15" si="3">IFERROR(((((D5/2)^2-(D6/2)^2)*PI()*D7)*14.7/(D13+14.7))/(0.471*22.67*231/0.1337/60*D8*(D13+14.7)/SQRT(80+460)), 0)</f>
        <v>0</v>
      </c>
      <c r="E15" s="167">
        <f t="shared" si="3"/>
        <v>0</v>
      </c>
      <c r="F15" s="167">
        <f t="shared" si="3"/>
        <v>0</v>
      </c>
      <c r="G15" s="149">
        <f t="shared" si="3"/>
        <v>0</v>
      </c>
      <c r="H15" s="4">
        <f t="shared" si="3"/>
        <v>0</v>
      </c>
      <c r="I15" s="149">
        <f t="shared" si="3"/>
        <v>0</v>
      </c>
      <c r="J15" s="149">
        <f t="shared" si="3"/>
        <v>0</v>
      </c>
      <c r="L15" s="181" t="s">
        <v>288</v>
      </c>
      <c r="M15" s="171">
        <f>M9+M13</f>
        <v>1102.2285714285715</v>
      </c>
    </row>
    <row r="16" spans="1:16" x14ac:dyDescent="0.3">
      <c r="B16" s="51" t="s">
        <v>273</v>
      </c>
      <c r="C16" s="140">
        <v>1</v>
      </c>
      <c r="D16" s="139"/>
      <c r="E16" s="139"/>
      <c r="F16" s="139"/>
      <c r="G16" s="139"/>
      <c r="H16" s="139"/>
      <c r="I16" s="139"/>
      <c r="J16" s="139"/>
    </row>
    <row r="17" spans="2:10" x14ac:dyDescent="0.3">
      <c r="B17" s="51" t="s">
        <v>286</v>
      </c>
      <c r="C17" s="150">
        <f t="shared" ref="C17:J17" si="4" xml:space="preserve"> (C5/2)^2*PI()*C7*(C9+14.7)/14.7*C12 + ((C5/2)^2-(C6/2)^2)*PI()*C7*(C13+14.7)/14.7*C16</f>
        <v>18.156989683917029</v>
      </c>
      <c r="D17" s="149">
        <f t="shared" si="4"/>
        <v>0</v>
      </c>
      <c r="E17" s="149">
        <f t="shared" si="4"/>
        <v>0</v>
      </c>
      <c r="F17" s="149">
        <f t="shared" si="4"/>
        <v>0</v>
      </c>
      <c r="G17" s="149">
        <f t="shared" si="4"/>
        <v>0</v>
      </c>
      <c r="H17" s="149">
        <f t="shared" si="4"/>
        <v>0</v>
      </c>
      <c r="I17" s="149">
        <f t="shared" si="4"/>
        <v>0</v>
      </c>
      <c r="J17" s="149">
        <f t="shared" si="4"/>
        <v>0</v>
      </c>
    </row>
    <row r="18" spans="2:10" x14ac:dyDescent="0.3">
      <c r="B18" s="87" t="s">
        <v>274</v>
      </c>
      <c r="C18" s="174">
        <v>5</v>
      </c>
      <c r="D18" s="163"/>
      <c r="E18" s="163"/>
      <c r="F18" s="163"/>
      <c r="G18" s="139"/>
      <c r="H18" s="163"/>
      <c r="I18" s="139"/>
      <c r="J18" s="139"/>
    </row>
    <row r="19" spans="2:10" x14ac:dyDescent="0.3">
      <c r="B19" s="87" t="s">
        <v>280</v>
      </c>
      <c r="C19" s="174">
        <v>150</v>
      </c>
      <c r="D19" s="163"/>
      <c r="E19" s="163"/>
      <c r="F19" s="163"/>
      <c r="G19" s="163"/>
      <c r="H19" s="163"/>
      <c r="I19" s="163"/>
      <c r="J19" s="163"/>
    </row>
    <row r="20" spans="2:10" x14ac:dyDescent="0.3">
      <c r="B20" s="97" t="s">
        <v>277</v>
      </c>
      <c r="C20" s="175">
        <f>IFERROR(C17/C18, 0)</f>
        <v>3.6313979367834057</v>
      </c>
      <c r="D20" s="175">
        <f t="shared" ref="D20:J20" si="5">IFERROR(D17/D18, 0)</f>
        <v>0</v>
      </c>
      <c r="E20" s="175">
        <f t="shared" si="5"/>
        <v>0</v>
      </c>
      <c r="F20" s="175">
        <f t="shared" si="5"/>
        <v>0</v>
      </c>
      <c r="G20" s="175">
        <f t="shared" si="5"/>
        <v>0</v>
      </c>
      <c r="H20" s="175">
        <f t="shared" si="5"/>
        <v>0</v>
      </c>
      <c r="I20" s="175">
        <f t="shared" si="5"/>
        <v>0</v>
      </c>
      <c r="J20" s="175">
        <f t="shared" si="5"/>
        <v>0</v>
      </c>
    </row>
    <row r="21" spans="2:10" x14ac:dyDescent="0.3">
      <c r="B21" s="177" t="s">
        <v>287</v>
      </c>
      <c r="C21" s="172">
        <f>C20*C19</f>
        <v>544.70969051751081</v>
      </c>
      <c r="D21" s="164">
        <f t="shared" ref="D21:J21" si="6">D20*D19</f>
        <v>0</v>
      </c>
      <c r="E21" s="164">
        <f t="shared" si="6"/>
        <v>0</v>
      </c>
      <c r="F21" s="164">
        <f t="shared" si="6"/>
        <v>0</v>
      </c>
      <c r="G21" s="164">
        <f t="shared" si="6"/>
        <v>0</v>
      </c>
      <c r="H21" s="164">
        <f t="shared" si="6"/>
        <v>0</v>
      </c>
      <c r="I21" s="164">
        <f t="shared" si="6"/>
        <v>0</v>
      </c>
      <c r="J21" s="164">
        <f t="shared" si="6"/>
        <v>0</v>
      </c>
    </row>
    <row r="23" spans="2:10" x14ac:dyDescent="0.3">
      <c r="B23" s="22" t="s">
        <v>281</v>
      </c>
      <c r="C23" s="171">
        <f>SUM(C21:J21)</f>
        <v>544.70969051751081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2:AR32"/>
  <sheetViews>
    <sheetView zoomScaleNormal="100" workbookViewId="0">
      <selection activeCell="Y29" sqref="Y29"/>
    </sheetView>
  </sheetViews>
  <sheetFormatPr defaultRowHeight="14.4" x14ac:dyDescent="0.3"/>
  <cols>
    <col min="2" max="2" width="8.109375" customWidth="1"/>
    <col min="3" max="9" width="11.33203125" customWidth="1"/>
    <col min="10" max="10" width="12.77734375" customWidth="1"/>
    <col min="11" max="23" width="11.33203125" customWidth="1"/>
    <col min="24" max="24" width="14.77734375" customWidth="1"/>
    <col min="25" max="26" width="11.33203125" customWidth="1"/>
    <col min="27" max="27" width="12.21875" customWidth="1"/>
    <col min="28" max="28" width="12.109375" customWidth="1"/>
    <col min="29" max="35" width="11.33203125" customWidth="1"/>
    <col min="36" max="36" width="12.109375" customWidth="1"/>
    <col min="37" max="41" width="11.33203125" customWidth="1"/>
    <col min="42" max="42" width="13.21875" customWidth="1"/>
    <col min="43" max="43" width="15.109375" customWidth="1"/>
    <col min="44" max="46" width="11.33203125" customWidth="1"/>
  </cols>
  <sheetData>
    <row r="2" spans="2:44" ht="31.2" x14ac:dyDescent="0.6">
      <c r="B2" s="23" t="s">
        <v>76</v>
      </c>
      <c r="H2" s="23" t="s">
        <v>175</v>
      </c>
      <c r="P2" s="23" t="s">
        <v>93</v>
      </c>
      <c r="X2" s="23" t="s">
        <v>194</v>
      </c>
      <c r="AE2" s="23" t="s">
        <v>201</v>
      </c>
      <c r="AF2" s="23"/>
    </row>
    <row r="4" spans="2:44" ht="14.4" customHeight="1" x14ac:dyDescent="0.3">
      <c r="C4" s="44" t="s">
        <v>77</v>
      </c>
      <c r="D4" s="44" t="s">
        <v>80</v>
      </c>
      <c r="E4" s="44" t="s">
        <v>81</v>
      </c>
      <c r="F4" s="44" t="s">
        <v>87</v>
      </c>
      <c r="H4" s="77" t="s">
        <v>158</v>
      </c>
      <c r="I4" s="77" t="s">
        <v>159</v>
      </c>
      <c r="J4" s="77" t="s">
        <v>160</v>
      </c>
      <c r="K4" s="82" t="s">
        <v>161</v>
      </c>
      <c r="L4" s="77" t="s">
        <v>166</v>
      </c>
      <c r="M4" s="77" t="s">
        <v>167</v>
      </c>
      <c r="N4" s="77" t="s">
        <v>174</v>
      </c>
      <c r="P4" s="77" t="s">
        <v>94</v>
      </c>
      <c r="Q4" s="77" t="s">
        <v>95</v>
      </c>
      <c r="R4" s="77" t="s">
        <v>111</v>
      </c>
      <c r="S4" s="77" t="s">
        <v>112</v>
      </c>
      <c r="T4" s="77" t="s">
        <v>115</v>
      </c>
      <c r="U4" s="77" t="s">
        <v>116</v>
      </c>
      <c r="V4" s="77" t="s">
        <v>117</v>
      </c>
      <c r="X4" s="43"/>
      <c r="Y4" s="123" t="s">
        <v>196</v>
      </c>
      <c r="Z4" s="124" t="s">
        <v>197</v>
      </c>
      <c r="AA4" s="124" t="s">
        <v>198</v>
      </c>
      <c r="AB4" s="124" t="s">
        <v>199</v>
      </c>
      <c r="AC4" s="125" t="s">
        <v>200</v>
      </c>
      <c r="AE4" s="128" t="s">
        <v>202</v>
      </c>
      <c r="AF4" s="128" t="s">
        <v>244</v>
      </c>
      <c r="AG4" s="152" t="s">
        <v>259</v>
      </c>
      <c r="AH4" s="128" t="s">
        <v>256</v>
      </c>
      <c r="AI4" s="154" t="s">
        <v>248</v>
      </c>
      <c r="AJ4" s="133" t="s">
        <v>250</v>
      </c>
      <c r="AK4" s="156" t="s">
        <v>245</v>
      </c>
    </row>
    <row r="5" spans="2:44" x14ac:dyDescent="0.3">
      <c r="B5" s="1" t="s">
        <v>0</v>
      </c>
      <c r="C5" s="47" t="s">
        <v>83</v>
      </c>
      <c r="D5" s="52" t="s">
        <v>84</v>
      </c>
      <c r="E5" s="52" t="s">
        <v>85</v>
      </c>
      <c r="F5" s="48" t="s">
        <v>86</v>
      </c>
      <c r="H5" s="99" t="s">
        <v>188</v>
      </c>
      <c r="I5" s="73">
        <v>32</v>
      </c>
      <c r="J5" s="64" t="s">
        <v>191</v>
      </c>
      <c r="K5" s="92">
        <v>22</v>
      </c>
      <c r="L5" s="85" t="s">
        <v>168</v>
      </c>
      <c r="M5" s="83" t="s">
        <v>168</v>
      </c>
      <c r="N5" s="84" t="s">
        <v>125</v>
      </c>
      <c r="P5" s="64" t="s">
        <v>179</v>
      </c>
      <c r="Q5" s="64" t="s">
        <v>182</v>
      </c>
      <c r="R5" s="69">
        <v>48</v>
      </c>
      <c r="S5" s="64" t="s">
        <v>135</v>
      </c>
      <c r="T5" s="75">
        <v>34</v>
      </c>
      <c r="U5" s="69" t="s">
        <v>136</v>
      </c>
      <c r="V5" s="76" t="s">
        <v>125</v>
      </c>
      <c r="X5" s="110" t="s">
        <v>31</v>
      </c>
      <c r="Y5" s="120">
        <v>5330</v>
      </c>
      <c r="Z5" s="113">
        <v>2.41</v>
      </c>
      <c r="AA5" s="113">
        <v>131</v>
      </c>
      <c r="AB5" s="113">
        <v>2.7</v>
      </c>
      <c r="AC5" s="114">
        <f>Y5/2*(1/60*2*PI())*Z5/2</f>
        <v>336.28916760964142</v>
      </c>
      <c r="AE5" s="153">
        <v>15.306122448979592</v>
      </c>
      <c r="AF5" s="153" t="s">
        <v>226</v>
      </c>
      <c r="AG5" s="159" t="s">
        <v>269</v>
      </c>
      <c r="AH5" s="98" t="s">
        <v>210</v>
      </c>
      <c r="AI5" s="61">
        <v>5.95</v>
      </c>
      <c r="AJ5" s="98" t="s">
        <v>254</v>
      </c>
      <c r="AK5" s="129">
        <v>4.7699999999999996</v>
      </c>
    </row>
    <row r="6" spans="2:44" x14ac:dyDescent="0.3">
      <c r="B6" s="1" t="s">
        <v>78</v>
      </c>
      <c r="C6" s="56" t="s">
        <v>88</v>
      </c>
      <c r="D6" s="42" t="s">
        <v>91</v>
      </c>
      <c r="E6" s="54" t="s">
        <v>92</v>
      </c>
      <c r="F6" s="55" t="s">
        <v>88</v>
      </c>
      <c r="H6" s="64" t="s">
        <v>162</v>
      </c>
      <c r="I6" s="71">
        <v>34</v>
      </c>
      <c r="J6" s="64" t="s">
        <v>165</v>
      </c>
      <c r="K6" s="93">
        <v>24</v>
      </c>
      <c r="L6" s="62" t="s">
        <v>170</v>
      </c>
      <c r="M6" s="83" t="s">
        <v>170</v>
      </c>
      <c r="N6" s="62" t="s">
        <v>170</v>
      </c>
      <c r="P6" s="65" t="s">
        <v>96</v>
      </c>
      <c r="Q6" s="65" t="s">
        <v>109</v>
      </c>
      <c r="R6" s="65" t="s">
        <v>137</v>
      </c>
      <c r="S6" s="65" t="s">
        <v>113</v>
      </c>
      <c r="T6" s="71">
        <v>44</v>
      </c>
      <c r="U6" s="65" t="s">
        <v>138</v>
      </c>
      <c r="V6" s="73">
        <v>19</v>
      </c>
      <c r="X6" s="111" t="s">
        <v>67</v>
      </c>
      <c r="Y6" s="107">
        <v>5840</v>
      </c>
      <c r="Z6" s="101">
        <v>1.41</v>
      </c>
      <c r="AA6" s="101">
        <v>89</v>
      </c>
      <c r="AB6" s="101">
        <v>3</v>
      </c>
      <c r="AC6" s="115">
        <f t="shared" ref="AC6:AC7" si="0">Y6/2*(1/60*2*PI())*Z6/2</f>
        <v>215.57608788933157</v>
      </c>
      <c r="AE6" s="129">
        <v>16.483516483516482</v>
      </c>
      <c r="AF6" s="129" t="s">
        <v>225</v>
      </c>
      <c r="AH6" s="59" t="s">
        <v>211</v>
      </c>
      <c r="AI6" s="61">
        <v>6.94</v>
      </c>
      <c r="AJ6" s="59" t="s">
        <v>253</v>
      </c>
      <c r="AK6" s="129">
        <v>6</v>
      </c>
    </row>
    <row r="7" spans="2:44" x14ac:dyDescent="0.3">
      <c r="B7" s="1" t="s">
        <v>79</v>
      </c>
      <c r="C7" s="50" t="s">
        <v>89</v>
      </c>
      <c r="D7" s="53" t="s">
        <v>90</v>
      </c>
      <c r="E7" s="53" t="s">
        <v>86</v>
      </c>
      <c r="F7" s="49" t="s">
        <v>86</v>
      </c>
      <c r="H7" s="62" t="s">
        <v>187</v>
      </c>
      <c r="I7" s="93">
        <v>36</v>
      </c>
      <c r="J7" s="65" t="s">
        <v>193</v>
      </c>
      <c r="K7" s="93">
        <v>26</v>
      </c>
      <c r="L7" s="62" t="s">
        <v>171</v>
      </c>
      <c r="M7" s="83" t="s">
        <v>171</v>
      </c>
      <c r="N7" s="62" t="s">
        <v>169</v>
      </c>
      <c r="P7" s="66" t="s">
        <v>97</v>
      </c>
      <c r="Q7" s="65" t="s">
        <v>139</v>
      </c>
      <c r="R7" s="65">
        <v>54</v>
      </c>
      <c r="S7" s="65" t="s">
        <v>140</v>
      </c>
      <c r="T7" s="71">
        <v>50</v>
      </c>
      <c r="U7" s="65" t="s">
        <v>141</v>
      </c>
      <c r="V7" s="68">
        <v>20</v>
      </c>
      <c r="X7" s="111" t="s">
        <v>68</v>
      </c>
      <c r="Y7" s="107">
        <v>13180</v>
      </c>
      <c r="Z7" s="101">
        <v>0.43</v>
      </c>
      <c r="AA7" s="101">
        <v>53</v>
      </c>
      <c r="AB7" s="101">
        <v>1.8</v>
      </c>
      <c r="AC7" s="115">
        <f t="shared" si="0"/>
        <v>148.37218504128995</v>
      </c>
      <c r="AE7" s="129">
        <v>17.857142857142858</v>
      </c>
      <c r="AF7" s="129" t="s">
        <v>228</v>
      </c>
      <c r="AG7" s="128" t="s">
        <v>203</v>
      </c>
      <c r="AH7" s="59" t="s">
        <v>212</v>
      </c>
      <c r="AI7" s="61">
        <v>8.4499999999999993</v>
      </c>
      <c r="AJ7" s="59" t="s">
        <v>252</v>
      </c>
      <c r="AK7" s="129">
        <v>7.56</v>
      </c>
    </row>
    <row r="8" spans="2:44" x14ac:dyDescent="0.3">
      <c r="H8" s="84" t="s">
        <v>189</v>
      </c>
      <c r="I8" s="71">
        <v>38</v>
      </c>
      <c r="J8" s="78" t="s">
        <v>192</v>
      </c>
      <c r="K8" s="93">
        <v>28</v>
      </c>
      <c r="L8" s="85" t="s">
        <v>169</v>
      </c>
      <c r="M8" s="83" t="s">
        <v>169</v>
      </c>
      <c r="N8" s="62" t="s">
        <v>173</v>
      </c>
      <c r="P8" s="65" t="s">
        <v>98</v>
      </c>
      <c r="Q8" s="65" t="s">
        <v>110</v>
      </c>
      <c r="R8" s="65">
        <v>60</v>
      </c>
      <c r="S8" s="65" t="s">
        <v>142</v>
      </c>
      <c r="T8" s="71">
        <v>54</v>
      </c>
      <c r="U8" s="65" t="s">
        <v>143</v>
      </c>
      <c r="V8" s="65" t="s">
        <v>144</v>
      </c>
      <c r="X8" s="111" t="s">
        <v>69</v>
      </c>
      <c r="Y8" s="106">
        <v>18730</v>
      </c>
      <c r="Z8" s="100">
        <v>0.71</v>
      </c>
      <c r="AA8" s="100">
        <v>134</v>
      </c>
      <c r="AB8" s="100">
        <v>0.7</v>
      </c>
      <c r="AC8" s="115">
        <f>Y8/2*(1/60*2*PI())*Z8/2</f>
        <v>348.14867987694288</v>
      </c>
      <c r="AE8" s="129">
        <v>19.480519480519483</v>
      </c>
      <c r="AF8" s="129" t="s">
        <v>227</v>
      </c>
      <c r="AG8" s="155">
        <v>5.33</v>
      </c>
      <c r="AH8" s="59" t="s">
        <v>213</v>
      </c>
      <c r="AI8" s="61">
        <v>9.8699999999999992</v>
      </c>
      <c r="AJ8" s="60" t="s">
        <v>251</v>
      </c>
      <c r="AK8" s="129">
        <v>10.86</v>
      </c>
      <c r="AR8" s="38"/>
    </row>
    <row r="9" spans="2:44" x14ac:dyDescent="0.3">
      <c r="H9" s="65" t="s">
        <v>163</v>
      </c>
      <c r="I9" s="71">
        <v>40</v>
      </c>
      <c r="J9" s="94"/>
      <c r="K9" s="93">
        <v>30</v>
      </c>
      <c r="L9" s="65" t="s">
        <v>184</v>
      </c>
      <c r="M9" s="80">
        <v>39</v>
      </c>
      <c r="N9" s="60" t="s">
        <v>172</v>
      </c>
      <c r="P9" s="65" t="s">
        <v>99</v>
      </c>
      <c r="Q9" s="65" t="s">
        <v>96</v>
      </c>
      <c r="R9" s="65">
        <v>64</v>
      </c>
      <c r="S9" s="65" t="s">
        <v>139</v>
      </c>
      <c r="T9" s="72">
        <v>60</v>
      </c>
      <c r="U9" s="68" t="s">
        <v>126</v>
      </c>
      <c r="V9" s="65">
        <v>40</v>
      </c>
      <c r="X9" s="111" t="s">
        <v>70</v>
      </c>
      <c r="Y9" s="106">
        <v>5800</v>
      </c>
      <c r="Z9" s="104">
        <v>0.28000000000000003</v>
      </c>
      <c r="AA9" s="100">
        <v>18</v>
      </c>
      <c r="AB9" s="100">
        <v>1.6</v>
      </c>
      <c r="AC9" s="115">
        <f>Y9/2*(1/60*2*PI())*Z9/2</f>
        <v>42.516220578581873</v>
      </c>
      <c r="AE9" s="129">
        <v>9.6428571428571441</v>
      </c>
      <c r="AF9" s="129" t="s">
        <v>229</v>
      </c>
      <c r="AG9" s="61">
        <v>6</v>
      </c>
      <c r="AH9" s="59" t="s">
        <v>214</v>
      </c>
      <c r="AI9" s="138">
        <v>10.71</v>
      </c>
      <c r="AK9" s="134">
        <v>16.37</v>
      </c>
      <c r="AR9" s="38"/>
    </row>
    <row r="10" spans="2:44" ht="14.4" customHeight="1" x14ac:dyDescent="0.3">
      <c r="C10" s="44" t="s">
        <v>166</v>
      </c>
      <c r="D10" s="44" t="s">
        <v>176</v>
      </c>
      <c r="E10" s="44" t="s">
        <v>174</v>
      </c>
      <c r="H10" s="67" t="s">
        <v>164</v>
      </c>
      <c r="I10" s="71">
        <v>42</v>
      </c>
      <c r="J10" s="94"/>
      <c r="K10" s="93">
        <v>32</v>
      </c>
      <c r="L10" s="78" t="s">
        <v>106</v>
      </c>
      <c r="M10" s="65" t="s">
        <v>184</v>
      </c>
      <c r="P10" s="65" t="s">
        <v>145</v>
      </c>
      <c r="Q10" s="65" t="s">
        <v>146</v>
      </c>
      <c r="R10" s="65">
        <v>66</v>
      </c>
      <c r="S10" s="65" t="s">
        <v>114</v>
      </c>
      <c r="U10" s="65">
        <v>44</v>
      </c>
      <c r="V10" s="65">
        <v>60</v>
      </c>
      <c r="X10" s="111" t="s">
        <v>71</v>
      </c>
      <c r="Y10" s="108">
        <v>14270</v>
      </c>
      <c r="Z10" s="102">
        <v>0.36</v>
      </c>
      <c r="AA10" s="103">
        <v>71</v>
      </c>
      <c r="AB10" s="102">
        <v>3.7</v>
      </c>
      <c r="AC10" s="115">
        <f t="shared" ref="AC10:AC22" si="1">Y10/2*(1/60*2*PI())*Z10/2</f>
        <v>134.49158150017902</v>
      </c>
      <c r="AE10" s="129">
        <v>10.384615384615385</v>
      </c>
      <c r="AF10" s="129" t="s">
        <v>230</v>
      </c>
      <c r="AG10" s="88">
        <v>7</v>
      </c>
      <c r="AH10" s="59" t="s">
        <v>215</v>
      </c>
      <c r="AI10" s="138">
        <v>12.5</v>
      </c>
      <c r="AJ10" s="128" t="s">
        <v>249</v>
      </c>
      <c r="AK10" s="134">
        <v>22.67</v>
      </c>
      <c r="AO10" s="38"/>
      <c r="AQ10" s="38"/>
      <c r="AR10" s="38"/>
    </row>
    <row r="11" spans="2:44" ht="14.4" customHeight="1" x14ac:dyDescent="0.3">
      <c r="C11" s="46">
        <v>40</v>
      </c>
      <c r="D11" s="46">
        <v>60</v>
      </c>
      <c r="E11" s="46">
        <v>45</v>
      </c>
      <c r="H11" s="94"/>
      <c r="I11" s="71">
        <v>44</v>
      </c>
      <c r="J11" s="94"/>
      <c r="K11" s="71">
        <v>33</v>
      </c>
      <c r="L11" s="86"/>
      <c r="M11" s="74" t="s">
        <v>106</v>
      </c>
      <c r="P11" s="65" t="s">
        <v>100</v>
      </c>
      <c r="Q11" s="65" t="s">
        <v>147</v>
      </c>
      <c r="R11" s="65">
        <v>70</v>
      </c>
      <c r="S11" s="65" t="s">
        <v>148</v>
      </c>
      <c r="U11" s="65" t="s">
        <v>149</v>
      </c>
      <c r="V11" s="65">
        <v>80</v>
      </c>
      <c r="X11" s="111" t="s">
        <v>263</v>
      </c>
      <c r="Y11" s="109">
        <v>5508</v>
      </c>
      <c r="Z11" s="105">
        <v>3.82</v>
      </c>
      <c r="AA11" s="102">
        <v>220</v>
      </c>
      <c r="AB11" s="102">
        <v>8.16</v>
      </c>
      <c r="AC11" s="115">
        <f t="shared" si="1"/>
        <v>550.84057269512709</v>
      </c>
      <c r="AE11" s="129">
        <v>11.250000000000002</v>
      </c>
      <c r="AF11" s="129" t="s">
        <v>231</v>
      </c>
      <c r="AH11" s="59" t="s">
        <v>216</v>
      </c>
      <c r="AI11" s="129">
        <v>12.75</v>
      </c>
      <c r="AJ11" s="155">
        <v>5.95</v>
      </c>
      <c r="AK11" s="157">
        <v>5.45</v>
      </c>
      <c r="AO11" s="126"/>
      <c r="AQ11" s="126"/>
      <c r="AR11" s="126"/>
    </row>
    <row r="12" spans="2:44" ht="14.4" customHeight="1" x14ac:dyDescent="0.3">
      <c r="C12" s="80">
        <v>45</v>
      </c>
      <c r="D12" s="80">
        <v>70</v>
      </c>
      <c r="E12" s="80">
        <v>50</v>
      </c>
      <c r="H12" s="94"/>
      <c r="I12" s="71">
        <v>48</v>
      </c>
      <c r="J12" s="94"/>
      <c r="K12" s="71">
        <v>36</v>
      </c>
      <c r="P12" s="65" t="s">
        <v>101</v>
      </c>
      <c r="Q12" s="65" t="s">
        <v>99</v>
      </c>
      <c r="R12" s="78">
        <v>72</v>
      </c>
      <c r="S12" s="65" t="s">
        <v>134</v>
      </c>
      <c r="U12" s="65" t="s">
        <v>132</v>
      </c>
      <c r="V12" s="65" t="s">
        <v>150</v>
      </c>
      <c r="X12" s="111" t="s">
        <v>264</v>
      </c>
      <c r="Y12" s="109">
        <v>5593</v>
      </c>
      <c r="Z12" s="102">
        <v>5.23</v>
      </c>
      <c r="AA12" s="102">
        <v>309</v>
      </c>
      <c r="AB12" s="102">
        <v>9.6199999999999992</v>
      </c>
      <c r="AC12" s="115">
        <f t="shared" si="1"/>
        <v>765.79959942741618</v>
      </c>
      <c r="AE12" s="129">
        <v>12.272727272727275</v>
      </c>
      <c r="AF12" s="129" t="s">
        <v>232</v>
      </c>
      <c r="AG12" s="154" t="s">
        <v>204</v>
      </c>
      <c r="AH12" s="59" t="s">
        <v>217</v>
      </c>
      <c r="AI12" s="131">
        <v>14.88</v>
      </c>
      <c r="AJ12" s="61">
        <v>7.31</v>
      </c>
      <c r="AK12" s="134">
        <v>6.86</v>
      </c>
      <c r="AQ12" s="126"/>
      <c r="AR12" s="126"/>
    </row>
    <row r="13" spans="2:44" ht="14.4" customHeight="1" x14ac:dyDescent="0.3">
      <c r="C13" s="80">
        <v>48</v>
      </c>
      <c r="D13" s="80">
        <v>80</v>
      </c>
      <c r="E13" s="80">
        <v>55</v>
      </c>
      <c r="H13" s="94"/>
      <c r="I13" s="71">
        <v>54</v>
      </c>
      <c r="J13" s="94"/>
      <c r="K13" s="71">
        <v>42</v>
      </c>
      <c r="P13" s="65" t="s">
        <v>151</v>
      </c>
      <c r="Q13" s="65" t="s">
        <v>101</v>
      </c>
      <c r="S13" s="67" t="s">
        <v>141</v>
      </c>
      <c r="U13" s="65">
        <v>50</v>
      </c>
      <c r="V13" s="67">
        <v>100</v>
      </c>
      <c r="X13" s="111" t="s">
        <v>265</v>
      </c>
      <c r="Y13" s="109">
        <v>5437</v>
      </c>
      <c r="Z13" s="102">
        <v>6.23</v>
      </c>
      <c r="AA13" s="102">
        <v>351</v>
      </c>
      <c r="AB13" s="102">
        <v>9.15</v>
      </c>
      <c r="AC13" s="115">
        <f t="shared" si="1"/>
        <v>886.78023812205663</v>
      </c>
      <c r="AE13" s="129">
        <v>7.4404761904761916</v>
      </c>
      <c r="AF13" s="129" t="s">
        <v>233</v>
      </c>
      <c r="AG13" s="61">
        <v>4.17</v>
      </c>
      <c r="AH13" s="59" t="s">
        <v>218</v>
      </c>
      <c r="AJ13" s="61">
        <v>8.4499999999999993</v>
      </c>
      <c r="AK13" s="134">
        <v>8.6300000000000008</v>
      </c>
      <c r="AQ13" s="126"/>
      <c r="AR13" s="126"/>
    </row>
    <row r="14" spans="2:44" s="57" customFormat="1" ht="14.4" customHeight="1" x14ac:dyDescent="0.3">
      <c r="C14" s="80">
        <v>60</v>
      </c>
      <c r="D14" s="81">
        <v>85</v>
      </c>
      <c r="E14" s="81">
        <v>60</v>
      </c>
      <c r="H14" s="95"/>
      <c r="I14" s="71">
        <v>58</v>
      </c>
      <c r="J14" s="95"/>
      <c r="K14" s="70">
        <v>44</v>
      </c>
      <c r="P14" s="65" t="s">
        <v>102</v>
      </c>
      <c r="Q14" s="65" t="s">
        <v>102</v>
      </c>
      <c r="R14"/>
      <c r="S14"/>
      <c r="T14"/>
      <c r="U14" s="65" t="s">
        <v>152</v>
      </c>
      <c r="V14"/>
      <c r="X14" s="111" t="s">
        <v>72</v>
      </c>
      <c r="Y14" s="106">
        <v>13050</v>
      </c>
      <c r="Z14" s="100">
        <v>0.72</v>
      </c>
      <c r="AA14" s="100">
        <v>97</v>
      </c>
      <c r="AB14" s="100">
        <v>2.7</v>
      </c>
      <c r="AC14" s="115">
        <f t="shared" si="1"/>
        <v>245.98670477608078</v>
      </c>
      <c r="AE14" s="130">
        <v>8.0128205128205128</v>
      </c>
      <c r="AF14" s="130" t="s">
        <v>234</v>
      </c>
      <c r="AG14" s="61">
        <v>5.67</v>
      </c>
      <c r="AH14" s="58" t="s">
        <v>219</v>
      </c>
      <c r="AI14" s="128" t="s">
        <v>247</v>
      </c>
      <c r="AJ14" s="138">
        <v>10.71</v>
      </c>
      <c r="AK14" s="135">
        <v>12.41</v>
      </c>
      <c r="AQ14" s="126"/>
      <c r="AR14" s="126"/>
    </row>
    <row r="15" spans="2:44" ht="14.4" customHeight="1" x14ac:dyDescent="0.3">
      <c r="C15" s="80">
        <v>70</v>
      </c>
      <c r="D15" s="81">
        <v>90</v>
      </c>
      <c r="E15" s="81">
        <v>70</v>
      </c>
      <c r="H15" s="94"/>
      <c r="I15" s="70">
        <v>60</v>
      </c>
      <c r="J15" s="94"/>
      <c r="K15" s="70">
        <v>48</v>
      </c>
      <c r="M15" s="90" t="s">
        <v>186</v>
      </c>
      <c r="N15" s="91"/>
      <c r="P15" s="65" t="s">
        <v>103</v>
      </c>
      <c r="Q15" s="65" t="s">
        <v>141</v>
      </c>
      <c r="U15" s="65" t="s">
        <v>153</v>
      </c>
      <c r="X15" s="111" t="s">
        <v>195</v>
      </c>
      <c r="Y15" s="106">
        <v>100</v>
      </c>
      <c r="Z15" s="100">
        <v>7.91</v>
      </c>
      <c r="AA15" s="100">
        <v>24</v>
      </c>
      <c r="AB15" s="100">
        <v>5</v>
      </c>
      <c r="AC15" s="115">
        <f t="shared" si="1"/>
        <v>20.708331574912716</v>
      </c>
      <c r="AE15" s="129">
        <v>8.6805555555555571</v>
      </c>
      <c r="AF15" s="129" t="s">
        <v>235</v>
      </c>
      <c r="AG15" s="45">
        <v>9.52</v>
      </c>
      <c r="AH15" s="58" t="s">
        <v>220</v>
      </c>
      <c r="AI15" s="155">
        <v>5.95</v>
      </c>
      <c r="AJ15" s="137">
        <v>12.75</v>
      </c>
      <c r="AK15" s="135">
        <v>18.71</v>
      </c>
    </row>
    <row r="16" spans="2:44" ht="14.4" customHeight="1" x14ac:dyDescent="0.3">
      <c r="C16" s="80">
        <v>80</v>
      </c>
      <c r="D16" s="81">
        <v>100</v>
      </c>
      <c r="E16" s="81">
        <v>85</v>
      </c>
      <c r="H16" s="94"/>
      <c r="I16" s="70">
        <v>64</v>
      </c>
      <c r="J16" s="94"/>
      <c r="K16" s="70">
        <v>54</v>
      </c>
      <c r="M16" s="160" t="s">
        <v>183</v>
      </c>
      <c r="N16" s="160"/>
      <c r="P16" s="65" t="s">
        <v>141</v>
      </c>
      <c r="Q16" s="65" t="s">
        <v>128</v>
      </c>
      <c r="U16" s="67">
        <v>60</v>
      </c>
      <c r="X16" s="111" t="s">
        <v>73</v>
      </c>
      <c r="Y16" s="109">
        <v>6600</v>
      </c>
      <c r="Z16" s="102">
        <v>6.1800000000000001E-2</v>
      </c>
      <c r="AA16" s="102">
        <v>11.5</v>
      </c>
      <c r="AB16" s="102">
        <v>2</v>
      </c>
      <c r="AC16" s="115">
        <f t="shared" si="1"/>
        <v>10.678273429551705</v>
      </c>
      <c r="AE16" s="129">
        <v>9.4696969696969706</v>
      </c>
      <c r="AF16" s="129" t="s">
        <v>236</v>
      </c>
      <c r="AH16" s="58" t="s">
        <v>221</v>
      </c>
      <c r="AI16" s="61">
        <v>8.4499999999999993</v>
      </c>
      <c r="AK16" s="158">
        <v>25.9</v>
      </c>
    </row>
    <row r="17" spans="3:38" x14ac:dyDescent="0.3">
      <c r="C17" s="81">
        <v>90</v>
      </c>
      <c r="D17" s="81">
        <v>104</v>
      </c>
      <c r="E17" s="81">
        <v>90</v>
      </c>
      <c r="H17" s="94"/>
      <c r="I17" s="70">
        <v>66</v>
      </c>
      <c r="J17" s="94"/>
      <c r="K17" s="96">
        <v>60</v>
      </c>
      <c r="M17" s="161" t="s">
        <v>190</v>
      </c>
      <c r="N17" s="162"/>
      <c r="P17" s="65" t="s">
        <v>129</v>
      </c>
      <c r="Q17" s="65" t="s">
        <v>126</v>
      </c>
      <c r="X17" s="112" t="s">
        <v>74</v>
      </c>
      <c r="Y17" s="109">
        <v>5300</v>
      </c>
      <c r="Z17" s="102">
        <v>0.127</v>
      </c>
      <c r="AA17" s="102">
        <v>7</v>
      </c>
      <c r="AB17" s="102">
        <v>0.4</v>
      </c>
      <c r="AC17" s="115">
        <f t="shared" si="1"/>
        <v>17.621716792760747</v>
      </c>
      <c r="AE17" s="129">
        <v>5.2380952380952381</v>
      </c>
      <c r="AF17" s="129" t="s">
        <v>237</v>
      </c>
      <c r="AG17" s="154" t="s">
        <v>255</v>
      </c>
      <c r="AH17" s="58" t="s">
        <v>222</v>
      </c>
      <c r="AI17" s="61">
        <v>10.71</v>
      </c>
      <c r="AJ17" s="154" t="s">
        <v>257</v>
      </c>
      <c r="AK17" s="135">
        <v>9.5399999999999991</v>
      </c>
    </row>
    <row r="18" spans="3:38" x14ac:dyDescent="0.3">
      <c r="C18" s="81">
        <v>93</v>
      </c>
      <c r="D18" s="81">
        <v>107</v>
      </c>
      <c r="E18" s="81">
        <v>100</v>
      </c>
      <c r="I18" s="96">
        <v>72</v>
      </c>
      <c r="M18" s="211" t="s">
        <v>185</v>
      </c>
      <c r="N18" s="212"/>
      <c r="P18" s="65" t="s">
        <v>118</v>
      </c>
      <c r="Q18" s="65" t="s">
        <v>104</v>
      </c>
      <c r="S18" s="90" t="s">
        <v>186</v>
      </c>
      <c r="T18" s="38"/>
      <c r="X18" s="112" t="s">
        <v>75</v>
      </c>
      <c r="Y18" s="109">
        <v>24</v>
      </c>
      <c r="Z18" s="102">
        <v>22</v>
      </c>
      <c r="AA18" s="102">
        <v>12</v>
      </c>
      <c r="AB18" s="102">
        <v>3</v>
      </c>
      <c r="AC18" s="115">
        <f t="shared" si="1"/>
        <v>13.82300767579509</v>
      </c>
      <c r="AE18" s="129">
        <v>5.6410256410256405</v>
      </c>
      <c r="AF18" s="129" t="s">
        <v>238</v>
      </c>
      <c r="AG18" s="59" t="s">
        <v>205</v>
      </c>
      <c r="AH18" s="58" t="s">
        <v>223</v>
      </c>
      <c r="AI18" s="137">
        <v>12.75</v>
      </c>
      <c r="AJ18" s="61">
        <v>5.95</v>
      </c>
      <c r="AK18" s="135">
        <v>12</v>
      </c>
    </row>
    <row r="19" spans="3:38" x14ac:dyDescent="0.3">
      <c r="C19" s="81">
        <v>100</v>
      </c>
      <c r="D19" s="81">
        <v>110</v>
      </c>
      <c r="E19" s="81">
        <v>105</v>
      </c>
      <c r="P19" s="65" t="s">
        <v>154</v>
      </c>
      <c r="Q19" s="65" t="s">
        <v>127</v>
      </c>
      <c r="S19" s="208" t="s">
        <v>177</v>
      </c>
      <c r="T19" s="208"/>
      <c r="X19" s="119"/>
      <c r="Y19" s="109"/>
      <c r="Z19" s="102"/>
      <c r="AA19" s="102"/>
      <c r="AB19" s="102"/>
      <c r="AC19" s="115">
        <f t="shared" si="1"/>
        <v>0</v>
      </c>
      <c r="AE19" s="129">
        <v>6.1111111111111107</v>
      </c>
      <c r="AF19" s="129" t="s">
        <v>239</v>
      </c>
      <c r="AG19" s="59" t="s">
        <v>206</v>
      </c>
      <c r="AH19" s="132" t="s">
        <v>224</v>
      </c>
      <c r="AJ19" s="61">
        <v>7.31</v>
      </c>
      <c r="AK19" s="135">
        <v>15.11</v>
      </c>
    </row>
    <row r="20" spans="3:38" x14ac:dyDescent="0.3">
      <c r="C20" s="81">
        <v>104</v>
      </c>
      <c r="D20" s="81">
        <v>117</v>
      </c>
      <c r="E20" s="81">
        <v>110</v>
      </c>
      <c r="P20" s="65" t="s">
        <v>119</v>
      </c>
      <c r="Q20" s="65" t="s">
        <v>105</v>
      </c>
      <c r="S20" s="209" t="s">
        <v>178</v>
      </c>
      <c r="T20" s="210"/>
      <c r="X20" s="111"/>
      <c r="Y20" s="109"/>
      <c r="Z20" s="102"/>
      <c r="AA20" s="102"/>
      <c r="AB20" s="102"/>
      <c r="AC20" s="115">
        <f t="shared" si="1"/>
        <v>0</v>
      </c>
      <c r="AE20" s="129">
        <v>6.666666666666667</v>
      </c>
      <c r="AF20" s="129" t="s">
        <v>240</v>
      </c>
      <c r="AG20" s="59" t="s">
        <v>207</v>
      </c>
      <c r="AH20" s="127"/>
      <c r="AI20" s="154" t="s">
        <v>246</v>
      </c>
      <c r="AJ20" s="61">
        <v>8.4499999999999993</v>
      </c>
      <c r="AK20" s="135">
        <v>21.72</v>
      </c>
    </row>
    <row r="21" spans="3:38" x14ac:dyDescent="0.3">
      <c r="C21" s="81">
        <v>110</v>
      </c>
      <c r="D21" s="81">
        <v>120</v>
      </c>
      <c r="E21" s="79">
        <v>120</v>
      </c>
      <c r="H21" s="39"/>
      <c r="I21" s="39"/>
      <c r="J21" s="39"/>
      <c r="K21" s="39"/>
      <c r="L21" s="39"/>
      <c r="P21" s="65" t="s">
        <v>155</v>
      </c>
      <c r="Q21" s="67" t="s">
        <v>156</v>
      </c>
      <c r="S21" s="209" t="s">
        <v>180</v>
      </c>
      <c r="T21" s="210"/>
      <c r="X21" s="122"/>
      <c r="Y21" s="109"/>
      <c r="Z21" s="102"/>
      <c r="AA21" s="102"/>
      <c r="AB21" s="102"/>
      <c r="AC21" s="115">
        <f t="shared" si="1"/>
        <v>0</v>
      </c>
      <c r="AE21" s="129">
        <v>4.2016806722689077</v>
      </c>
      <c r="AF21" s="129" t="s">
        <v>241</v>
      </c>
      <c r="AG21" s="59" t="s">
        <v>208</v>
      </c>
      <c r="AH21" s="59"/>
      <c r="AI21" s="61">
        <v>5.95</v>
      </c>
      <c r="AJ21" s="61">
        <v>10.71</v>
      </c>
      <c r="AK21" s="135">
        <v>32.74</v>
      </c>
    </row>
    <row r="22" spans="3:38" ht="14.4" customHeight="1" x14ac:dyDescent="0.3">
      <c r="C22" s="81">
        <v>120</v>
      </c>
      <c r="D22" s="81">
        <v>130</v>
      </c>
      <c r="P22" s="65" t="s">
        <v>131</v>
      </c>
      <c r="S22" s="211" t="s">
        <v>181</v>
      </c>
      <c r="T22" s="212"/>
      <c r="X22" s="118"/>
      <c r="Y22" s="121"/>
      <c r="Z22" s="116"/>
      <c r="AA22" s="116"/>
      <c r="AB22" s="116"/>
      <c r="AC22" s="117">
        <f t="shared" si="1"/>
        <v>0</v>
      </c>
      <c r="AE22" s="129">
        <v>4.5248868778280542</v>
      </c>
      <c r="AF22" s="129" t="s">
        <v>242</v>
      </c>
      <c r="AG22" s="60" t="s">
        <v>209</v>
      </c>
      <c r="AI22" s="61">
        <v>7.31</v>
      </c>
      <c r="AJ22" s="137">
        <v>12.75</v>
      </c>
      <c r="AK22" s="136">
        <v>45.33</v>
      </c>
      <c r="AL22" t="s">
        <v>260</v>
      </c>
    </row>
    <row r="23" spans="3:38" x14ac:dyDescent="0.3">
      <c r="C23" s="81">
        <v>130</v>
      </c>
      <c r="D23" s="81">
        <v>131</v>
      </c>
      <c r="P23" s="65" t="s">
        <v>157</v>
      </c>
      <c r="AE23" s="129">
        <v>4.9019607843137258</v>
      </c>
      <c r="AF23" s="129" t="s">
        <v>258</v>
      </c>
      <c r="AI23" s="61">
        <v>8.4499999999999993</v>
      </c>
    </row>
    <row r="24" spans="3:38" x14ac:dyDescent="0.3">
      <c r="C24" s="81">
        <v>140</v>
      </c>
      <c r="D24" s="81">
        <v>140</v>
      </c>
      <c r="P24" s="66" t="s">
        <v>133</v>
      </c>
      <c r="AE24" s="131">
        <v>5.3475935828877015</v>
      </c>
      <c r="AF24" s="131" t="s">
        <v>243</v>
      </c>
      <c r="AI24" s="61">
        <v>10.71</v>
      </c>
    </row>
    <row r="25" spans="3:38" x14ac:dyDescent="0.3">
      <c r="C25" s="81">
        <v>150</v>
      </c>
      <c r="D25" s="81">
        <v>150</v>
      </c>
      <c r="P25" s="65" t="s">
        <v>120</v>
      </c>
      <c r="U25" s="38"/>
      <c r="AI25" s="137">
        <v>12.75</v>
      </c>
    </row>
    <row r="26" spans="3:38" x14ac:dyDescent="0.3">
      <c r="C26" s="81">
        <v>160</v>
      </c>
      <c r="D26" s="81">
        <v>151</v>
      </c>
      <c r="P26" s="65" t="s">
        <v>130</v>
      </c>
    </row>
    <row r="27" spans="3:38" x14ac:dyDescent="0.3">
      <c r="C27" s="81">
        <v>170</v>
      </c>
      <c r="D27" s="81">
        <v>160</v>
      </c>
      <c r="P27" s="65" t="s">
        <v>121</v>
      </c>
    </row>
    <row r="28" spans="3:38" x14ac:dyDescent="0.3">
      <c r="C28" s="81">
        <v>180</v>
      </c>
      <c r="D28" s="81">
        <v>170</v>
      </c>
      <c r="P28" s="65" t="s">
        <v>122</v>
      </c>
    </row>
    <row r="29" spans="3:38" x14ac:dyDescent="0.3">
      <c r="C29" s="81">
        <v>200</v>
      </c>
      <c r="D29" s="81">
        <v>180</v>
      </c>
      <c r="P29" s="65" t="s">
        <v>107</v>
      </c>
    </row>
    <row r="30" spans="3:38" x14ac:dyDescent="0.3">
      <c r="C30" s="81">
        <v>225</v>
      </c>
      <c r="D30" s="81">
        <v>200</v>
      </c>
      <c r="P30" s="65" t="s">
        <v>108</v>
      </c>
    </row>
    <row r="31" spans="3:38" x14ac:dyDescent="0.3">
      <c r="C31" s="79">
        <v>250</v>
      </c>
      <c r="D31" s="81">
        <v>225</v>
      </c>
      <c r="P31" s="65" t="s">
        <v>123</v>
      </c>
    </row>
    <row r="32" spans="3:38" x14ac:dyDescent="0.3">
      <c r="D32" s="79">
        <v>250</v>
      </c>
      <c r="P32" s="67" t="s">
        <v>124</v>
      </c>
    </row>
  </sheetData>
  <mergeCells count="5">
    <mergeCell ref="S19:T19"/>
    <mergeCell ref="S20:T20"/>
    <mergeCell ref="S21:T21"/>
    <mergeCell ref="S22:T22"/>
    <mergeCell ref="M18:N18"/>
  </mergeCells>
  <hyperlinks>
    <hyperlink ref="AG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Drivetrain</vt:lpstr>
      <vt:lpstr>MechanismRatio</vt:lpstr>
      <vt:lpstr>ChainBelt</vt:lpstr>
      <vt:lpstr>GearSize</vt:lpstr>
      <vt:lpstr>Pneumatics</vt:lpstr>
      <vt:lpstr>UsefulValues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 Meles-Braverman</dc:creator>
  <cp:lastModifiedBy>Ari Meles-Braverman</cp:lastModifiedBy>
  <dcterms:created xsi:type="dcterms:W3CDTF">2017-09-16T19:27:25Z</dcterms:created>
  <dcterms:modified xsi:type="dcterms:W3CDTF">2017-09-25T01:27:26Z</dcterms:modified>
</cp:coreProperties>
</file>