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D0DD60D6-8572-6645-9555-A2CFA82372EF}" xr6:coauthVersionLast="47" xr6:coauthVersionMax="47" xr10:uidLastSave="{00000000-0000-0000-0000-000000000000}"/>
  <bookViews>
    <workbookView xWindow="0" yWindow="760" windowWidth="27840" windowHeight="15240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37" i="9" l="1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N1650" i="10"/>
  <c r="P1650" i="10" s="1"/>
  <c r="V1650" i="10"/>
  <c r="W1650" i="10"/>
  <c r="AA1650" i="10"/>
  <c r="AB1650" i="10"/>
  <c r="AC1650" i="10"/>
  <c r="AD1650" i="10"/>
  <c r="AE1650" i="10"/>
  <c r="AF1650" i="10"/>
  <c r="AI1650" i="10" a="1"/>
  <c r="AI1650" i="10" s="1"/>
  <c r="N1651" i="10"/>
  <c r="O1650" i="10" s="1"/>
  <c r="V1651" i="10"/>
  <c r="W1651" i="10"/>
  <c r="AA1651" i="10"/>
  <c r="AB1651" i="10"/>
  <c r="AC1651" i="10"/>
  <c r="AD1651" i="10"/>
  <c r="AE1651" i="10"/>
  <c r="AF1651" i="10"/>
  <c r="AI1651" i="10" a="1"/>
  <c r="AI1651" i="10" s="1"/>
  <c r="N1652" i="10"/>
  <c r="P1652" i="10" s="1"/>
  <c r="V1652" i="10"/>
  <c r="W1652" i="10"/>
  <c r="AA1652" i="10"/>
  <c r="AB1652" i="10"/>
  <c r="AC1652" i="10"/>
  <c r="AD1652" i="10"/>
  <c r="AE1652" i="10"/>
  <c r="AF1652" i="10"/>
  <c r="AI1652" i="10" a="1"/>
  <c r="AI1652" i="10" s="1"/>
  <c r="N1653" i="10"/>
  <c r="O1652" i="10" s="1"/>
  <c r="V1653" i="10"/>
  <c r="W1653" i="10"/>
  <c r="AA1653" i="10"/>
  <c r="AB1653" i="10"/>
  <c r="AC1653" i="10"/>
  <c r="AD1653" i="10"/>
  <c r="AE1653" i="10"/>
  <c r="AF1653" i="10"/>
  <c r="AI1653" i="10" a="1"/>
  <c r="AI1653" i="10" s="1"/>
  <c r="N1654" i="10"/>
  <c r="P1654" i="10" s="1"/>
  <c r="V1654" i="10"/>
  <c r="W1654" i="10"/>
  <c r="AA1654" i="10"/>
  <c r="AB1654" i="10"/>
  <c r="AC1654" i="10"/>
  <c r="AD1654" i="10"/>
  <c r="AE1654" i="10"/>
  <c r="AF1654" i="10"/>
  <c r="AI1654" i="10" a="1"/>
  <c r="AI1654" i="10" s="1"/>
  <c r="N1655" i="10"/>
  <c r="P1655" i="10" s="1"/>
  <c r="Q1654" i="10" s="1"/>
  <c r="O1655" i="10"/>
  <c r="V1655" i="10"/>
  <c r="W1655" i="10"/>
  <c r="AA1655" i="10"/>
  <c r="AB1655" i="10"/>
  <c r="AC1655" i="10"/>
  <c r="AD1655" i="10"/>
  <c r="AE1655" i="10"/>
  <c r="AF1655" i="10"/>
  <c r="AI1655" i="10" a="1"/>
  <c r="AI1655" i="10" s="1"/>
  <c r="N1656" i="10"/>
  <c r="V1656" i="10"/>
  <c r="W1656" i="10"/>
  <c r="AA1656" i="10"/>
  <c r="AB1656" i="10"/>
  <c r="AC1656" i="10"/>
  <c r="AD1656" i="10"/>
  <c r="AE1656" i="10"/>
  <c r="AF1656" i="10"/>
  <c r="AI1656" i="10" a="1"/>
  <c r="AI1656" i="10" s="1"/>
  <c r="AK1656" i="10" s="1"/>
  <c r="N1657" i="10"/>
  <c r="P1657" i="10" s="1"/>
  <c r="Q1656" i="10" s="1"/>
  <c r="V1657" i="10"/>
  <c r="W1657" i="10"/>
  <c r="AA1657" i="10"/>
  <c r="AB1657" i="10"/>
  <c r="AC1657" i="10"/>
  <c r="AD1657" i="10"/>
  <c r="AE1657" i="10"/>
  <c r="AF1657" i="10"/>
  <c r="AI1657" i="10" a="1"/>
  <c r="AI1657" i="10" s="1"/>
  <c r="N1658" i="10"/>
  <c r="V1658" i="10"/>
  <c r="W1658" i="10"/>
  <c r="AA1658" i="10"/>
  <c r="AB1658" i="10"/>
  <c r="AC1658" i="10"/>
  <c r="AD1658" i="10"/>
  <c r="AE1658" i="10"/>
  <c r="AF1658" i="10"/>
  <c r="AI1658" i="10" a="1"/>
  <c r="AI1658" i="10" s="1"/>
  <c r="N1659" i="10"/>
  <c r="P1659" i="10" s="1"/>
  <c r="Q1658" i="10" s="1"/>
  <c r="V1659" i="10"/>
  <c r="W1659" i="10"/>
  <c r="AA1659" i="10"/>
  <c r="AB1659" i="10"/>
  <c r="AC1659" i="10"/>
  <c r="AD1659" i="10"/>
  <c r="AE1659" i="10"/>
  <c r="AF1659" i="10"/>
  <c r="AI1659" i="10" a="1"/>
  <c r="AI1659" i="10" s="1"/>
  <c r="N1660" i="10"/>
  <c r="V1660" i="10"/>
  <c r="W1660" i="10"/>
  <c r="AA1660" i="10"/>
  <c r="AB1660" i="10"/>
  <c r="AC1660" i="10"/>
  <c r="AD1660" i="10"/>
  <c r="AE1660" i="10"/>
  <c r="AF1660" i="10"/>
  <c r="AI1660" i="10" a="1"/>
  <c r="AI1660" i="10" s="1"/>
  <c r="N1661" i="10"/>
  <c r="V1661" i="10"/>
  <c r="W1661" i="10"/>
  <c r="AA1661" i="10"/>
  <c r="AB1661" i="10"/>
  <c r="AC1661" i="10"/>
  <c r="AD1661" i="10"/>
  <c r="AE1661" i="10"/>
  <c r="AF1661" i="10"/>
  <c r="AI1661" i="10" a="1"/>
  <c r="AI1661" i="10" s="1"/>
  <c r="N1662" i="10"/>
  <c r="O1663" i="10" s="1"/>
  <c r="V1662" i="10"/>
  <c r="W1662" i="10"/>
  <c r="AA1662" i="10"/>
  <c r="AB1662" i="10"/>
  <c r="AC1662" i="10"/>
  <c r="AD1662" i="10"/>
  <c r="AE1662" i="10"/>
  <c r="AF1662" i="10"/>
  <c r="AI1662" i="10" a="1"/>
  <c r="AI1662" i="10" s="1"/>
  <c r="N1663" i="10"/>
  <c r="V1663" i="10"/>
  <c r="W1663" i="10"/>
  <c r="AA1663" i="10"/>
  <c r="AB1663" i="10"/>
  <c r="AC1663" i="10"/>
  <c r="AD1663" i="10"/>
  <c r="AE1663" i="10"/>
  <c r="AF1663" i="10"/>
  <c r="AI1663" i="10" a="1"/>
  <c r="AI1663" i="10" s="1"/>
  <c r="N1664" i="10"/>
  <c r="V1664" i="10"/>
  <c r="W1664" i="10"/>
  <c r="AA1664" i="10"/>
  <c r="AB1664" i="10"/>
  <c r="AC1664" i="10"/>
  <c r="AD1664" i="10"/>
  <c r="AE1664" i="10"/>
  <c r="AF1664" i="10"/>
  <c r="AI1664" i="10" a="1"/>
  <c r="AI1664" i="10" s="1"/>
  <c r="N1665" i="10"/>
  <c r="O1664" i="10" s="1"/>
  <c r="V1665" i="10"/>
  <c r="W1665" i="10"/>
  <c r="AA1665" i="10"/>
  <c r="AB1665" i="10"/>
  <c r="AC1665" i="10"/>
  <c r="AD1665" i="10"/>
  <c r="AE1665" i="10"/>
  <c r="AF1665" i="10"/>
  <c r="AI1665" i="10" a="1"/>
  <c r="AI1665" i="10" s="1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N1638" i="10"/>
  <c r="P1638" i="10" s="1"/>
  <c r="V1638" i="10"/>
  <c r="W1638" i="10"/>
  <c r="AA1638" i="10"/>
  <c r="AB1638" i="10"/>
  <c r="AC1638" i="10"/>
  <c r="AD1638" i="10"/>
  <c r="AE1638" i="10"/>
  <c r="AF1638" i="10"/>
  <c r="AI1638" i="10" a="1"/>
  <c r="AI1638" i="10" s="1"/>
  <c r="N1639" i="10"/>
  <c r="O1638" i="10" s="1"/>
  <c r="V1639" i="10"/>
  <c r="W1639" i="10"/>
  <c r="AA1639" i="10"/>
  <c r="AB1639" i="10"/>
  <c r="AC1639" i="10"/>
  <c r="AD1639" i="10"/>
  <c r="AE1639" i="10"/>
  <c r="AF1639" i="10"/>
  <c r="AI1639" i="10" a="1"/>
  <c r="AI1639" i="10" s="1"/>
  <c r="N1640" i="10"/>
  <c r="P1640" i="10" s="1"/>
  <c r="V1640" i="10"/>
  <c r="W1640" i="10"/>
  <c r="AA1640" i="10"/>
  <c r="AB1640" i="10"/>
  <c r="AC1640" i="10"/>
  <c r="AD1640" i="10"/>
  <c r="AE1640" i="10"/>
  <c r="AF1640" i="10"/>
  <c r="AI1640" i="10" a="1"/>
  <c r="AI1640" i="10" s="1"/>
  <c r="N1641" i="10"/>
  <c r="O1640" i="10" s="1"/>
  <c r="V1641" i="10"/>
  <c r="W1641" i="10"/>
  <c r="AA1641" i="10"/>
  <c r="AB1641" i="10"/>
  <c r="AC1641" i="10"/>
  <c r="AD1641" i="10"/>
  <c r="AE1641" i="10"/>
  <c r="AF1641" i="10"/>
  <c r="AI1641" i="10" a="1"/>
  <c r="AI1641" i="10" s="1"/>
  <c r="N1642" i="10"/>
  <c r="P1642" i="10" s="1"/>
  <c r="V1642" i="10"/>
  <c r="W1642" i="10"/>
  <c r="AA1642" i="10"/>
  <c r="AB1642" i="10"/>
  <c r="AC1642" i="10"/>
  <c r="AD1642" i="10"/>
  <c r="AE1642" i="10"/>
  <c r="AF1642" i="10"/>
  <c r="AI1642" i="10" a="1"/>
  <c r="AI1642" i="10" s="1"/>
  <c r="N1643" i="10"/>
  <c r="O1642" i="10" s="1"/>
  <c r="V1643" i="10"/>
  <c r="W1643" i="10"/>
  <c r="AA1643" i="10"/>
  <c r="AB1643" i="10"/>
  <c r="AC1643" i="10"/>
  <c r="AD1643" i="10"/>
  <c r="AE1643" i="10"/>
  <c r="AF1643" i="10"/>
  <c r="AI1643" i="10" a="1"/>
  <c r="AI1643" i="10" s="1"/>
  <c r="N1644" i="10"/>
  <c r="P1644" i="10" s="1"/>
  <c r="V1644" i="10"/>
  <c r="W1644" i="10"/>
  <c r="AA1644" i="10"/>
  <c r="AB1644" i="10"/>
  <c r="AC1644" i="10"/>
  <c r="AD1644" i="10"/>
  <c r="AE1644" i="10"/>
  <c r="AF1644" i="10"/>
  <c r="AI1644" i="10" a="1"/>
  <c r="AI1644" i="10" s="1"/>
  <c r="N1645" i="10"/>
  <c r="O1644" i="10" s="1"/>
  <c r="V1645" i="10"/>
  <c r="W1645" i="10"/>
  <c r="AA1645" i="10"/>
  <c r="AB1645" i="10"/>
  <c r="AC1645" i="10"/>
  <c r="AD1645" i="10"/>
  <c r="AE1645" i="10"/>
  <c r="AF1645" i="10"/>
  <c r="AI1645" i="10" a="1"/>
  <c r="AI1645" i="10" s="1"/>
  <c r="N1646" i="10"/>
  <c r="P1646" i="10" s="1"/>
  <c r="V1646" i="10"/>
  <c r="W1646" i="10"/>
  <c r="AA1646" i="10"/>
  <c r="AB1646" i="10"/>
  <c r="AC1646" i="10"/>
  <c r="AD1646" i="10"/>
  <c r="AE1646" i="10"/>
  <c r="AF1646" i="10"/>
  <c r="AI1646" i="10" a="1"/>
  <c r="AI1646" i="10" s="1"/>
  <c r="N1647" i="10"/>
  <c r="O1646" i="10" s="1"/>
  <c r="V1647" i="10"/>
  <c r="W1647" i="10"/>
  <c r="AA1647" i="10"/>
  <c r="AB1647" i="10"/>
  <c r="AC1647" i="10"/>
  <c r="AD1647" i="10"/>
  <c r="AE1647" i="10"/>
  <c r="AF1647" i="10"/>
  <c r="AI1647" i="10" a="1"/>
  <c r="AI1647" i="10" s="1"/>
  <c r="N1648" i="10"/>
  <c r="P1648" i="10" s="1"/>
  <c r="V1648" i="10"/>
  <c r="W1648" i="10"/>
  <c r="AA1648" i="10"/>
  <c r="AB1648" i="10"/>
  <c r="AC1648" i="10"/>
  <c r="AD1648" i="10"/>
  <c r="AE1648" i="10"/>
  <c r="AF1648" i="10"/>
  <c r="AI1648" i="10" a="1"/>
  <c r="AI1648" i="10" s="1"/>
  <c r="N1649" i="10"/>
  <c r="O1648" i="10" s="1"/>
  <c r="V1649" i="10"/>
  <c r="W1649" i="10"/>
  <c r="AA1649" i="10"/>
  <c r="AB1649" i="10"/>
  <c r="AC1649" i="10"/>
  <c r="AD1649" i="10"/>
  <c r="AE1649" i="10"/>
  <c r="AF1649" i="10"/>
  <c r="AI1649" i="10" a="1"/>
  <c r="AI1649" i="10" s="1"/>
  <c r="A1502" i="9"/>
  <c r="A1503" i="9"/>
  <c r="A1504" i="9"/>
  <c r="A1505" i="9"/>
  <c r="A1506" i="9"/>
  <c r="A1507" i="9"/>
  <c r="N1624" i="10" s="1"/>
  <c r="O1625" i="10" s="1"/>
  <c r="A1508" i="9"/>
  <c r="N1634" i="10" s="1"/>
  <c r="P1634" i="10" s="1"/>
  <c r="A1509" i="9"/>
  <c r="N1608" i="10" s="1"/>
  <c r="A1510" i="9"/>
  <c r="N1626" i="10" s="1"/>
  <c r="O1627" i="10" s="1"/>
  <c r="A1511" i="9"/>
  <c r="A1512" i="9"/>
  <c r="N1613" i="10" s="1"/>
  <c r="P1613" i="10" s="1"/>
  <c r="Q1612" i="10" s="1"/>
  <c r="A1513" i="9"/>
  <c r="N1632" i="10" s="1"/>
  <c r="O1633" i="10" s="1"/>
  <c r="A1514" i="9"/>
  <c r="N1616" i="10" s="1"/>
  <c r="A1515" i="9"/>
  <c r="N1622" i="10" s="1"/>
  <c r="P1622" i="10" s="1"/>
  <c r="Q1623" i="10" s="1"/>
  <c r="A1516" i="9"/>
  <c r="N1625" i="10" s="1"/>
  <c r="A1517" i="9"/>
  <c r="N1628" i="10" s="1"/>
  <c r="O1629" i="10" s="1"/>
  <c r="A1518" i="9"/>
  <c r="A1519" i="9"/>
  <c r="A1520" i="9"/>
  <c r="A1521" i="9"/>
  <c r="A1501" i="9"/>
  <c r="A1500" i="9"/>
  <c r="A1499" i="9"/>
  <c r="A1498" i="9"/>
  <c r="A1497" i="9"/>
  <c r="A1496" i="9"/>
  <c r="V1622" i="10"/>
  <c r="W1622" i="10"/>
  <c r="AC1622" i="10"/>
  <c r="AD1622" i="10"/>
  <c r="AE1622" i="10"/>
  <c r="AF1622" i="10"/>
  <c r="AI1622" i="10" a="1"/>
  <c r="AI1622" i="10" s="1"/>
  <c r="V1623" i="10"/>
  <c r="W1623" i="10"/>
  <c r="AC1623" i="10"/>
  <c r="AD1623" i="10"/>
  <c r="AE1623" i="10"/>
  <c r="AF1623" i="10"/>
  <c r="AI1623" i="10" a="1"/>
  <c r="AI1623" i="10" s="1"/>
  <c r="AM1623" i="10"/>
  <c r="V1624" i="10"/>
  <c r="W1624" i="10"/>
  <c r="AC1624" i="10"/>
  <c r="AD1624" i="10"/>
  <c r="AE1624" i="10"/>
  <c r="AF1624" i="10"/>
  <c r="AI1624" i="10" a="1"/>
  <c r="AI1624" i="10" s="1"/>
  <c r="V1625" i="10"/>
  <c r="W1625" i="10"/>
  <c r="AC1625" i="10"/>
  <c r="AD1625" i="10"/>
  <c r="AE1625" i="10"/>
  <c r="AF1625" i="10"/>
  <c r="AI1625" i="10" a="1"/>
  <c r="AI1625" i="10" s="1"/>
  <c r="AK1625" i="10" s="1"/>
  <c r="AM1625" i="10"/>
  <c r="V1626" i="10"/>
  <c r="W1626" i="10"/>
  <c r="AC1626" i="10"/>
  <c r="AD1626" i="10"/>
  <c r="AE1626" i="10"/>
  <c r="AF1626" i="10"/>
  <c r="AI1626" i="10" a="1"/>
  <c r="AI1626" i="10" s="1"/>
  <c r="V1627" i="10"/>
  <c r="W1627" i="10"/>
  <c r="AC1627" i="10"/>
  <c r="AD1627" i="10"/>
  <c r="AE1627" i="10"/>
  <c r="AF1627" i="10"/>
  <c r="AI1627" i="10" a="1"/>
  <c r="AI1627" i="10" s="1"/>
  <c r="V1628" i="10"/>
  <c r="W1628" i="10"/>
  <c r="AC1628" i="10"/>
  <c r="AD1628" i="10"/>
  <c r="AE1628" i="10"/>
  <c r="AF1628" i="10"/>
  <c r="AI1628" i="10" a="1"/>
  <c r="AI1628" i="10" s="1"/>
  <c r="V1629" i="10"/>
  <c r="W1629" i="10"/>
  <c r="AC1629" i="10"/>
  <c r="AD1629" i="10"/>
  <c r="AE1629" i="10"/>
  <c r="AF1629" i="10"/>
  <c r="AI1629" i="10" a="1"/>
  <c r="AI1629" i="10"/>
  <c r="V1630" i="10"/>
  <c r="W1630" i="10"/>
  <c r="AC1630" i="10"/>
  <c r="AD1630" i="10"/>
  <c r="AE1630" i="10"/>
  <c r="AF1630" i="10"/>
  <c r="AI1630" i="10" a="1"/>
  <c r="AI1630" i="10" s="1"/>
  <c r="V1631" i="10"/>
  <c r="W1631" i="10"/>
  <c r="AC1631" i="10"/>
  <c r="AD1631" i="10"/>
  <c r="AE1631" i="10"/>
  <c r="AF1631" i="10"/>
  <c r="AI1631" i="10" a="1"/>
  <c r="AI1631" i="10"/>
  <c r="V1632" i="10"/>
  <c r="W1632" i="10"/>
  <c r="AC1632" i="10"/>
  <c r="AD1632" i="10"/>
  <c r="AE1632" i="10"/>
  <c r="AF1632" i="10"/>
  <c r="AI1632" i="10" a="1"/>
  <c r="AI1632" i="10" s="1"/>
  <c r="V1633" i="10"/>
  <c r="W1633" i="10"/>
  <c r="AC1633" i="10"/>
  <c r="AD1633" i="10"/>
  <c r="AE1633" i="10"/>
  <c r="AF1633" i="10"/>
  <c r="AI1633" i="10" a="1"/>
  <c r="AI1633" i="10"/>
  <c r="V1634" i="10"/>
  <c r="W1634" i="10"/>
  <c r="AC1634" i="10"/>
  <c r="AD1634" i="10"/>
  <c r="AE1634" i="10"/>
  <c r="AF1634" i="10"/>
  <c r="AI1634" i="10" a="1"/>
  <c r="AI1634" i="10" s="1"/>
  <c r="V1635" i="10"/>
  <c r="W1635" i="10"/>
  <c r="AC1635" i="10"/>
  <c r="AD1635" i="10"/>
  <c r="AE1635" i="10"/>
  <c r="AF1635" i="10"/>
  <c r="AI1635" i="10" a="1"/>
  <c r="AI1635" i="10" s="1"/>
  <c r="V1636" i="10"/>
  <c r="W1636" i="10"/>
  <c r="AC1636" i="10"/>
  <c r="AD1636" i="10"/>
  <c r="AE1636" i="10"/>
  <c r="AF1636" i="10"/>
  <c r="AI1636" i="10" a="1"/>
  <c r="AI1636" i="10"/>
  <c r="V1637" i="10"/>
  <c r="W1637" i="10"/>
  <c r="AC1637" i="10"/>
  <c r="AD1637" i="10"/>
  <c r="AE1637" i="10"/>
  <c r="AF1637" i="10"/>
  <c r="AI1637" i="10" a="1"/>
  <c r="AI1637" i="10"/>
  <c r="N1602" i="10"/>
  <c r="P1602" i="10" s="1"/>
  <c r="Q1603" i="10" s="1"/>
  <c r="V1602" i="10"/>
  <c r="W1602" i="10"/>
  <c r="AC1602" i="10"/>
  <c r="AD1602" i="10"/>
  <c r="AE1602" i="10"/>
  <c r="AF1602" i="10"/>
  <c r="AI1602" i="10" a="1"/>
  <c r="AI1602" i="10" s="1"/>
  <c r="N1603" i="10"/>
  <c r="O1602" i="10" s="1"/>
  <c r="V1603" i="10"/>
  <c r="W1603" i="10"/>
  <c r="AC1603" i="10"/>
  <c r="AD1603" i="10"/>
  <c r="AE1603" i="10"/>
  <c r="AF1603" i="10"/>
  <c r="AI1603" i="10" a="1"/>
  <c r="AI1603" i="10" s="1"/>
  <c r="N1604" i="10"/>
  <c r="V1604" i="10"/>
  <c r="W1604" i="10"/>
  <c r="AC1604" i="10"/>
  <c r="AD1604" i="10"/>
  <c r="AE1604" i="10"/>
  <c r="AF1604" i="10"/>
  <c r="AI1604" i="10" a="1"/>
  <c r="AI1604" i="10" s="1"/>
  <c r="AK1604" i="10" s="1"/>
  <c r="N1605" i="10"/>
  <c r="V1605" i="10"/>
  <c r="W1605" i="10"/>
  <c r="AC1605" i="10"/>
  <c r="AD1605" i="10"/>
  <c r="AE1605" i="10"/>
  <c r="AF1605" i="10"/>
  <c r="AI1605" i="10" a="1"/>
  <c r="AI1605" i="10" s="1"/>
  <c r="AK1605" i="10" s="1"/>
  <c r="N1606" i="10"/>
  <c r="O1607" i="10" s="1"/>
  <c r="V1606" i="10"/>
  <c r="W1606" i="10"/>
  <c r="AC1606" i="10"/>
  <c r="AD1606" i="10"/>
  <c r="AE1606" i="10"/>
  <c r="AF1606" i="10"/>
  <c r="AI1606" i="10" a="1"/>
  <c r="AI1606" i="10"/>
  <c r="AK1606" i="10" s="1"/>
  <c r="AM1606" i="10"/>
  <c r="N1607" i="10"/>
  <c r="V1607" i="10"/>
  <c r="W1607" i="10"/>
  <c r="AC1607" i="10"/>
  <c r="AD1607" i="10"/>
  <c r="AE1607" i="10"/>
  <c r="AF1607" i="10"/>
  <c r="AI1607" i="10" a="1"/>
  <c r="AI1607" i="10" s="1"/>
  <c r="V1608" i="10"/>
  <c r="W1608" i="10"/>
  <c r="AC1608" i="10"/>
  <c r="AD1608" i="10"/>
  <c r="AE1608" i="10"/>
  <c r="AF1608" i="10"/>
  <c r="AI1608" i="10" a="1"/>
  <c r="AI1608" i="10" s="1"/>
  <c r="N1609" i="10"/>
  <c r="O1608" i="10" s="1"/>
  <c r="V1609" i="10"/>
  <c r="W1609" i="10"/>
  <c r="AC1609" i="10"/>
  <c r="AD1609" i="10"/>
  <c r="AE1609" i="10"/>
  <c r="AF1609" i="10"/>
  <c r="AI1609" i="10" a="1"/>
  <c r="AI1609" i="10" s="1"/>
  <c r="N1610" i="10"/>
  <c r="V1610" i="10"/>
  <c r="W1610" i="10"/>
  <c r="AC1610" i="10"/>
  <c r="AD1610" i="10"/>
  <c r="AE1610" i="10"/>
  <c r="AF1610" i="10"/>
  <c r="AI1610" i="10" a="1"/>
  <c r="AI1610" i="10"/>
  <c r="V1611" i="10"/>
  <c r="W1611" i="10"/>
  <c r="AC1611" i="10"/>
  <c r="AD1611" i="10"/>
  <c r="AE1611" i="10"/>
  <c r="AF1611" i="10"/>
  <c r="AI1611" i="10" a="1"/>
  <c r="AI1611" i="10" s="1"/>
  <c r="AK1611" i="10" s="1"/>
  <c r="N1612" i="10"/>
  <c r="V1612" i="10"/>
  <c r="W1612" i="10"/>
  <c r="AC1612" i="10"/>
  <c r="AD1612" i="10"/>
  <c r="AE1612" i="10"/>
  <c r="AF1612" i="10"/>
  <c r="AI1612" i="10" a="1"/>
  <c r="AI1612" i="10" s="1"/>
  <c r="V1613" i="10"/>
  <c r="W1613" i="10"/>
  <c r="AC1613" i="10"/>
  <c r="AD1613" i="10"/>
  <c r="AE1613" i="10"/>
  <c r="AF1613" i="10"/>
  <c r="AI1613" i="10" a="1"/>
  <c r="AI1613" i="10" s="1"/>
  <c r="V1614" i="10"/>
  <c r="W1614" i="10"/>
  <c r="AC1614" i="10"/>
  <c r="AD1614" i="10"/>
  <c r="AE1614" i="10"/>
  <c r="AF1614" i="10"/>
  <c r="AI1614" i="10" a="1"/>
  <c r="AI1614" i="10"/>
  <c r="N1615" i="10"/>
  <c r="P1615" i="10" s="1"/>
  <c r="Q1614" i="10" s="1"/>
  <c r="V1615" i="10"/>
  <c r="W1615" i="10"/>
  <c r="AC1615" i="10"/>
  <c r="AD1615" i="10"/>
  <c r="AE1615" i="10"/>
  <c r="AF1615" i="10"/>
  <c r="AI1615" i="10" a="1"/>
  <c r="AI1615" i="10" s="1"/>
  <c r="V1616" i="10"/>
  <c r="W1616" i="10"/>
  <c r="AC1616" i="10"/>
  <c r="AD1616" i="10"/>
  <c r="AE1616" i="10"/>
  <c r="AF1616" i="10"/>
  <c r="AI1616" i="10" a="1"/>
  <c r="AI1616" i="10"/>
  <c r="V1617" i="10"/>
  <c r="W1617" i="10"/>
  <c r="AC1617" i="10"/>
  <c r="AD1617" i="10"/>
  <c r="AE1617" i="10"/>
  <c r="AF1617" i="10"/>
  <c r="AI1617" i="10" a="1"/>
  <c r="AI1617" i="10" s="1"/>
  <c r="N1618" i="10"/>
  <c r="O1619" i="10" s="1"/>
  <c r="V1618" i="10"/>
  <c r="W1618" i="10"/>
  <c r="AC1618" i="10"/>
  <c r="AD1618" i="10"/>
  <c r="AE1618" i="10"/>
  <c r="AF1618" i="10"/>
  <c r="AI1618" i="10" a="1"/>
  <c r="AI1618" i="10" s="1"/>
  <c r="AM1618" i="10" s="1"/>
  <c r="V1619" i="10"/>
  <c r="W1619" i="10"/>
  <c r="AC1619" i="10"/>
  <c r="AD1619" i="10"/>
  <c r="AE1619" i="10"/>
  <c r="AF1619" i="10"/>
  <c r="AI1619" i="10" a="1"/>
  <c r="AI1619" i="10" s="1"/>
  <c r="V1620" i="10"/>
  <c r="W1620" i="10"/>
  <c r="AC1620" i="10"/>
  <c r="AD1620" i="10"/>
  <c r="AE1620" i="10"/>
  <c r="AF1620" i="10"/>
  <c r="AI1620" i="10" a="1"/>
  <c r="AI1620" i="10" s="1"/>
  <c r="N1621" i="10"/>
  <c r="P1621" i="10" s="1"/>
  <c r="V1621" i="10"/>
  <c r="W1621" i="10"/>
  <c r="AC1621" i="10"/>
  <c r="AD1621" i="10"/>
  <c r="AE1621" i="10"/>
  <c r="AF1621" i="10"/>
  <c r="AI1621" i="10" a="1"/>
  <c r="AI1621" i="10" s="1"/>
  <c r="O1654" i="10" l="1"/>
  <c r="O1656" i="10"/>
  <c r="O1653" i="10"/>
  <c r="O1658" i="10"/>
  <c r="P1658" i="10"/>
  <c r="O1659" i="10"/>
  <c r="Q1653" i="10"/>
  <c r="P1661" i="10"/>
  <c r="P1660" i="10"/>
  <c r="P1656" i="10"/>
  <c r="AM1652" i="10"/>
  <c r="P1663" i="10"/>
  <c r="Y1657" i="10"/>
  <c r="P1662" i="10"/>
  <c r="O1657" i="10"/>
  <c r="P1664" i="10"/>
  <c r="O1662" i="10"/>
  <c r="O1660" i="10"/>
  <c r="O1665" i="10"/>
  <c r="P1665" i="10"/>
  <c r="O1661" i="10"/>
  <c r="Q1655" i="10"/>
  <c r="Q1651" i="10"/>
  <c r="P1653" i="10"/>
  <c r="P1651" i="10"/>
  <c r="O1651" i="10"/>
  <c r="F54" i="14"/>
  <c r="G54" i="14" s="1"/>
  <c r="AH54" i="14"/>
  <c r="AK1639" i="10"/>
  <c r="AK1645" i="10"/>
  <c r="AM1645" i="10"/>
  <c r="AM1640" i="10"/>
  <c r="AM1642" i="10"/>
  <c r="AK1648" i="10"/>
  <c r="AK1641" i="10"/>
  <c r="AM1646" i="10"/>
  <c r="AK1646" i="10"/>
  <c r="AK1638" i="10"/>
  <c r="Q1649" i="10"/>
  <c r="Q1647" i="10"/>
  <c r="Q1645" i="10"/>
  <c r="Q1643" i="10"/>
  <c r="Q1641" i="10"/>
  <c r="Q1639" i="10"/>
  <c r="P1649" i="10"/>
  <c r="P1647" i="10"/>
  <c r="P1645" i="10"/>
  <c r="P1643" i="10"/>
  <c r="P1641" i="10"/>
  <c r="P1639" i="10"/>
  <c r="O1649" i="10"/>
  <c r="O1647" i="10"/>
  <c r="O1645" i="10"/>
  <c r="O1643" i="10"/>
  <c r="O1641" i="10"/>
  <c r="O1639" i="10"/>
  <c r="N1629" i="10"/>
  <c r="O1628" i="10" s="1"/>
  <c r="N1636" i="10"/>
  <c r="O1637" i="10" s="1"/>
  <c r="N1623" i="10"/>
  <c r="O1622" i="10" s="1"/>
  <c r="N1633" i="10"/>
  <c r="P1633" i="10" s="1"/>
  <c r="Q1632" i="10" s="1"/>
  <c r="N1631" i="10"/>
  <c r="O1630" i="10" s="1"/>
  <c r="N1619" i="10"/>
  <c r="O1618" i="10" s="1"/>
  <c r="N1617" i="10"/>
  <c r="O1616" i="10" s="1"/>
  <c r="N1630" i="10"/>
  <c r="O1631" i="10" s="1"/>
  <c r="N1635" i="10"/>
  <c r="P1635" i="10" s="1"/>
  <c r="N1620" i="10"/>
  <c r="P1620" i="10" s="1"/>
  <c r="N1614" i="10"/>
  <c r="P1614" i="10" s="1"/>
  <c r="N1611" i="10"/>
  <c r="P1611" i="10" s="1"/>
  <c r="Q1610" i="10" s="1"/>
  <c r="N1637" i="10"/>
  <c r="P1637" i="10" s="1"/>
  <c r="Q1636" i="10" s="1"/>
  <c r="N1627" i="10"/>
  <c r="P1627" i="10" s="1"/>
  <c r="O1612" i="10"/>
  <c r="O1614" i="10"/>
  <c r="P1619" i="10"/>
  <c r="Q1618" i="10" s="1"/>
  <c r="O1603" i="10"/>
  <c r="O1623" i="10"/>
  <c r="AK1628" i="10"/>
  <c r="AM1628" i="10"/>
  <c r="Q1635" i="10"/>
  <c r="X1624" i="10"/>
  <c r="O1635" i="10"/>
  <c r="X1622" i="10"/>
  <c r="Y1624" i="10"/>
  <c r="P1625" i="10"/>
  <c r="P1628" i="10"/>
  <c r="P1632" i="10"/>
  <c r="P1626" i="10"/>
  <c r="O1624" i="10"/>
  <c r="P1624" i="10"/>
  <c r="Q1620" i="10"/>
  <c r="AM1620" i="10"/>
  <c r="X1619" i="10"/>
  <c r="AM1615" i="10"/>
  <c r="P1610" i="10"/>
  <c r="O1611" i="10"/>
  <c r="AK1618" i="10"/>
  <c r="Y1607" i="10"/>
  <c r="AK1610" i="10"/>
  <c r="O1606" i="10"/>
  <c r="P1607" i="10"/>
  <c r="AK1619" i="10"/>
  <c r="AM1619" i="10"/>
  <c r="AM1616" i="10"/>
  <c r="AK1612" i="10"/>
  <c r="AK1608" i="10"/>
  <c r="AM1608" i="10"/>
  <c r="O1620" i="10"/>
  <c r="P1616" i="10"/>
  <c r="O1617" i="10"/>
  <c r="P1609" i="10"/>
  <c r="P1604" i="10"/>
  <c r="P1612" i="10"/>
  <c r="AM1602" i="10"/>
  <c r="AK1602" i="10"/>
  <c r="P1608" i="10"/>
  <c r="X1607" i="10"/>
  <c r="AM1605" i="10"/>
  <c r="O1613" i="10"/>
  <c r="Y1610" i="10"/>
  <c r="Y1604" i="10"/>
  <c r="O1609" i="10"/>
  <c r="O1605" i="10"/>
  <c r="AM1604" i="10"/>
  <c r="P1605" i="10"/>
  <c r="P1618" i="10"/>
  <c r="P1606" i="10"/>
  <c r="Y1605" i="10"/>
  <c r="O1604" i="10"/>
  <c r="P1603" i="10"/>
  <c r="P1617" i="10" l="1"/>
  <c r="Q1616" i="10" s="1"/>
  <c r="O1615" i="10"/>
  <c r="O1610" i="10"/>
  <c r="Q1652" i="10"/>
  <c r="Q1660" i="10"/>
  <c r="Q1664" i="10"/>
  <c r="Q1661" i="10"/>
  <c r="Q1659" i="10"/>
  <c r="Q1663" i="10"/>
  <c r="Q1650" i="10"/>
  <c r="Q1662" i="10"/>
  <c r="X1653" i="10"/>
  <c r="Q1665" i="10"/>
  <c r="Q1657" i="10"/>
  <c r="Y1639" i="10"/>
  <c r="X1641" i="10"/>
  <c r="X1647" i="10"/>
  <c r="Q1638" i="10"/>
  <c r="Y1649" i="10"/>
  <c r="X1644" i="10"/>
  <c r="Y1644" i="10"/>
  <c r="Y1647" i="10"/>
  <c r="Y1640" i="10"/>
  <c r="Q1640" i="10"/>
  <c r="Q1642" i="10"/>
  <c r="Q1644" i="10"/>
  <c r="X1643" i="10"/>
  <c r="Q1646" i="10"/>
  <c r="Y1638" i="10"/>
  <c r="Q1648" i="10"/>
  <c r="P1636" i="10"/>
  <c r="P1623" i="10"/>
  <c r="P1631" i="10"/>
  <c r="Q1630" i="10" s="1"/>
  <c r="O1632" i="10"/>
  <c r="P1629" i="10"/>
  <c r="Q1628" i="10" s="1"/>
  <c r="O1636" i="10"/>
  <c r="O1626" i="10"/>
  <c r="P1630" i="10"/>
  <c r="O1634" i="10"/>
  <c r="O1621" i="10"/>
  <c r="Q1633" i="10"/>
  <c r="X1629" i="10"/>
  <c r="Q1634" i="10"/>
  <c r="Q1625" i="10"/>
  <c r="Q1622" i="10"/>
  <c r="Q1627" i="10"/>
  <c r="Q1637" i="10"/>
  <c r="Q1629" i="10"/>
  <c r="Q1626" i="10"/>
  <c r="Q1624" i="10"/>
  <c r="Y1629" i="10"/>
  <c r="Q1631" i="10"/>
  <c r="Y1609" i="10"/>
  <c r="X1617" i="10"/>
  <c r="X1618" i="10"/>
  <c r="X1603" i="10"/>
  <c r="Q1607" i="10"/>
  <c r="Q1617" i="10"/>
  <c r="Q1606" i="10"/>
  <c r="Y1619" i="10"/>
  <c r="Q1609" i="10"/>
  <c r="Q1608" i="10"/>
  <c r="Y1618" i="10"/>
  <c r="X1608" i="10"/>
  <c r="Q1619" i="10"/>
  <c r="Q1613" i="10"/>
  <c r="Q1615" i="10"/>
  <c r="X1614" i="10"/>
  <c r="Y1603" i="10"/>
  <c r="Q1621" i="10"/>
  <c r="Q1604" i="10"/>
  <c r="Q1611" i="10"/>
  <c r="X1621" i="10"/>
  <c r="X1609" i="10"/>
  <c r="X1604" i="10"/>
  <c r="Y1613" i="10"/>
  <c r="Q1602" i="10"/>
  <c r="Q1605" i="10"/>
  <c r="Y1611" i="10"/>
  <c r="X1605" i="10"/>
  <c r="AM1585" i="10" l="1"/>
  <c r="A1470" i="9"/>
  <c r="A1471" i="9"/>
  <c r="A1472" i="9"/>
  <c r="N1588" i="10" s="1"/>
  <c r="O1589" i="10" s="1"/>
  <c r="A1473" i="9"/>
  <c r="A1474" i="9"/>
  <c r="N1600" i="10" s="1"/>
  <c r="P1600" i="10" s="1"/>
  <c r="A1475" i="9"/>
  <c r="N1597" i="10" s="1"/>
  <c r="O1596" i="10" s="1"/>
  <c r="A1476" i="9"/>
  <c r="A1477" i="9"/>
  <c r="A1478" i="9"/>
  <c r="A1479" i="9"/>
  <c r="N1599" i="10" s="1"/>
  <c r="P1599" i="10" s="1"/>
  <c r="A1480" i="9"/>
  <c r="A1481" i="9"/>
  <c r="N1596" i="10" s="1"/>
  <c r="P1596" i="10" s="1"/>
  <c r="A1482" i="9"/>
  <c r="A1483" i="9"/>
  <c r="N1589" i="10" s="1"/>
  <c r="P1589" i="10" s="1"/>
  <c r="A1484" i="9"/>
  <c r="A1485" i="9"/>
  <c r="N1598" i="10" s="1"/>
  <c r="P1598" i="10" s="1"/>
  <c r="A1486" i="9"/>
  <c r="A1487" i="9"/>
  <c r="A1488" i="9"/>
  <c r="A1489" i="9"/>
  <c r="A1490" i="9"/>
  <c r="A1491" i="9"/>
  <c r="A1492" i="9"/>
  <c r="A1493" i="9"/>
  <c r="A1494" i="9"/>
  <c r="A1495" i="9"/>
  <c r="V1596" i="10"/>
  <c r="W1596" i="10"/>
  <c r="AC1596" i="10"/>
  <c r="AD1596" i="10"/>
  <c r="AE1596" i="10"/>
  <c r="AF1596" i="10"/>
  <c r="AI1596" i="10" a="1"/>
  <c r="AI1596" i="10" s="1"/>
  <c r="V1597" i="10"/>
  <c r="W1597" i="10"/>
  <c r="AC1597" i="10"/>
  <c r="AD1597" i="10"/>
  <c r="AE1597" i="10"/>
  <c r="AF1597" i="10"/>
  <c r="AI1597" i="10" a="1"/>
  <c r="AI1597" i="10" s="1"/>
  <c r="V1598" i="10"/>
  <c r="W1598" i="10"/>
  <c r="AC1598" i="10"/>
  <c r="AD1598" i="10"/>
  <c r="AE1598" i="10"/>
  <c r="AF1598" i="10"/>
  <c r="AI1598" i="10" a="1"/>
  <c r="AI1598" i="10" s="1"/>
  <c r="V1599" i="10"/>
  <c r="W1599" i="10"/>
  <c r="AC1599" i="10"/>
  <c r="AD1599" i="10"/>
  <c r="AE1599" i="10"/>
  <c r="AF1599" i="10"/>
  <c r="AI1599" i="10" a="1"/>
  <c r="AI1599" i="10" s="1"/>
  <c r="V1600" i="10"/>
  <c r="W1600" i="10"/>
  <c r="AC1600" i="10"/>
  <c r="AD1600" i="10"/>
  <c r="AE1600" i="10"/>
  <c r="AF1600" i="10"/>
  <c r="AI1600" i="10" a="1"/>
  <c r="AI1600" i="10" s="1"/>
  <c r="V1601" i="10"/>
  <c r="W1601" i="10"/>
  <c r="AC1601" i="10"/>
  <c r="AD1601" i="10"/>
  <c r="AE1601" i="10"/>
  <c r="AF1601" i="10"/>
  <c r="AI1601" i="10" a="1"/>
  <c r="AI1601" i="10" s="1"/>
  <c r="A1460" i="9"/>
  <c r="A1461" i="9"/>
  <c r="A1462" i="9"/>
  <c r="A1463" i="9"/>
  <c r="N1576" i="10" s="1"/>
  <c r="O1577" i="10" s="1"/>
  <c r="A1464" i="9"/>
  <c r="A1465" i="9"/>
  <c r="A1466" i="9"/>
  <c r="N1571" i="10" s="1"/>
  <c r="O1570" i="10" s="1"/>
  <c r="A1467" i="9"/>
  <c r="N1575" i="10" s="1"/>
  <c r="A1468" i="9"/>
  <c r="N1578" i="10" s="1"/>
  <c r="P1578" i="10" s="1"/>
  <c r="A1469" i="9"/>
  <c r="N1582" i="10" s="1"/>
  <c r="O1583" i="10" s="1"/>
  <c r="N1570" i="10"/>
  <c r="P1570" i="10" s="1"/>
  <c r="Q1571" i="10" s="1"/>
  <c r="V1570" i="10"/>
  <c r="W1570" i="10"/>
  <c r="AC1570" i="10"/>
  <c r="AD1570" i="10"/>
  <c r="AE1570" i="10"/>
  <c r="AF1570" i="10"/>
  <c r="AI1570" i="10" a="1"/>
  <c r="AI1570" i="10" s="1"/>
  <c r="V1571" i="10"/>
  <c r="W1571" i="10"/>
  <c r="AC1571" i="10"/>
  <c r="AD1571" i="10"/>
  <c r="AE1571" i="10"/>
  <c r="AF1571" i="10"/>
  <c r="AI1571" i="10" a="1"/>
  <c r="AI1571" i="10" s="1"/>
  <c r="V1572" i="10"/>
  <c r="W1572" i="10"/>
  <c r="AC1572" i="10"/>
  <c r="AD1572" i="10"/>
  <c r="AE1572" i="10"/>
  <c r="AF1572" i="10"/>
  <c r="AI1572" i="10" a="1"/>
  <c r="AI1572" i="10" s="1"/>
  <c r="AK1572" i="10" s="1"/>
  <c r="N1573" i="10"/>
  <c r="P1573" i="10" s="1"/>
  <c r="V1573" i="10"/>
  <c r="W1573" i="10"/>
  <c r="AC1573" i="10"/>
  <c r="AD1573" i="10"/>
  <c r="AE1573" i="10"/>
  <c r="AF1573" i="10"/>
  <c r="AI1573" i="10" a="1"/>
  <c r="AI1573" i="10" s="1"/>
  <c r="N1574" i="10"/>
  <c r="V1574" i="10"/>
  <c r="W1574" i="10"/>
  <c r="AC1574" i="10"/>
  <c r="AD1574" i="10"/>
  <c r="AE1574" i="10"/>
  <c r="AF1574" i="10"/>
  <c r="AI1574" i="10" a="1"/>
  <c r="AI1574" i="10" s="1"/>
  <c r="V1575" i="10"/>
  <c r="W1575" i="10"/>
  <c r="AC1575" i="10"/>
  <c r="AD1575" i="10"/>
  <c r="AE1575" i="10"/>
  <c r="AF1575" i="10"/>
  <c r="AI1575" i="10" a="1"/>
  <c r="AI1575" i="10" s="1"/>
  <c r="V1576" i="10"/>
  <c r="W1576" i="10"/>
  <c r="AC1576" i="10"/>
  <c r="AD1576" i="10"/>
  <c r="AE1576" i="10"/>
  <c r="AF1576" i="10"/>
  <c r="AI1576" i="10" a="1"/>
  <c r="AI1576" i="10" s="1"/>
  <c r="N1577" i="10"/>
  <c r="P1577" i="10" s="1"/>
  <c r="Q1576" i="10" s="1"/>
  <c r="V1577" i="10"/>
  <c r="W1577" i="10"/>
  <c r="AC1577" i="10"/>
  <c r="AD1577" i="10"/>
  <c r="AE1577" i="10"/>
  <c r="AF1577" i="10"/>
  <c r="AI1577" i="10" a="1"/>
  <c r="AI1577" i="10" s="1"/>
  <c r="V1578" i="10"/>
  <c r="W1578" i="10"/>
  <c r="AC1578" i="10"/>
  <c r="AD1578" i="10"/>
  <c r="AE1578" i="10"/>
  <c r="AF1578" i="10"/>
  <c r="AI1578" i="10" a="1"/>
  <c r="AI1578" i="10" s="1"/>
  <c r="V1579" i="10"/>
  <c r="W1579" i="10"/>
  <c r="AC1579" i="10"/>
  <c r="AD1579" i="10"/>
  <c r="AE1579" i="10"/>
  <c r="AF1579" i="10"/>
  <c r="AI1579" i="10" a="1"/>
  <c r="AI1579" i="10" s="1"/>
  <c r="V1580" i="10"/>
  <c r="W1580" i="10"/>
  <c r="AC1580" i="10"/>
  <c r="AD1580" i="10"/>
  <c r="AE1580" i="10"/>
  <c r="AF1580" i="10"/>
  <c r="AI1580" i="10" a="1"/>
  <c r="AI1580" i="10" s="1"/>
  <c r="N1581" i="10"/>
  <c r="P1581" i="10" s="1"/>
  <c r="Q1580" i="10" s="1"/>
  <c r="V1581" i="10"/>
  <c r="W1581" i="10"/>
  <c r="AC1581" i="10"/>
  <c r="AD1581" i="10"/>
  <c r="AE1581" i="10"/>
  <c r="AF1581" i="10"/>
  <c r="AI1581" i="10" a="1"/>
  <c r="AI1581" i="10" s="1"/>
  <c r="V1582" i="10"/>
  <c r="W1582" i="10"/>
  <c r="AC1582" i="10"/>
  <c r="AD1582" i="10"/>
  <c r="AE1582" i="10"/>
  <c r="AF1582" i="10"/>
  <c r="AI1582" i="10" a="1"/>
  <c r="AI1582" i="10" s="1"/>
  <c r="V1583" i="10"/>
  <c r="W1583" i="10"/>
  <c r="AC1583" i="10"/>
  <c r="AD1583" i="10"/>
  <c r="AE1583" i="10"/>
  <c r="AF1583" i="10"/>
  <c r="AI1583" i="10" a="1"/>
  <c r="AI1583" i="10" s="1"/>
  <c r="N1584" i="10"/>
  <c r="V1584" i="10"/>
  <c r="W1584" i="10"/>
  <c r="AC1584" i="10"/>
  <c r="AD1584" i="10"/>
  <c r="AE1584" i="10"/>
  <c r="AF1584" i="10"/>
  <c r="AI1584" i="10" a="1"/>
  <c r="AI1584" i="10" s="1"/>
  <c r="N1585" i="10"/>
  <c r="O1584" i="10" s="1"/>
  <c r="V1585" i="10"/>
  <c r="W1585" i="10"/>
  <c r="AC1585" i="10"/>
  <c r="AD1585" i="10"/>
  <c r="AE1585" i="10"/>
  <c r="AF1585" i="10"/>
  <c r="AI1585" i="10" a="1"/>
  <c r="AI1585" i="10" s="1"/>
  <c r="V1586" i="10"/>
  <c r="W1586" i="10"/>
  <c r="AC1586" i="10"/>
  <c r="AD1586" i="10"/>
  <c r="AE1586" i="10"/>
  <c r="AF1586" i="10"/>
  <c r="AI1586" i="10" a="1"/>
  <c r="AI1586" i="10" s="1"/>
  <c r="V1587" i="10"/>
  <c r="W1587" i="10"/>
  <c r="AC1587" i="10"/>
  <c r="AD1587" i="10"/>
  <c r="AE1587" i="10"/>
  <c r="AF1587" i="10"/>
  <c r="AI1587" i="10" a="1"/>
  <c r="AI1587" i="10" s="1"/>
  <c r="V1588" i="10"/>
  <c r="W1588" i="10"/>
  <c r="AC1588" i="10"/>
  <c r="AD1588" i="10"/>
  <c r="AE1588" i="10"/>
  <c r="AF1588" i="10"/>
  <c r="AI1588" i="10" a="1"/>
  <c r="AI1588" i="10" s="1"/>
  <c r="V1589" i="10"/>
  <c r="W1589" i="10"/>
  <c r="AC1589" i="10"/>
  <c r="AD1589" i="10"/>
  <c r="AE1589" i="10"/>
  <c r="AF1589" i="10"/>
  <c r="AI1589" i="10" a="1"/>
  <c r="AI1589" i="10" s="1"/>
  <c r="V1590" i="10"/>
  <c r="W1590" i="10"/>
  <c r="AC1590" i="10"/>
  <c r="AD1590" i="10"/>
  <c r="AE1590" i="10"/>
  <c r="AF1590" i="10"/>
  <c r="AI1590" i="10" a="1"/>
  <c r="AI1590" i="10"/>
  <c r="V1591" i="10"/>
  <c r="W1591" i="10"/>
  <c r="AC1591" i="10"/>
  <c r="AD1591" i="10"/>
  <c r="AE1591" i="10"/>
  <c r="AF1591" i="10"/>
  <c r="AI1591" i="10" a="1"/>
  <c r="AI1591" i="10" s="1"/>
  <c r="V1592" i="10"/>
  <c r="W1592" i="10"/>
  <c r="AC1592" i="10"/>
  <c r="AD1592" i="10"/>
  <c r="AE1592" i="10"/>
  <c r="AF1592" i="10"/>
  <c r="AI1592" i="10" a="1"/>
  <c r="AI1592" i="10" s="1"/>
  <c r="V1593" i="10"/>
  <c r="W1593" i="10"/>
  <c r="AC1593" i="10"/>
  <c r="AD1593" i="10"/>
  <c r="AE1593" i="10"/>
  <c r="AF1593" i="10"/>
  <c r="AI1593" i="10" a="1"/>
  <c r="AI1593" i="10" s="1"/>
  <c r="N1594" i="10"/>
  <c r="V1594" i="10"/>
  <c r="W1594" i="10"/>
  <c r="AC1594" i="10"/>
  <c r="AD1594" i="10"/>
  <c r="AE1594" i="10"/>
  <c r="AF1594" i="10"/>
  <c r="AI1594" i="10" a="1"/>
  <c r="AI1594" i="10" s="1"/>
  <c r="V1595" i="10"/>
  <c r="W1595" i="10"/>
  <c r="AC1595" i="10"/>
  <c r="AD1595" i="10"/>
  <c r="AE1595" i="10"/>
  <c r="AF1595" i="10"/>
  <c r="AI1595" i="10" a="1"/>
  <c r="AI1595" i="10" s="1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N1580" i="10" l="1"/>
  <c r="P1580" i="10" s="1"/>
  <c r="Q1581" i="10" s="1"/>
  <c r="N1601" i="10"/>
  <c r="P1601" i="10" s="1"/>
  <c r="Q1600" i="10" s="1"/>
  <c r="N1592" i="10"/>
  <c r="P1592" i="10" s="1"/>
  <c r="Q1593" i="10" s="1"/>
  <c r="N1593" i="10"/>
  <c r="P1593" i="10" s="1"/>
  <c r="Q1592" i="10" s="1"/>
  <c r="AM1600" i="10"/>
  <c r="AK1600" i="10"/>
  <c r="AK1596" i="10"/>
  <c r="AM1599" i="10"/>
  <c r="AK1599" i="10"/>
  <c r="AM1597" i="10"/>
  <c r="AK1597" i="10"/>
  <c r="Q1601" i="10"/>
  <c r="Q1598" i="10"/>
  <c r="Q1599" i="10"/>
  <c r="Q1597" i="10"/>
  <c r="O1598" i="10"/>
  <c r="P1597" i="10"/>
  <c r="O1601" i="10"/>
  <c r="O1599" i="10"/>
  <c r="O1597" i="10"/>
  <c r="P1575" i="10"/>
  <c r="Q1574" i="10" s="1"/>
  <c r="O1574" i="10"/>
  <c r="O1580" i="10"/>
  <c r="N1590" i="10"/>
  <c r="P1590" i="10" s="1"/>
  <c r="Q1591" i="10" s="1"/>
  <c r="N1586" i="10"/>
  <c r="O1587" i="10" s="1"/>
  <c r="N1595" i="10"/>
  <c r="P1595" i="10" s="1"/>
  <c r="Q1594" i="10" s="1"/>
  <c r="N1579" i="10"/>
  <c r="N1591" i="10"/>
  <c r="O1590" i="10" s="1"/>
  <c r="N1583" i="10"/>
  <c r="P1583" i="10" s="1"/>
  <c r="Q1582" i="10" s="1"/>
  <c r="N1572" i="10"/>
  <c r="O1573" i="10" s="1"/>
  <c r="O1571" i="10"/>
  <c r="N1587" i="10"/>
  <c r="P1594" i="10"/>
  <c r="O1595" i="10"/>
  <c r="Q1579" i="10"/>
  <c r="AK1585" i="10"/>
  <c r="Q1588" i="10"/>
  <c r="O1588" i="10"/>
  <c r="P1584" i="10"/>
  <c r="O1585" i="10"/>
  <c r="AK1579" i="10"/>
  <c r="O1579" i="10"/>
  <c r="Q1572" i="10"/>
  <c r="P1588" i="10"/>
  <c r="P1574" i="10"/>
  <c r="P1585" i="10"/>
  <c r="AM1572" i="10"/>
  <c r="P1582" i="10"/>
  <c r="O1576" i="10"/>
  <c r="P1576" i="10"/>
  <c r="Y1573" i="10"/>
  <c r="O1575" i="10"/>
  <c r="O1572" i="10"/>
  <c r="P1571" i="10"/>
  <c r="O1592" i="10" l="1"/>
  <c r="O1593" i="10"/>
  <c r="O1581" i="10"/>
  <c r="O1600" i="10"/>
  <c r="Y1596" i="10"/>
  <c r="X1596" i="10"/>
  <c r="Y1597" i="10"/>
  <c r="Y1598" i="10"/>
  <c r="X1598" i="10"/>
  <c r="Q1596" i="10"/>
  <c r="Y1601" i="10"/>
  <c r="X1601" i="10"/>
  <c r="P1587" i="10"/>
  <c r="Q1586" i="10" s="1"/>
  <c r="O1586" i="10"/>
  <c r="P1572" i="10"/>
  <c r="O1594" i="10"/>
  <c r="P1586" i="10"/>
  <c r="Q1587" i="10" s="1"/>
  <c r="P1579" i="10"/>
  <c r="Q1578" i="10" s="1"/>
  <c r="O1578" i="10"/>
  <c r="O1591" i="10"/>
  <c r="O1582" i="10"/>
  <c r="P1591" i="10"/>
  <c r="Q1590" i="10" s="1"/>
  <c r="Q1577" i="10"/>
  <c r="Q1589" i="10"/>
  <c r="Y1578" i="10"/>
  <c r="Q1583" i="10"/>
  <c r="Q1585" i="10"/>
  <c r="Q1575" i="10"/>
  <c r="Q1570" i="10"/>
  <c r="Y1584" i="10"/>
  <c r="Q1595" i="10"/>
  <c r="Q1573" i="10"/>
  <c r="X1573" i="10"/>
  <c r="Q1584" i="10"/>
  <c r="X1584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570" i="10"/>
  <c r="I1571" i="10"/>
  <c r="I1572" i="10"/>
  <c r="I1573" i="10"/>
  <c r="I1574" i="10"/>
  <c r="I1575" i="10"/>
  <c r="I1576" i="10"/>
  <c r="I1577" i="10"/>
  <c r="I1578" i="10"/>
  <c r="I1579" i="10"/>
  <c r="I1580" i="10"/>
  <c r="I1581" i="10"/>
  <c r="I1582" i="10"/>
  <c r="I1583" i="10"/>
  <c r="I1584" i="10"/>
  <c r="I1585" i="10"/>
  <c r="I1586" i="10"/>
  <c r="I1587" i="10"/>
  <c r="I1588" i="10"/>
  <c r="I1589" i="10"/>
  <c r="I1590" i="10"/>
  <c r="I1591" i="10"/>
  <c r="I1592" i="10"/>
  <c r="I1593" i="10"/>
  <c r="I1594" i="10"/>
  <c r="I1595" i="10"/>
  <c r="I1596" i="10"/>
  <c r="I1597" i="10"/>
  <c r="I1598" i="10"/>
  <c r="AJ1602" i="10" s="1" a="1"/>
  <c r="AJ1602" i="10" s="1"/>
  <c r="I1599" i="10"/>
  <c r="I1600" i="10"/>
  <c r="I1601" i="10"/>
  <c r="I1602" i="10"/>
  <c r="I1603" i="10"/>
  <c r="I1604" i="10"/>
  <c r="I1605" i="10"/>
  <c r="I1606" i="10"/>
  <c r="I1607" i="10"/>
  <c r="I1608" i="10"/>
  <c r="I1609" i="10"/>
  <c r="I1610" i="10"/>
  <c r="I1611" i="10"/>
  <c r="I1612" i="10"/>
  <c r="I1613" i="10"/>
  <c r="I1614" i="10"/>
  <c r="I1615" i="10"/>
  <c r="I1616" i="10"/>
  <c r="I1617" i="10"/>
  <c r="Z1617" i="10" s="1"/>
  <c r="I1618" i="10"/>
  <c r="I1619" i="10"/>
  <c r="I1620" i="10"/>
  <c r="I1621" i="10"/>
  <c r="I1622" i="10"/>
  <c r="I1623" i="10"/>
  <c r="Z1623" i="10" s="1"/>
  <c r="I1624" i="10"/>
  <c r="I1625" i="10"/>
  <c r="I1626" i="10"/>
  <c r="I1627" i="10"/>
  <c r="I1628" i="10"/>
  <c r="I1629" i="10"/>
  <c r="I1630" i="10"/>
  <c r="I1631" i="10"/>
  <c r="I1632" i="10"/>
  <c r="I1633" i="10"/>
  <c r="Z1633" i="10" s="1"/>
  <c r="I1634" i="10"/>
  <c r="I1635" i="10"/>
  <c r="I1636" i="10"/>
  <c r="I1637" i="10"/>
  <c r="I1638" i="10"/>
  <c r="I1639" i="10"/>
  <c r="I1640" i="10"/>
  <c r="I1641" i="10"/>
  <c r="I1642" i="10"/>
  <c r="I1643" i="10"/>
  <c r="I1644" i="10"/>
  <c r="I1645" i="10"/>
  <c r="I1646" i="10"/>
  <c r="I1647" i="10"/>
  <c r="I1648" i="10"/>
  <c r="I1649" i="10"/>
  <c r="I1650" i="10"/>
  <c r="I1651" i="10"/>
  <c r="I1652" i="10"/>
  <c r="I1653" i="10"/>
  <c r="I1654" i="10"/>
  <c r="I1655" i="10"/>
  <c r="I1656" i="10"/>
  <c r="I1657" i="10"/>
  <c r="I1658" i="10"/>
  <c r="I1659" i="10"/>
  <c r="I1660" i="10"/>
  <c r="I1661" i="10"/>
  <c r="I1662" i="10"/>
  <c r="I1663" i="10"/>
  <c r="I1664" i="10"/>
  <c r="I1665" i="10"/>
  <c r="I1666" i="10"/>
  <c r="I1667" i="10"/>
  <c r="I1668" i="10"/>
  <c r="I1669" i="10"/>
  <c r="I1670" i="10"/>
  <c r="I1671" i="10"/>
  <c r="I1672" i="10"/>
  <c r="I1673" i="10"/>
  <c r="I1674" i="10"/>
  <c r="I1675" i="10"/>
  <c r="I1676" i="10"/>
  <c r="I1677" i="10"/>
  <c r="I1678" i="10"/>
  <c r="I1679" i="10"/>
  <c r="I1680" i="10"/>
  <c r="I1681" i="10"/>
  <c r="I1682" i="10"/>
  <c r="I1683" i="10"/>
  <c r="I1684" i="10"/>
  <c r="I1685" i="10"/>
  <c r="I1686" i="10"/>
  <c r="I1687" i="10"/>
  <c r="I1688" i="10"/>
  <c r="I1689" i="10"/>
  <c r="I1690" i="10"/>
  <c r="I1691" i="10"/>
  <c r="I1692" i="10"/>
  <c r="I1693" i="10"/>
  <c r="I1694" i="10"/>
  <c r="I1695" i="10"/>
  <c r="I1696" i="10"/>
  <c r="I1697" i="10"/>
  <c r="I1698" i="10"/>
  <c r="I1699" i="10"/>
  <c r="I1700" i="10"/>
  <c r="I1701" i="10"/>
  <c r="I1702" i="10"/>
  <c r="I1703" i="10"/>
  <c r="I1704" i="10"/>
  <c r="I1705" i="10"/>
  <c r="I1706" i="10"/>
  <c r="I1707" i="10"/>
  <c r="I1708" i="10"/>
  <c r="I1709" i="10"/>
  <c r="I1710" i="10"/>
  <c r="I1711" i="10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I1724" i="10"/>
  <c r="I1725" i="10"/>
  <c r="I1726" i="10"/>
  <c r="I1727" i="10"/>
  <c r="I1728" i="10"/>
  <c r="I1729" i="10"/>
  <c r="I1730" i="10"/>
  <c r="I1731" i="10"/>
  <c r="I1732" i="10"/>
  <c r="I1733" i="10"/>
  <c r="I1734" i="10"/>
  <c r="I1735" i="10"/>
  <c r="I1736" i="10"/>
  <c r="I1737" i="10"/>
  <c r="I1738" i="10"/>
  <c r="I1739" i="10"/>
  <c r="I1740" i="10"/>
  <c r="I1741" i="10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J1665" i="10" l="1" a="1"/>
  <c r="AJ1665" i="10" s="1"/>
  <c r="Z1665" i="10"/>
  <c r="AJ1653" i="10" a="1"/>
  <c r="AJ1653" i="10" s="1"/>
  <c r="Z1653" i="10"/>
  <c r="AJ1652" i="10" a="1"/>
  <c r="AJ1652" i="10" s="1"/>
  <c r="Z1652" i="10"/>
  <c r="AJ1651" i="10" a="1"/>
  <c r="AJ1651" i="10" s="1"/>
  <c r="Z1651" i="10"/>
  <c r="AJ1650" i="10" a="1"/>
  <c r="AJ1650" i="10" s="1"/>
  <c r="Z1650" i="10"/>
  <c r="AJ1660" i="10" a="1"/>
  <c r="AJ1660" i="10" s="1"/>
  <c r="Z1660" i="10"/>
  <c r="AJ1664" i="10" a="1"/>
  <c r="AJ1664" i="10" s="1"/>
  <c r="AO1664" i="10" s="1"/>
  <c r="Z1664" i="10"/>
  <c r="AJ1662" i="10" a="1"/>
  <c r="AJ1662" i="10" s="1"/>
  <c r="Z1662" i="10"/>
  <c r="AJ1661" i="10" a="1"/>
  <c r="AJ1661" i="10" s="1"/>
  <c r="Z1661" i="10"/>
  <c r="AJ1659" i="10" a="1"/>
  <c r="AJ1659" i="10" s="1"/>
  <c r="Z1659" i="10"/>
  <c r="AJ1663" i="10" a="1"/>
  <c r="AJ1663" i="10" s="1"/>
  <c r="Z1663" i="10"/>
  <c r="AJ1658" i="10" a="1"/>
  <c r="AJ1658" i="10" s="1"/>
  <c r="Z1658" i="10"/>
  <c r="AJ1657" i="10" a="1"/>
  <c r="AJ1657" i="10" s="1"/>
  <c r="Z1657" i="10"/>
  <c r="AJ1656" i="10" a="1"/>
  <c r="AJ1656" i="10" s="1"/>
  <c r="Z1656" i="10"/>
  <c r="AJ1655" i="10" a="1"/>
  <c r="AJ1655" i="10" s="1"/>
  <c r="AO1655" i="10" s="1"/>
  <c r="Z1655" i="10"/>
  <c r="AJ1654" i="10" a="1"/>
  <c r="AJ1654" i="10" s="1"/>
  <c r="Z1654" i="10"/>
  <c r="Z1581" i="10"/>
  <c r="Z1604" i="10"/>
  <c r="Z1580" i="10"/>
  <c r="Z1591" i="10"/>
  <c r="Z1603" i="10"/>
  <c r="Z1626" i="10"/>
  <c r="Z1578" i="10"/>
  <c r="Z1605" i="10"/>
  <c r="Z1625" i="10"/>
  <c r="AQ1625" i="10" s="1"/>
  <c r="Z1601" i="10"/>
  <c r="Z1589" i="10"/>
  <c r="Z1636" i="10"/>
  <c r="Z1624" i="10"/>
  <c r="Z1612" i="10"/>
  <c r="Z1600" i="10"/>
  <c r="Z1588" i="10"/>
  <c r="Z1576" i="10"/>
  <c r="Z1599" i="10"/>
  <c r="Z1634" i="10"/>
  <c r="Z1598" i="10"/>
  <c r="Z1586" i="10"/>
  <c r="Z1574" i="10"/>
  <c r="Z1641" i="10"/>
  <c r="Z1615" i="10"/>
  <c r="Z1618" i="10"/>
  <c r="Z1611" i="10"/>
  <c r="Z1614" i="10"/>
  <c r="Z1627" i="10"/>
  <c r="Z1632" i="10"/>
  <c r="Z1602" i="10"/>
  <c r="Z1640" i="10"/>
  <c r="Z1629" i="10"/>
  <c r="Z1639" i="10"/>
  <c r="Z1628" i="10"/>
  <c r="Z1648" i="10"/>
  <c r="Z1610" i="10"/>
  <c r="Z1645" i="10"/>
  <c r="Z1637" i="10"/>
  <c r="Z1609" i="10"/>
  <c r="Z1644" i="10"/>
  <c r="Z1631" i="10"/>
  <c r="Z1643" i="10"/>
  <c r="Z1642" i="10"/>
  <c r="Z1621" i="10"/>
  <c r="Z1638" i="10"/>
  <c r="Z1649" i="10"/>
  <c r="Z1622" i="10"/>
  <c r="Z1647" i="10"/>
  <c r="Z1606" i="10"/>
  <c r="Z1613" i="10"/>
  <c r="Z1646" i="10"/>
  <c r="Z1570" i="10"/>
  <c r="Z1585" i="10"/>
  <c r="Z1592" i="10"/>
  <c r="Z1575" i="10"/>
  <c r="Z1582" i="10"/>
  <c r="Z1577" i="10"/>
  <c r="Z1594" i="10"/>
  <c r="Z1590" i="10"/>
  <c r="Z1571" i="10"/>
  <c r="Z1593" i="10"/>
  <c r="Z1579" i="10"/>
  <c r="Z1587" i="10"/>
  <c r="Z1583" i="10"/>
  <c r="Z1573" i="10"/>
  <c r="Z1620" i="10"/>
  <c r="Z1572" i="10"/>
  <c r="Z1607" i="10"/>
  <c r="Z1597" i="10"/>
  <c r="Z1608" i="10"/>
  <c r="AQ1608" i="10" s="1"/>
  <c r="Z1619" i="10"/>
  <c r="U1619" i="10" s="1"/>
  <c r="Z1595" i="10"/>
  <c r="Z1630" i="10"/>
  <c r="AQ1623" i="10"/>
  <c r="T1622" i="10"/>
  <c r="R1622" i="10"/>
  <c r="AJ1640" i="10" a="1"/>
  <c r="AJ1640" i="10" s="1"/>
  <c r="AJ1644" i="10" a="1"/>
  <c r="AJ1644" i="10" s="1"/>
  <c r="AJ1648" i="10" a="1"/>
  <c r="AJ1648" i="10" s="1"/>
  <c r="AJ1639" i="10" a="1"/>
  <c r="AJ1639" i="10" s="1"/>
  <c r="AJ1643" i="10" a="1"/>
  <c r="AJ1643" i="10" s="1"/>
  <c r="AJ1646" i="10" a="1"/>
  <c r="AJ1646" i="10" s="1"/>
  <c r="AJ1647" i="10" a="1"/>
  <c r="AJ1647" i="10" s="1"/>
  <c r="Z1635" i="10"/>
  <c r="AJ1645" i="10" a="1"/>
  <c r="AJ1645" i="10" s="1"/>
  <c r="AJ1638" i="10" a="1"/>
  <c r="AJ1638" i="10" s="1"/>
  <c r="AJ1642" i="10" a="1"/>
  <c r="AJ1642" i="10" s="1"/>
  <c r="AJ1649" i="10" a="1"/>
  <c r="AJ1649" i="10" s="1"/>
  <c r="AJ1641" i="10" a="1"/>
  <c r="AJ1641" i="10" s="1"/>
  <c r="AO1641" i="10" s="1"/>
  <c r="S1607" i="10"/>
  <c r="U1607" i="10"/>
  <c r="S1605" i="10"/>
  <c r="AN1605" i="10" s="1"/>
  <c r="AM1641" i="10" s="1"/>
  <c r="AQ1605" i="10"/>
  <c r="U1605" i="10"/>
  <c r="T1604" i="10"/>
  <c r="AT1604" i="10"/>
  <c r="R1604" i="10"/>
  <c r="AV1604" i="10"/>
  <c r="AW1605" i="10" s="1"/>
  <c r="AQ1604" i="10"/>
  <c r="S1604" i="10"/>
  <c r="AN1604" i="10" s="1"/>
  <c r="AM1648" i="10" s="1"/>
  <c r="U1604" i="10"/>
  <c r="AT1605" i="10"/>
  <c r="T1605" i="10"/>
  <c r="R1605" i="10"/>
  <c r="AV1605" i="10"/>
  <c r="R1624" i="10"/>
  <c r="AQ1620" i="10"/>
  <c r="R1621" i="10"/>
  <c r="T1621" i="10"/>
  <c r="R1609" i="10"/>
  <c r="T1609" i="10"/>
  <c r="Z1616" i="10"/>
  <c r="R1617" i="10" s="1"/>
  <c r="AJ1627" i="10" a="1"/>
  <c r="AJ1627" i="10" s="1"/>
  <c r="AJ1631" i="10" a="1"/>
  <c r="AJ1631" i="10" s="1"/>
  <c r="AO1631" i="10" s="1"/>
  <c r="AJ1625" i="10" a="1"/>
  <c r="AJ1625" i="10" s="1"/>
  <c r="AJ1624" i="10" a="1"/>
  <c r="AJ1624" i="10" s="1"/>
  <c r="AJ1623" i="10" a="1"/>
  <c r="AJ1623" i="10" s="1"/>
  <c r="AO1623" i="10" s="1"/>
  <c r="AJ1622" i="10" a="1"/>
  <c r="AJ1622" i="10" s="1"/>
  <c r="AO1622" i="10" s="1"/>
  <c r="AJ1636" i="10" a="1"/>
  <c r="AJ1636" i="10" s="1"/>
  <c r="AJ1626" i="10" a="1"/>
  <c r="AJ1626" i="10" s="1"/>
  <c r="AJ1635" i="10" a="1"/>
  <c r="AJ1635" i="10" s="1"/>
  <c r="AJ1629" i="10" a="1"/>
  <c r="AJ1629" i="10" s="1"/>
  <c r="AJ1633" i="10" a="1"/>
  <c r="AJ1633" i="10" s="1"/>
  <c r="AO1633" i="10" s="1"/>
  <c r="AJ1637" i="10" a="1"/>
  <c r="AJ1637" i="10" s="1"/>
  <c r="AO1637" i="10" s="1"/>
  <c r="AJ1630" i="10" a="1"/>
  <c r="AJ1630" i="10" s="1"/>
  <c r="AO1630" i="10" s="1"/>
  <c r="AJ1634" i="10" a="1"/>
  <c r="AJ1634" i="10" s="1"/>
  <c r="AJ1628" i="10" a="1"/>
  <c r="AJ1628" i="10" s="1"/>
  <c r="AO1628" i="10" s="1"/>
  <c r="AJ1632" i="10" a="1"/>
  <c r="AJ1632" i="10" s="1"/>
  <c r="AO1632" i="10" s="1"/>
  <c r="U1603" i="10"/>
  <c r="S1603" i="10"/>
  <c r="AQ1619" i="10"/>
  <c r="S1619" i="10"/>
  <c r="AN1619" i="10" s="1"/>
  <c r="AM1649" i="10" s="1"/>
  <c r="R1618" i="10"/>
  <c r="T1618" i="10"/>
  <c r="AT1618" i="10"/>
  <c r="AV1618" i="10"/>
  <c r="AJ1612" i="10" a="1"/>
  <c r="AJ1612" i="10" s="1"/>
  <c r="AO1612" i="10" s="1"/>
  <c r="AJ1605" i="10" a="1"/>
  <c r="AJ1605" i="10" s="1"/>
  <c r="AO1605" i="10" s="1"/>
  <c r="AJ1618" i="10" a="1"/>
  <c r="AJ1618" i="10" s="1"/>
  <c r="AO1618" i="10" s="1"/>
  <c r="AJ1603" i="10" a="1"/>
  <c r="AJ1603" i="10" s="1"/>
  <c r="AO1603" i="10" s="1"/>
  <c r="AJ1604" i="10" a="1"/>
  <c r="AJ1604" i="10" s="1"/>
  <c r="AJ1613" i="10" a="1"/>
  <c r="AJ1613" i="10" s="1"/>
  <c r="AO1613" i="10" s="1"/>
  <c r="AJ1606" i="10" a="1"/>
  <c r="AJ1606" i="10" s="1"/>
  <c r="AO1606" i="10" s="1"/>
  <c r="AJ1619" i="10" a="1"/>
  <c r="AJ1619" i="10" s="1"/>
  <c r="AO1619" i="10" s="1"/>
  <c r="AJ1614" i="10" a="1"/>
  <c r="AJ1614" i="10" s="1"/>
  <c r="AJ1607" i="10" a="1"/>
  <c r="AJ1607" i="10" s="1"/>
  <c r="AJ1620" i="10" a="1"/>
  <c r="AJ1620" i="10" s="1"/>
  <c r="AJ1615" i="10" a="1"/>
  <c r="AJ1615" i="10" s="1"/>
  <c r="AO1615" i="10" s="1"/>
  <c r="AJ1621" i="10" a="1"/>
  <c r="AJ1621" i="10" s="1"/>
  <c r="AO1621" i="10" s="1"/>
  <c r="AJ1608" i="10" a="1"/>
  <c r="AJ1608" i="10" s="1"/>
  <c r="AO1608" i="10" s="1"/>
  <c r="AJ1616" i="10" a="1"/>
  <c r="AJ1616" i="10" s="1"/>
  <c r="AJ1611" i="10" a="1"/>
  <c r="AJ1611" i="10" s="1"/>
  <c r="AO1611" i="10" s="1"/>
  <c r="AJ1610" i="10" a="1"/>
  <c r="AJ1610" i="10" s="1"/>
  <c r="AJ1617" i="10" a="1"/>
  <c r="AJ1617" i="10" s="1"/>
  <c r="AJ1609" i="10" a="1"/>
  <c r="AJ1609" i="10" s="1"/>
  <c r="AO1609" i="10" s="1"/>
  <c r="AQ1572" i="10"/>
  <c r="R1573" i="10"/>
  <c r="T1573" i="10"/>
  <c r="U1601" i="10"/>
  <c r="S1601" i="10"/>
  <c r="AQ1600" i="10"/>
  <c r="R1601" i="10"/>
  <c r="T1601" i="10"/>
  <c r="AQ1599" i="10"/>
  <c r="R1598" i="10"/>
  <c r="T1598" i="10"/>
  <c r="U1598" i="10"/>
  <c r="S1598" i="10"/>
  <c r="AQ1597" i="10"/>
  <c r="AT1596" i="10"/>
  <c r="AV1596" i="10"/>
  <c r="AW1597" i="10" s="1"/>
  <c r="S1597" i="10"/>
  <c r="AM1629" i="10" s="1"/>
  <c r="U1597" i="10"/>
  <c r="T1596" i="10"/>
  <c r="R1596" i="10"/>
  <c r="AJ1599" i="10" a="1"/>
  <c r="AJ1599" i="10" s="1"/>
  <c r="Z1596" i="10"/>
  <c r="AJ1601" i="10" a="1"/>
  <c r="AJ1601" i="10" s="1"/>
  <c r="AO1601" i="10" s="1"/>
  <c r="AJ1600" i="10" a="1"/>
  <c r="AJ1600" i="10" s="1"/>
  <c r="AO1600" i="10" s="1"/>
  <c r="AJ1597" i="10" a="1"/>
  <c r="AJ1597" i="10" s="1"/>
  <c r="AO1597" i="10" s="1"/>
  <c r="AJ1598" i="10" a="1"/>
  <c r="AJ1598" i="10" s="1"/>
  <c r="AO1598" i="10" s="1"/>
  <c r="AJ1596" i="10" a="1"/>
  <c r="AJ1596" i="10" s="1"/>
  <c r="U1578" i="10"/>
  <c r="S1578" i="10"/>
  <c r="S1573" i="10"/>
  <c r="U1573" i="10"/>
  <c r="AJ1574" i="10" a="1"/>
  <c r="AJ1574" i="10" s="1"/>
  <c r="AJ1577" i="10" a="1"/>
  <c r="AJ1577" i="10" s="1"/>
  <c r="AJ1573" i="10" a="1"/>
  <c r="AJ1573" i="10" s="1"/>
  <c r="AJ1578" i="10" a="1"/>
  <c r="AJ1578" i="10" s="1"/>
  <c r="AJ1581" i="10" a="1"/>
  <c r="AJ1581" i="10" s="1"/>
  <c r="AJ1572" i="10" a="1"/>
  <c r="AJ1572" i="10" s="1"/>
  <c r="AJ1583" i="10" a="1"/>
  <c r="AJ1583" i="10" s="1"/>
  <c r="AJ1582" i="10" a="1"/>
  <c r="AJ1582" i="10" s="1"/>
  <c r="AO1582" i="10" s="1"/>
  <c r="AJ1576" i="10" a="1"/>
  <c r="AJ1576" i="10" s="1"/>
  <c r="AJ1571" i="10" a="1"/>
  <c r="AJ1571" i="10" s="1"/>
  <c r="AJ1570" i="10" a="1"/>
  <c r="AJ1570" i="10" s="1"/>
  <c r="AJ1575" i="10" a="1"/>
  <c r="AJ1575" i="10" s="1"/>
  <c r="AJ1579" i="10" a="1"/>
  <c r="AJ1579" i="10" s="1"/>
  <c r="AJ1580" i="10" a="1"/>
  <c r="AJ1580" i="10" s="1"/>
  <c r="AJ1588" i="10" a="1"/>
  <c r="AJ1588" i="10" s="1"/>
  <c r="AJ1592" i="10" a="1"/>
  <c r="AJ1592" i="10" s="1"/>
  <c r="AJ1584" i="10" a="1"/>
  <c r="AJ1584" i="10" s="1"/>
  <c r="AJ1591" i="10" a="1"/>
  <c r="AJ1591" i="10" s="1"/>
  <c r="AJ1585" i="10" a="1"/>
  <c r="AJ1585" i="10" s="1"/>
  <c r="AJ1586" i="10" a="1"/>
  <c r="AJ1586" i="10" s="1"/>
  <c r="AJ1593" i="10" a="1"/>
  <c r="AJ1593" i="10" s="1"/>
  <c r="Z1584" i="10"/>
  <c r="AJ1595" i="10" a="1"/>
  <c r="AJ1595" i="10" s="1"/>
  <c r="AJ1587" i="10" a="1"/>
  <c r="AJ1587" i="10" s="1"/>
  <c r="AJ1590" i="10" a="1"/>
  <c r="AJ1590" i="10" s="1"/>
  <c r="AO1590" i="10" s="1"/>
  <c r="AJ1589" i="10" a="1"/>
  <c r="AJ1589" i="10" s="1"/>
  <c r="AJ1594" i="10" a="1"/>
  <c r="AJ1594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T1624" i="10" l="1"/>
  <c r="AQ1652" i="10"/>
  <c r="R1653" i="10"/>
  <c r="T1653" i="10"/>
  <c r="S1657" i="10"/>
  <c r="U1657" i="10"/>
  <c r="S1647" i="10"/>
  <c r="U1647" i="10"/>
  <c r="U1610" i="10"/>
  <c r="S1610" i="10"/>
  <c r="AQ1615" i="10"/>
  <c r="T1614" i="10"/>
  <c r="R1614" i="10"/>
  <c r="S1649" i="10"/>
  <c r="AN1649" i="10" s="1"/>
  <c r="U1649" i="10"/>
  <c r="AQ1628" i="10"/>
  <c r="T1629" i="10"/>
  <c r="R1629" i="10"/>
  <c r="S1638" i="10"/>
  <c r="U1638" i="10"/>
  <c r="S1639" i="10"/>
  <c r="U1639" i="10"/>
  <c r="U1629" i="10"/>
  <c r="S1629" i="10"/>
  <c r="AN1629" i="10" s="1"/>
  <c r="AM1654" i="10" s="1"/>
  <c r="AQ1642" i="10"/>
  <c r="R1643" i="10"/>
  <c r="T1643" i="10"/>
  <c r="AQ1640" i="10"/>
  <c r="U1640" i="10"/>
  <c r="S1640" i="10"/>
  <c r="AN1640" i="10" s="1"/>
  <c r="T1641" i="10"/>
  <c r="R1641" i="10"/>
  <c r="AL1641" i="10" s="1"/>
  <c r="AT1641" i="10"/>
  <c r="AV1641" i="10"/>
  <c r="AW1640" i="10" s="1"/>
  <c r="AQ1602" i="10"/>
  <c r="R1603" i="10"/>
  <c r="T1603" i="10"/>
  <c r="AQ1585" i="10"/>
  <c r="T1584" i="10"/>
  <c r="R1584" i="10"/>
  <c r="S1644" i="10"/>
  <c r="U1644" i="10"/>
  <c r="AQ1646" i="10"/>
  <c r="T1647" i="10"/>
  <c r="R1647" i="10"/>
  <c r="AQ1609" i="10"/>
  <c r="R1608" i="10"/>
  <c r="S1609" i="10"/>
  <c r="AN1609" i="10" s="1"/>
  <c r="AM1658" i="10" s="1"/>
  <c r="AT1608" i="10"/>
  <c r="T1608" i="10"/>
  <c r="AK1626" i="10" s="1"/>
  <c r="Y1627" i="10" s="1"/>
  <c r="U1609" i="10"/>
  <c r="AV1608" i="10"/>
  <c r="AW1609" i="10" s="1"/>
  <c r="U1613" i="10"/>
  <c r="S1613" i="10"/>
  <c r="S1611" i="10"/>
  <c r="AP1611" i="10" s="1"/>
  <c r="AO1639" i="10" s="1"/>
  <c r="U1611" i="10"/>
  <c r="AP1613" i="10"/>
  <c r="AO1656" i="10" s="1"/>
  <c r="AQ1606" i="10"/>
  <c r="R1607" i="10"/>
  <c r="T1607" i="10"/>
  <c r="AQ1645" i="10"/>
  <c r="T1644" i="10"/>
  <c r="R1644" i="10"/>
  <c r="AQ1618" i="10"/>
  <c r="AV1619" i="10"/>
  <c r="AW1618" i="10" s="1"/>
  <c r="R1619" i="10"/>
  <c r="T1619" i="10"/>
  <c r="AT1619" i="10"/>
  <c r="BH1619" i="10" s="1"/>
  <c r="U1618" i="10"/>
  <c r="S1618" i="10"/>
  <c r="AN1618" i="10" s="1"/>
  <c r="AM1644" i="10" s="1"/>
  <c r="S1624" i="10"/>
  <c r="U1624" i="10"/>
  <c r="AP1605" i="10"/>
  <c r="AP1598" i="10"/>
  <c r="AQ1641" i="10"/>
  <c r="X1640" i="10"/>
  <c r="X1649" i="10"/>
  <c r="AQ1648" i="10"/>
  <c r="X1648" i="10"/>
  <c r="AQ1649" i="10"/>
  <c r="AX1604" i="10"/>
  <c r="AU1605" i="10"/>
  <c r="AY1605" i="10" s="1"/>
  <c r="AW1604" i="10"/>
  <c r="BN1604" i="10"/>
  <c r="BP1605" i="10"/>
  <c r="BQ1605" i="10"/>
  <c r="BO1605" i="10"/>
  <c r="BH1605" i="10"/>
  <c r="BG1605" i="10"/>
  <c r="BI1605" i="10"/>
  <c r="BF1604" i="10"/>
  <c r="AX1605" i="10"/>
  <c r="AU1604" i="10"/>
  <c r="AY1604" i="10" s="1"/>
  <c r="AL1618" i="10"/>
  <c r="AK1644" i="10" s="1"/>
  <c r="AQ1616" i="10"/>
  <c r="T1617" i="10"/>
  <c r="Y1626" i="10"/>
  <c r="X1628" i="10"/>
  <c r="R1628" i="10" s="1"/>
  <c r="AQ1629" i="10"/>
  <c r="AP1603" i="10"/>
  <c r="AP1619" i="10"/>
  <c r="AO1649" i="10" s="1"/>
  <c r="BN1618" i="10"/>
  <c r="BP1619" i="10"/>
  <c r="AW1619" i="10"/>
  <c r="AU1619" i="10"/>
  <c r="AY1619" i="10" s="1"/>
  <c r="AX1618" i="10"/>
  <c r="AP1601" i="10"/>
  <c r="AP1597" i="10"/>
  <c r="AO1629" i="10" s="1"/>
  <c r="AU1597" i="10"/>
  <c r="AY1597" i="10" s="1"/>
  <c r="AX1596" i="10"/>
  <c r="U1596" i="10"/>
  <c r="S1596" i="10"/>
  <c r="S1584" i="10"/>
  <c r="U1584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BF1618" i="10" l="1"/>
  <c r="BF1619" i="10" s="1"/>
  <c r="BB1619" i="10" s="1"/>
  <c r="BI1619" i="10"/>
  <c r="BI1618" i="10" s="1"/>
  <c r="BE1618" i="10" s="1"/>
  <c r="AP1649" i="10"/>
  <c r="AP1639" i="10"/>
  <c r="AP1629" i="10"/>
  <c r="AO1654" i="10" s="1"/>
  <c r="AL1619" i="10"/>
  <c r="AK1649" i="10" s="1"/>
  <c r="Y1648" i="10" s="1"/>
  <c r="X1655" i="10"/>
  <c r="AQ1654" i="10"/>
  <c r="X1659" i="10"/>
  <c r="AQ1658" i="10"/>
  <c r="BG1619" i="10"/>
  <c r="BG1618" i="10" s="1"/>
  <c r="BC1618" i="10" s="1"/>
  <c r="BQ1619" i="10"/>
  <c r="BQ1618" i="10" s="1"/>
  <c r="BM1618" i="10" s="1"/>
  <c r="BO1619" i="10"/>
  <c r="BK1619" i="10" s="1"/>
  <c r="S1627" i="10"/>
  <c r="U1627" i="10"/>
  <c r="AU1609" i="10"/>
  <c r="AY1609" i="10" s="1"/>
  <c r="AX1608" i="10"/>
  <c r="X1645" i="10"/>
  <c r="AQ1644" i="10"/>
  <c r="AX1619" i="10"/>
  <c r="BA1619" i="10" s="1"/>
  <c r="AU1618" i="10"/>
  <c r="AY1618" i="10" s="1"/>
  <c r="AZ1618" i="10" s="1"/>
  <c r="AX1641" i="10"/>
  <c r="AU1640" i="10"/>
  <c r="AY1640" i="10" s="1"/>
  <c r="S1648" i="10"/>
  <c r="AN1648" i="10" s="1"/>
  <c r="U1648" i="10"/>
  <c r="AP1609" i="10"/>
  <c r="AO1658" i="10" s="1"/>
  <c r="AN1644" i="10"/>
  <c r="AP1618" i="10"/>
  <c r="AO1644" i="10" s="1"/>
  <c r="AP1644" i="10" s="1"/>
  <c r="R1649" i="10"/>
  <c r="T1649" i="10"/>
  <c r="R1640" i="10"/>
  <c r="T1640" i="10"/>
  <c r="AT1644" i="10"/>
  <c r="Y1645" i="10"/>
  <c r="AV1644" i="10"/>
  <c r="AL1644" i="10"/>
  <c r="AT1648" i="10"/>
  <c r="AV1648" i="10"/>
  <c r="R1648" i="10"/>
  <c r="AL1648" i="10" s="1"/>
  <c r="T1648" i="10"/>
  <c r="BC1605" i="10"/>
  <c r="BG1604" i="10"/>
  <c r="BC1604" i="10" s="1"/>
  <c r="BM1605" i="10"/>
  <c r="BQ1604" i="10"/>
  <c r="BM1604" i="10" s="1"/>
  <c r="AZ1604" i="10"/>
  <c r="BA1604" i="10"/>
  <c r="BB1604" i="10"/>
  <c r="BF1605" i="10"/>
  <c r="BB1605" i="10" s="1"/>
  <c r="BP1604" i="10"/>
  <c r="BL1604" i="10" s="1"/>
  <c r="BL1605" i="10"/>
  <c r="BA1605" i="10"/>
  <c r="AZ1605" i="10"/>
  <c r="BE1605" i="10"/>
  <c r="BI1604" i="10"/>
  <c r="BE1604" i="10" s="1"/>
  <c r="BH1604" i="10"/>
  <c r="BD1604" i="10" s="1"/>
  <c r="BD1605" i="10"/>
  <c r="BJ1604" i="10"/>
  <c r="BN1605" i="10"/>
  <c r="BJ1605" i="10" s="1"/>
  <c r="BO1604" i="10"/>
  <c r="BK1604" i="10" s="1"/>
  <c r="BK1605" i="10"/>
  <c r="AL1628" i="10"/>
  <c r="AK1657" i="10" s="1"/>
  <c r="AT1628" i="10"/>
  <c r="T1628" i="10"/>
  <c r="AV1628" i="10"/>
  <c r="S1626" i="10"/>
  <c r="U1626" i="10"/>
  <c r="AZ1619" i="10"/>
  <c r="BD1619" i="10"/>
  <c r="BH1618" i="10"/>
  <c r="BD1618" i="10" s="1"/>
  <c r="BP1618" i="10"/>
  <c r="BL1618" i="10" s="1"/>
  <c r="BL1619" i="10"/>
  <c r="BN1619" i="10"/>
  <c r="BJ1619" i="10" s="1"/>
  <c r="BJ1618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BA1618" i="10" l="1"/>
  <c r="BE1619" i="10"/>
  <c r="BB1618" i="10"/>
  <c r="AT1649" i="10"/>
  <c r="BG1649" i="10" s="1"/>
  <c r="AV1649" i="10"/>
  <c r="AW1648" i="10" s="1"/>
  <c r="AL1649" i="10"/>
  <c r="BO1618" i="10"/>
  <c r="BK1618" i="10" s="1"/>
  <c r="BC1619" i="10"/>
  <c r="BM1619" i="10"/>
  <c r="T1659" i="10"/>
  <c r="R1659" i="10"/>
  <c r="T1655" i="10"/>
  <c r="R1655" i="10"/>
  <c r="Y1656" i="10"/>
  <c r="R1645" i="10"/>
  <c r="AL1645" i="10" s="1"/>
  <c r="AT1645" i="10"/>
  <c r="BH1645" i="10" s="1"/>
  <c r="AV1645" i="10"/>
  <c r="AW1644" i="10" s="1"/>
  <c r="T1645" i="10"/>
  <c r="AX1649" i="10"/>
  <c r="AU1648" i="10"/>
  <c r="AY1648" i="10" s="1"/>
  <c r="AW1649" i="10"/>
  <c r="BN1648" i="10"/>
  <c r="AW1645" i="10"/>
  <c r="U1645" i="10"/>
  <c r="S1645" i="10"/>
  <c r="AU1649" i="10"/>
  <c r="AY1649" i="10" s="1"/>
  <c r="BH1649" i="10"/>
  <c r="BI1649" i="10"/>
  <c r="AX1648" i="10"/>
  <c r="BF1648" i="10"/>
  <c r="AU1645" i="10"/>
  <c r="AY1645" i="10" s="1"/>
  <c r="AX1644" i="10"/>
  <c r="AW1629" i="10"/>
  <c r="AU1629" i="10"/>
  <c r="AY1629" i="10" s="1"/>
  <c r="AX1628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BQ1649" i="10" l="1"/>
  <c r="BM1649" i="10" s="1"/>
  <c r="BP1649" i="10"/>
  <c r="BP1648" i="10" s="1"/>
  <c r="BL1648" i="10" s="1"/>
  <c r="BO1649" i="10"/>
  <c r="BK1649" i="10" s="1"/>
  <c r="BO1645" i="10"/>
  <c r="BO1644" i="10" s="1"/>
  <c r="BK1644" i="10" s="1"/>
  <c r="BN1644" i="10"/>
  <c r="BJ1644" i="10" s="1"/>
  <c r="BP1645" i="10"/>
  <c r="BL1645" i="10" s="1"/>
  <c r="BQ1645" i="10"/>
  <c r="BQ1644" i="10" s="1"/>
  <c r="BM1644" i="10" s="1"/>
  <c r="BI1645" i="10"/>
  <c r="BE1645" i="10" s="1"/>
  <c r="BF1644" i="10"/>
  <c r="BB1644" i="10" s="1"/>
  <c r="U1656" i="10"/>
  <c r="S1656" i="10"/>
  <c r="BG1645" i="10"/>
  <c r="BC1645" i="10" s="1"/>
  <c r="H54" i="14"/>
  <c r="AU1644" i="10"/>
  <c r="AY1644" i="10" s="1"/>
  <c r="AZ1644" i="10" s="1"/>
  <c r="AX1645" i="10"/>
  <c r="BA1645" i="10" s="1"/>
  <c r="AN1645" i="10"/>
  <c r="BH1644" i="10"/>
  <c r="BD1644" i="10" s="1"/>
  <c r="BD1645" i="10"/>
  <c r="BF1649" i="10"/>
  <c r="BB1649" i="10" s="1"/>
  <c r="BB1648" i="10"/>
  <c r="BA1648" i="10"/>
  <c r="AZ1648" i="10"/>
  <c r="BN1649" i="10"/>
  <c r="BJ1649" i="10" s="1"/>
  <c r="BJ1648" i="10"/>
  <c r="BI1648" i="10"/>
  <c r="BE1648" i="10" s="1"/>
  <c r="BE1649" i="10"/>
  <c r="BD1649" i="10"/>
  <c r="BH1648" i="10"/>
  <c r="BD1648" i="10" s="1"/>
  <c r="BG1648" i="10"/>
  <c r="BC1648" i="10" s="1"/>
  <c r="BC1649" i="10"/>
  <c r="AZ1649" i="10"/>
  <c r="BA1649" i="10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BL1649" i="10" l="1"/>
  <c r="BQ1648" i="10"/>
  <c r="BM1648" i="10" s="1"/>
  <c r="BO1648" i="10"/>
  <c r="BK1648" i="10" s="1"/>
  <c r="BN1645" i="10"/>
  <c r="BJ1645" i="10" s="1"/>
  <c r="BK1645" i="10"/>
  <c r="BM1645" i="10"/>
  <c r="BP1644" i="10"/>
  <c r="BL1644" i="10" s="1"/>
  <c r="BG1644" i="10"/>
  <c r="BC1644" i="10" s="1"/>
  <c r="BI1644" i="10"/>
  <c r="BE1644" i="10" s="1"/>
  <c r="AP1656" i="10"/>
  <c r="AZ1645" i="10"/>
  <c r="BF1645" i="10"/>
  <c r="BB1645" i="10" s="1"/>
  <c r="BA1644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H35" i="3" l="1"/>
  <c r="I35" i="3"/>
  <c r="G35" i="3" s="1"/>
  <c r="AK81" i="14"/>
  <c r="AK4" i="14"/>
  <c r="AV57" i="10"/>
  <c r="AV2" i="10"/>
  <c r="AV1" i="10"/>
  <c r="AK2" i="14" l="1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570" i="10"/>
  <c r="A1571" i="10"/>
  <c r="A1572" i="10"/>
  <c r="A1573" i="10"/>
  <c r="A1574" i="10"/>
  <c r="A1575" i="10"/>
  <c r="A1576" i="10"/>
  <c r="A1577" i="10"/>
  <c r="A1578" i="10"/>
  <c r="A1579" i="10"/>
  <c r="A1580" i="10"/>
  <c r="A1581" i="10"/>
  <c r="A1582" i="10"/>
  <c r="A1583" i="10"/>
  <c r="A1584" i="10"/>
  <c r="A1585" i="10"/>
  <c r="A1586" i="10"/>
  <c r="A1587" i="10"/>
  <c r="A1588" i="10"/>
  <c r="A1589" i="10"/>
  <c r="A1590" i="10"/>
  <c r="A1591" i="10"/>
  <c r="A1592" i="10"/>
  <c r="A1593" i="10"/>
  <c r="A1594" i="10"/>
  <c r="A1595" i="10"/>
  <c r="A1596" i="10"/>
  <c r="A1597" i="10"/>
  <c r="A1598" i="10"/>
  <c r="A1599" i="10"/>
  <c r="A1600" i="10"/>
  <c r="A1601" i="10"/>
  <c r="A1602" i="10"/>
  <c r="A1603" i="10"/>
  <c r="A1604" i="10"/>
  <c r="A1605" i="10"/>
  <c r="A1606" i="10"/>
  <c r="A1607" i="10"/>
  <c r="A1608" i="10"/>
  <c r="A1609" i="10"/>
  <c r="A1610" i="10"/>
  <c r="A1611" i="10"/>
  <c r="A1612" i="10"/>
  <c r="A1613" i="10"/>
  <c r="A1614" i="10"/>
  <c r="A1615" i="10"/>
  <c r="A1616" i="10"/>
  <c r="A1617" i="10"/>
  <c r="A1618" i="10"/>
  <c r="A1619" i="10"/>
  <c r="A1620" i="10"/>
  <c r="A1621" i="10"/>
  <c r="A1622" i="10"/>
  <c r="A1623" i="10"/>
  <c r="A1624" i="10"/>
  <c r="A1625" i="10"/>
  <c r="A1626" i="10"/>
  <c r="A1627" i="10"/>
  <c r="A1628" i="10"/>
  <c r="A1629" i="10"/>
  <c r="A1630" i="10"/>
  <c r="A1631" i="10"/>
  <c r="A1632" i="10"/>
  <c r="A1633" i="10"/>
  <c r="A1634" i="10"/>
  <c r="A1635" i="10"/>
  <c r="A1636" i="10"/>
  <c r="A1637" i="10"/>
  <c r="A1638" i="10"/>
  <c r="A1639" i="10"/>
  <c r="A1640" i="10"/>
  <c r="A1641" i="10"/>
  <c r="A1642" i="10"/>
  <c r="A1643" i="10"/>
  <c r="A1644" i="10"/>
  <c r="A1645" i="10"/>
  <c r="A1646" i="10"/>
  <c r="A1647" i="10"/>
  <c r="A1648" i="10"/>
  <c r="A1649" i="10"/>
  <c r="A1650" i="10"/>
  <c r="A1651" i="10"/>
  <c r="A1652" i="10"/>
  <c r="A1653" i="10"/>
  <c r="A1654" i="10"/>
  <c r="A1655" i="10"/>
  <c r="A1656" i="10"/>
  <c r="A1657" i="10"/>
  <c r="A1658" i="10"/>
  <c r="A1659" i="10"/>
  <c r="A1660" i="10"/>
  <c r="A1661" i="10"/>
  <c r="A1662" i="10"/>
  <c r="A1663" i="10"/>
  <c r="A1664" i="10"/>
  <c r="A1665" i="10"/>
  <c r="A1666" i="10"/>
  <c r="A1667" i="10"/>
  <c r="A1668" i="10"/>
  <c r="A1669" i="10"/>
  <c r="A1670" i="10"/>
  <c r="A1671" i="10"/>
  <c r="A1672" i="10"/>
  <c r="A1673" i="10"/>
  <c r="A1674" i="10"/>
  <c r="A1675" i="10"/>
  <c r="A1676" i="10"/>
  <c r="A1677" i="10"/>
  <c r="A1678" i="10"/>
  <c r="A1679" i="10"/>
  <c r="A1680" i="10"/>
  <c r="A1681" i="10"/>
  <c r="A1682" i="10"/>
  <c r="A1683" i="10"/>
  <c r="A1684" i="10"/>
  <c r="A1685" i="10"/>
  <c r="A1686" i="10"/>
  <c r="A1687" i="10"/>
  <c r="A1688" i="10"/>
  <c r="A1689" i="10"/>
  <c r="A1690" i="10"/>
  <c r="A1691" i="10"/>
  <c r="A1692" i="10"/>
  <c r="A1693" i="10"/>
  <c r="A1694" i="10"/>
  <c r="A1695" i="10"/>
  <c r="A1696" i="10"/>
  <c r="A1697" i="10"/>
  <c r="A1698" i="10"/>
  <c r="A1699" i="10"/>
  <c r="A1700" i="10"/>
  <c r="A1701" i="10"/>
  <c r="A1702" i="10"/>
  <c r="A1703" i="10"/>
  <c r="A1704" i="10"/>
  <c r="A1705" i="10"/>
  <c r="A1706" i="10"/>
  <c r="A1707" i="10"/>
  <c r="A1708" i="10"/>
  <c r="A1709" i="10"/>
  <c r="A1710" i="10"/>
  <c r="A1711" i="10"/>
  <c r="A1712" i="10"/>
  <c r="A1713" i="10"/>
  <c r="A1714" i="10"/>
  <c r="A1715" i="10"/>
  <c r="A1716" i="10"/>
  <c r="A1717" i="10"/>
  <c r="A1718" i="10"/>
  <c r="A1719" i="10"/>
  <c r="A1720" i="10"/>
  <c r="A1721" i="10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B5" i="16" l="1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AO1594" i="10" l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F5" i="16" l="1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Q9" i="16" l="1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R5" i="16" l="1" a="1"/>
  <c r="R5" i="16" s="1"/>
  <c r="D58" i="16" l="1"/>
  <c r="G58" i="16" l="1"/>
  <c r="A58" i="16"/>
  <c r="D60" i="16"/>
  <c r="A60" i="16" l="1"/>
  <c r="G60" i="16"/>
  <c r="D57" i="16" l="1"/>
  <c r="D59" i="16" l="1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AO1587" i="10" l="1"/>
  <c r="AO1593" i="10"/>
  <c r="AO1570" i="10" l="1"/>
  <c r="AM1587" i="10"/>
  <c r="X1586" i="10" l="1"/>
  <c r="AQ1587" i="10"/>
  <c r="AO1592" i="10"/>
  <c r="AO1575" i="10" l="1"/>
  <c r="R1586" i="10"/>
  <c r="T1586" i="10"/>
  <c r="AK1570" i="10"/>
  <c r="Y1571" i="10" l="1"/>
  <c r="AO1580" i="10"/>
  <c r="U1571" i="10" l="1"/>
  <c r="S1571" i="10"/>
  <c r="AK1591" i="10"/>
  <c r="Y1590" i="10" l="1"/>
  <c r="AO1585" i="10"/>
  <c r="S1590" i="10" l="1"/>
  <c r="U1590" i="10"/>
  <c r="AK1580" i="10"/>
  <c r="AK1578" i="10"/>
  <c r="AM1580" i="10"/>
  <c r="X1581" i="10" l="1"/>
  <c r="AQ1580" i="10"/>
  <c r="Y1579" i="10"/>
  <c r="Y1581" i="10"/>
  <c r="AP1590" i="10"/>
  <c r="AO1635" i="10" s="1"/>
  <c r="AK1587" i="10"/>
  <c r="AO1591" i="10"/>
  <c r="AM1591" i="10"/>
  <c r="AO1571" i="10"/>
  <c r="AO1583" i="10"/>
  <c r="AO1572" i="10"/>
  <c r="AO1589" i="10"/>
  <c r="AM1589" i="10"/>
  <c r="AP1571" i="10" l="1"/>
  <c r="AO1602" i="10" s="1"/>
  <c r="AQ1589" i="10"/>
  <c r="X1588" i="10"/>
  <c r="X1590" i="10"/>
  <c r="AQ1591" i="10"/>
  <c r="Y1586" i="10"/>
  <c r="U1581" i="10"/>
  <c r="S1581" i="10"/>
  <c r="S1579" i="10"/>
  <c r="U1579" i="10"/>
  <c r="R1581" i="10"/>
  <c r="T1581" i="10"/>
  <c r="AM1582" i="10"/>
  <c r="AM1570" i="10"/>
  <c r="AM1576" i="10"/>
  <c r="AO1576" i="10"/>
  <c r="AM1579" i="10"/>
  <c r="AO1579" i="10"/>
  <c r="X1578" i="10" l="1"/>
  <c r="AQ1579" i="10"/>
  <c r="AQ1576" i="10"/>
  <c r="X1577" i="10"/>
  <c r="X1571" i="10"/>
  <c r="AQ1570" i="10"/>
  <c r="X1583" i="10"/>
  <c r="AQ1582" i="10"/>
  <c r="AP1579" i="10"/>
  <c r="AO1616" i="10" s="1"/>
  <c r="S1586" i="10"/>
  <c r="U1586" i="10"/>
  <c r="T1590" i="10"/>
  <c r="R1590" i="10"/>
  <c r="T1588" i="10"/>
  <c r="R1588" i="10"/>
  <c r="AM1593" i="10"/>
  <c r="AM1596" i="10"/>
  <c r="AO1596" i="10"/>
  <c r="AP1596" i="10" s="1"/>
  <c r="AO1627" i="10" s="1"/>
  <c r="AP1627" i="10" s="1"/>
  <c r="AK1573" i="10"/>
  <c r="AK1589" i="10"/>
  <c r="AK1582" i="10"/>
  <c r="AM1573" i="10"/>
  <c r="AO1573" i="10"/>
  <c r="D42" i="16"/>
  <c r="D41" i="16"/>
  <c r="AP1573" i="10" l="1"/>
  <c r="X1597" i="10"/>
  <c r="AQ1596" i="10"/>
  <c r="AV1578" i="10"/>
  <c r="AT1578" i="10"/>
  <c r="AQ1573" i="10"/>
  <c r="AN1573" i="10"/>
  <c r="AM1612" i="10" s="1"/>
  <c r="X1572" i="10"/>
  <c r="Y1583" i="10"/>
  <c r="Y1588" i="10"/>
  <c r="Y1572" i="10"/>
  <c r="AV1573" i="10"/>
  <c r="AW1572" i="10" s="1"/>
  <c r="AT1573" i="10"/>
  <c r="AQ1593" i="10"/>
  <c r="X1592" i="10"/>
  <c r="R1583" i="10"/>
  <c r="T1583" i="10"/>
  <c r="T1571" i="10"/>
  <c r="R1571" i="10"/>
  <c r="R1577" i="10"/>
  <c r="T1577" i="10"/>
  <c r="R1578" i="10"/>
  <c r="T1578" i="10"/>
  <c r="AK1586" i="10"/>
  <c r="AK1575" i="10"/>
  <c r="AO1577" i="10"/>
  <c r="AM1575" i="10"/>
  <c r="AK1577" i="10"/>
  <c r="AM1583" i="10"/>
  <c r="AM1577" i="10"/>
  <c r="AO1595" i="10"/>
  <c r="AM1595" i="10"/>
  <c r="A41" i="16"/>
  <c r="G41" i="16"/>
  <c r="G42" i="16"/>
  <c r="A42" i="16"/>
  <c r="AQ1627" i="10" l="1"/>
  <c r="X1626" i="10"/>
  <c r="AN1627" i="10"/>
  <c r="X1613" i="10"/>
  <c r="AQ1612" i="10"/>
  <c r="AL1578" i="10"/>
  <c r="AK1603" i="10" s="1"/>
  <c r="R1597" i="10"/>
  <c r="AV1597" i="10"/>
  <c r="AT1597" i="10"/>
  <c r="T1597" i="10"/>
  <c r="AK1592" i="10"/>
  <c r="Y1593" i="10" s="1"/>
  <c r="AK1593" i="10"/>
  <c r="Y1592" i="10" s="1"/>
  <c r="AK1595" i="10"/>
  <c r="Y1594" i="10" s="1"/>
  <c r="AL1577" i="10"/>
  <c r="AK1643" i="10" s="1"/>
  <c r="AX1578" i="10"/>
  <c r="AU1579" i="10"/>
  <c r="AY1579" i="10" s="1"/>
  <c r="AW1579" i="10"/>
  <c r="AQ1595" i="10"/>
  <c r="X1594" i="10"/>
  <c r="X1576" i="10"/>
  <c r="AQ1577" i="10"/>
  <c r="AQ1583" i="10"/>
  <c r="X1582" i="10"/>
  <c r="Y1576" i="10"/>
  <c r="AV1577" i="10"/>
  <c r="AW1576" i="10" s="1"/>
  <c r="AT1577" i="10"/>
  <c r="AQ1575" i="10"/>
  <c r="X1574" i="10"/>
  <c r="Y1574" i="10"/>
  <c r="Y1587" i="10"/>
  <c r="AV1586" i="10"/>
  <c r="AT1586" i="10"/>
  <c r="R1592" i="10"/>
  <c r="T1592" i="10"/>
  <c r="AX1573" i="10"/>
  <c r="AU1572" i="10"/>
  <c r="AY1572" i="10" s="1"/>
  <c r="U1572" i="10"/>
  <c r="S1572" i="10"/>
  <c r="S1588" i="10"/>
  <c r="U1588" i="10"/>
  <c r="S1583" i="10"/>
  <c r="U1583" i="10"/>
  <c r="R1572" i="10"/>
  <c r="AT1572" i="10"/>
  <c r="T1572" i="10"/>
  <c r="AV1572" i="10"/>
  <c r="AM1592" i="10"/>
  <c r="AK1576" i="10"/>
  <c r="AM1581" i="10"/>
  <c r="AO1581" i="10"/>
  <c r="AP1581" i="10" s="1"/>
  <c r="AO1662" i="10" s="1"/>
  <c r="N42" i="16"/>
  <c r="L42" i="16"/>
  <c r="O42" i="16"/>
  <c r="M42" i="16"/>
  <c r="N41" i="16"/>
  <c r="O41" i="16"/>
  <c r="L41" i="16"/>
  <c r="M41" i="16"/>
  <c r="Y1642" i="10" l="1"/>
  <c r="AL1643" i="10"/>
  <c r="AV1643" i="10"/>
  <c r="AW1642" i="10" s="1"/>
  <c r="AT1643" i="10"/>
  <c r="AK1629" i="10"/>
  <c r="Y1628" i="10" s="1"/>
  <c r="AT1626" i="10"/>
  <c r="R1626" i="10"/>
  <c r="AL1626" i="10" s="1"/>
  <c r="T1626" i="10"/>
  <c r="AV1626" i="10"/>
  <c r="Y1602" i="10"/>
  <c r="AV1603" i="10"/>
  <c r="AW1602" i="10" s="1"/>
  <c r="AT1603" i="10"/>
  <c r="AL1603" i="10"/>
  <c r="AK1653" i="10" s="1"/>
  <c r="R1613" i="10"/>
  <c r="T1613" i="10"/>
  <c r="AL1572" i="10"/>
  <c r="AK1620" i="10" s="1"/>
  <c r="AV1592" i="10"/>
  <c r="AW1593" i="10" s="1"/>
  <c r="AT1592" i="10"/>
  <c r="AU1596" i="10"/>
  <c r="AY1596" i="10" s="1"/>
  <c r="BI1597" i="10"/>
  <c r="BH1597" i="10"/>
  <c r="AX1597" i="10"/>
  <c r="BF1596" i="10"/>
  <c r="BG1597" i="10"/>
  <c r="BO1597" i="10"/>
  <c r="BN1596" i="10"/>
  <c r="BP1597" i="10"/>
  <c r="BQ1597" i="10"/>
  <c r="AW1596" i="10"/>
  <c r="AL1592" i="10"/>
  <c r="AK1637" i="10" s="1"/>
  <c r="AK1581" i="10"/>
  <c r="AV1582" i="10"/>
  <c r="AT1582" i="10"/>
  <c r="AQ1581" i="10"/>
  <c r="X1580" i="10"/>
  <c r="Y1577" i="10"/>
  <c r="AV1576" i="10"/>
  <c r="AT1576" i="10"/>
  <c r="AQ1592" i="10"/>
  <c r="X1593" i="10"/>
  <c r="Y1589" i="10"/>
  <c r="AT1588" i="10"/>
  <c r="AV1588" i="10"/>
  <c r="AW1573" i="10"/>
  <c r="BN1572" i="10"/>
  <c r="BQ1573" i="10"/>
  <c r="BP1573" i="10"/>
  <c r="BO1573" i="10"/>
  <c r="BG1573" i="10"/>
  <c r="BI1573" i="10"/>
  <c r="AU1573" i="10"/>
  <c r="AY1573" i="10" s="1"/>
  <c r="AZ1573" i="10" s="1"/>
  <c r="AX1572" i="10"/>
  <c r="BF1572" i="10"/>
  <c r="BH1573" i="10"/>
  <c r="AP1583" i="10"/>
  <c r="AP1572" i="10"/>
  <c r="AU1587" i="10"/>
  <c r="AY1587" i="10" s="1"/>
  <c r="AX1586" i="10"/>
  <c r="AW1587" i="10"/>
  <c r="S1587" i="10"/>
  <c r="U1587" i="10"/>
  <c r="U1574" i="10"/>
  <c r="S1574" i="10"/>
  <c r="S1592" i="10"/>
  <c r="U1592" i="10"/>
  <c r="U1593" i="10"/>
  <c r="S1593" i="10"/>
  <c r="T1574" i="10"/>
  <c r="R1574" i="10"/>
  <c r="AX1577" i="10"/>
  <c r="AU1576" i="10"/>
  <c r="AY1576" i="10" s="1"/>
  <c r="U1576" i="10"/>
  <c r="S1576" i="10"/>
  <c r="U1594" i="10"/>
  <c r="S1594" i="10"/>
  <c r="T1582" i="10"/>
  <c r="R1582" i="10"/>
  <c r="T1576" i="10"/>
  <c r="R1576" i="10"/>
  <c r="T1594" i="10"/>
  <c r="R1594" i="10"/>
  <c r="AM1578" i="10"/>
  <c r="AO1578" i="10"/>
  <c r="AP1578" i="10" s="1"/>
  <c r="AO1653" i="10" s="1"/>
  <c r="AK1584" i="10"/>
  <c r="AO1586" i="10"/>
  <c r="AP1586" i="10" s="1"/>
  <c r="AM1586" i="10"/>
  <c r="AN1586" i="10" s="1"/>
  <c r="AM1611" i="10" s="1"/>
  <c r="AM1590" i="10"/>
  <c r="AN1590" i="10" s="1"/>
  <c r="AM1601" i="10" s="1"/>
  <c r="T41" i="16"/>
  <c r="AV39" i="10" s="1"/>
  <c r="T42" i="16"/>
  <c r="AV40" i="10" s="1"/>
  <c r="AV1653" i="10" l="1"/>
  <c r="AW1652" i="10" s="1"/>
  <c r="Y1652" i="10"/>
  <c r="AT1653" i="10"/>
  <c r="AL1653" i="10"/>
  <c r="AX1643" i="10"/>
  <c r="AU1642" i="10"/>
  <c r="AY1642" i="10" s="1"/>
  <c r="AO1604" i="10"/>
  <c r="AP1604" i="10" s="1"/>
  <c r="AO1648" i="10"/>
  <c r="AP1648" i="10" s="1"/>
  <c r="S1642" i="10"/>
  <c r="AN1642" i="10" s="1"/>
  <c r="U1642" i="10"/>
  <c r="AO1636" i="10"/>
  <c r="AO1620" i="10"/>
  <c r="AL1629" i="10"/>
  <c r="AK1654" i="10" s="1"/>
  <c r="AV1629" i="10"/>
  <c r="AW1628" i="10" s="1"/>
  <c r="AT1629" i="10"/>
  <c r="BH1629" i="10" s="1"/>
  <c r="Y1636" i="10"/>
  <c r="AW1627" i="10"/>
  <c r="AX1626" i="10"/>
  <c r="AU1627" i="10"/>
  <c r="AY1627" i="10" s="1"/>
  <c r="BO1629" i="10"/>
  <c r="S1628" i="10"/>
  <c r="U1628" i="10"/>
  <c r="AU1593" i="10"/>
  <c r="AY1593" i="10" s="1"/>
  <c r="AX1592" i="10"/>
  <c r="Y1621" i="10"/>
  <c r="AU1602" i="10"/>
  <c r="AY1602" i="10" s="1"/>
  <c r="AX1603" i="10"/>
  <c r="X1610" i="10"/>
  <c r="AQ1611" i="10"/>
  <c r="AN1611" i="10"/>
  <c r="AM1639" i="10" s="1"/>
  <c r="S1602" i="10"/>
  <c r="U1602" i="10"/>
  <c r="AL1576" i="10"/>
  <c r="AK1607" i="10" s="1"/>
  <c r="AL1582" i="10"/>
  <c r="X1600" i="10"/>
  <c r="AQ1601" i="10"/>
  <c r="AN1601" i="10"/>
  <c r="AM1635" i="10" s="1"/>
  <c r="BM1597" i="10"/>
  <c r="BQ1596" i="10"/>
  <c r="BM1596" i="10" s="1"/>
  <c r="BP1596" i="10"/>
  <c r="BL1596" i="10" s="1"/>
  <c r="BL1597" i="10"/>
  <c r="BJ1596" i="10"/>
  <c r="BN1597" i="10"/>
  <c r="BJ1597" i="10" s="1"/>
  <c r="BK1597" i="10"/>
  <c r="BO1596" i="10"/>
  <c r="BK1596" i="10" s="1"/>
  <c r="BG1596" i="10"/>
  <c r="BC1596" i="10" s="1"/>
  <c r="BC1597" i="10"/>
  <c r="BB1596" i="10"/>
  <c r="BF1597" i="10"/>
  <c r="BB1597" i="10" s="1"/>
  <c r="AZ1597" i="10"/>
  <c r="BA1597" i="10"/>
  <c r="BH1596" i="10"/>
  <c r="BD1596" i="10" s="1"/>
  <c r="BD1597" i="10"/>
  <c r="BE1597" i="10"/>
  <c r="BI1596" i="10"/>
  <c r="BE1596" i="10" s="1"/>
  <c r="BA1596" i="10"/>
  <c r="AZ1596" i="10"/>
  <c r="Y1580" i="10"/>
  <c r="U1580" i="10" s="1"/>
  <c r="AT1581" i="10"/>
  <c r="AX1581" i="10" s="1"/>
  <c r="AV1581" i="10"/>
  <c r="AW1580" i="10" s="1"/>
  <c r="BA1573" i="10"/>
  <c r="AT1593" i="10"/>
  <c r="AV1593" i="10"/>
  <c r="AV1580" i="10"/>
  <c r="AT1580" i="10"/>
  <c r="AX1582" i="10"/>
  <c r="AU1583" i="10"/>
  <c r="AY1583" i="10" s="1"/>
  <c r="AW1583" i="10"/>
  <c r="X1591" i="10"/>
  <c r="AQ1590" i="10"/>
  <c r="X1587" i="10"/>
  <c r="AQ1586" i="10"/>
  <c r="Y1585" i="10"/>
  <c r="AT1584" i="10"/>
  <c r="AV1584" i="10"/>
  <c r="AL1584" i="10"/>
  <c r="AK1623" i="10" s="1"/>
  <c r="X1579" i="10"/>
  <c r="AQ1578" i="10"/>
  <c r="AN1578" i="10"/>
  <c r="AM1603" i="10" s="1"/>
  <c r="AP1594" i="10"/>
  <c r="AN1576" i="10"/>
  <c r="AM1607" i="10" s="1"/>
  <c r="AP1576" i="10"/>
  <c r="AP1593" i="10"/>
  <c r="AN1593" i="10"/>
  <c r="AM1621" i="10" s="1"/>
  <c r="AN1592" i="10"/>
  <c r="AM1637" i="10" s="1"/>
  <c r="AP1592" i="10"/>
  <c r="AP1587" i="10"/>
  <c r="AO1614" i="10" s="1"/>
  <c r="AN1587" i="10"/>
  <c r="AM1614" i="10" s="1"/>
  <c r="BH1572" i="10"/>
  <c r="BD1572" i="10" s="1"/>
  <c r="BD1573" i="10"/>
  <c r="BB1572" i="10"/>
  <c r="BF1573" i="10"/>
  <c r="BB1573" i="10" s="1"/>
  <c r="BA1572" i="10"/>
  <c r="AZ1572" i="10"/>
  <c r="BE1573" i="10"/>
  <c r="BI1572" i="10"/>
  <c r="BE1572" i="10" s="1"/>
  <c r="BC1573" i="10"/>
  <c r="BG1572" i="10"/>
  <c r="BC1572" i="10" s="1"/>
  <c r="BO1572" i="10"/>
  <c r="BK1572" i="10" s="1"/>
  <c r="BK1573" i="10"/>
  <c r="BP1572" i="10"/>
  <c r="BL1572" i="10" s="1"/>
  <c r="BL1573" i="10"/>
  <c r="BQ1572" i="10"/>
  <c r="BM1572" i="10" s="1"/>
  <c r="BM1573" i="10"/>
  <c r="BN1573" i="10"/>
  <c r="BJ1573" i="10" s="1"/>
  <c r="BJ1572" i="10"/>
  <c r="AW1589" i="10"/>
  <c r="AU1589" i="10"/>
  <c r="AY1589" i="10" s="1"/>
  <c r="AX1588" i="10"/>
  <c r="S1589" i="10"/>
  <c r="U1589" i="10"/>
  <c r="R1593" i="10"/>
  <c r="T1593" i="10"/>
  <c r="BH1577" i="10"/>
  <c r="BG1577" i="10"/>
  <c r="BI1577" i="10"/>
  <c r="AX1576" i="10"/>
  <c r="AU1577" i="10"/>
  <c r="AY1577" i="10" s="1"/>
  <c r="BA1577" i="10" s="1"/>
  <c r="BF1576" i="10"/>
  <c r="AW1577" i="10"/>
  <c r="BN1576" i="10"/>
  <c r="BO1577" i="10"/>
  <c r="BP1577" i="10"/>
  <c r="BQ1577" i="10"/>
  <c r="S1577" i="10"/>
  <c r="U1577" i="10"/>
  <c r="T1580" i="10"/>
  <c r="R1580" i="10"/>
  <c r="AM1594" i="10"/>
  <c r="AN1594" i="10" s="1"/>
  <c r="AM1631" i="10" s="1"/>
  <c r="AO1588" i="10"/>
  <c r="AP1588" i="10" s="1"/>
  <c r="BP40" i="10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AX1653" i="10" l="1"/>
  <c r="AU1652" i="10"/>
  <c r="AY1652" i="10" s="1"/>
  <c r="S1652" i="10"/>
  <c r="U1652" i="10"/>
  <c r="Y1655" i="10"/>
  <c r="AO1607" i="10"/>
  <c r="AP1607" i="10" s="1"/>
  <c r="AO1645" i="10"/>
  <c r="AP1645" i="10" s="1"/>
  <c r="BN1628" i="10"/>
  <c r="BN1629" i="10" s="1"/>
  <c r="BJ1629" i="10" s="1"/>
  <c r="AQ1639" i="10"/>
  <c r="X1638" i="10"/>
  <c r="AN1639" i="10"/>
  <c r="BQ1629" i="10"/>
  <c r="BQ1628" i="10" s="1"/>
  <c r="BM1628" i="10" s="1"/>
  <c r="BG1629" i="10"/>
  <c r="BG1628" i="10" s="1"/>
  <c r="BC1628" i="10" s="1"/>
  <c r="BP1629" i="10"/>
  <c r="BP1628" i="10" s="1"/>
  <c r="BL1628" i="10" s="1"/>
  <c r="BF1628" i="10"/>
  <c r="BB1628" i="10" s="1"/>
  <c r="AU1628" i="10"/>
  <c r="AY1628" i="10" s="1"/>
  <c r="AZ1628" i="10" s="1"/>
  <c r="AX1629" i="10"/>
  <c r="BA1629" i="10" s="1"/>
  <c r="BI1629" i="10"/>
  <c r="BI1628" i="10" s="1"/>
  <c r="BE1628" i="10" s="1"/>
  <c r="X1630" i="10"/>
  <c r="AQ1631" i="10"/>
  <c r="AQ1637" i="10"/>
  <c r="X1636" i="10"/>
  <c r="Y1622" i="10"/>
  <c r="AQ1635" i="10"/>
  <c r="X1634" i="10"/>
  <c r="AP1628" i="10"/>
  <c r="AO1657" i="10" s="1"/>
  <c r="AP1657" i="10" s="1"/>
  <c r="AN1628" i="10"/>
  <c r="AM1657" i="10" s="1"/>
  <c r="BD1629" i="10"/>
  <c r="BH1628" i="10"/>
  <c r="BD1628" i="10" s="1"/>
  <c r="BO1628" i="10"/>
  <c r="BK1628" i="10" s="1"/>
  <c r="BK1629" i="10"/>
  <c r="U1636" i="10"/>
  <c r="S1636" i="10"/>
  <c r="X1606" i="10"/>
  <c r="AQ1607" i="10"/>
  <c r="AQ1614" i="10"/>
  <c r="X1615" i="10"/>
  <c r="X1602" i="10"/>
  <c r="AQ1603" i="10"/>
  <c r="AN1603" i="10"/>
  <c r="AM1653" i="10" s="1"/>
  <c r="Y1608" i="10"/>
  <c r="AV1609" i="10"/>
  <c r="AT1609" i="10"/>
  <c r="D12" i="16" s="1"/>
  <c r="AL1609" i="10"/>
  <c r="AK1658" i="10" s="1"/>
  <c r="Y1606" i="10"/>
  <c r="AT1607" i="10"/>
  <c r="AV1607" i="10"/>
  <c r="AW1606" i="10" s="1"/>
  <c r="AN1602" i="10"/>
  <c r="AM1630" i="10" s="1"/>
  <c r="AP1602" i="10"/>
  <c r="R1610" i="10"/>
  <c r="AV1610" i="10"/>
  <c r="AT1610" i="10"/>
  <c r="T1610" i="10"/>
  <c r="AQ1621" i="10"/>
  <c r="X1620" i="10"/>
  <c r="S1621" i="10"/>
  <c r="U1621" i="10"/>
  <c r="AL1593" i="10"/>
  <c r="AK1621" i="10" s="1"/>
  <c r="T1600" i="10"/>
  <c r="R1600" i="10"/>
  <c r="AK1632" i="10" s="1"/>
  <c r="AT1600" i="10"/>
  <c r="AV1600" i="10"/>
  <c r="S1580" i="10"/>
  <c r="AP1580" i="10" s="1"/>
  <c r="AO1625" i="10" s="1"/>
  <c r="AO1599" i="10"/>
  <c r="AU1580" i="10"/>
  <c r="AY1580" i="10" s="1"/>
  <c r="AZ1577" i="10"/>
  <c r="AW1592" i="10"/>
  <c r="BN1592" i="10"/>
  <c r="BQ1593" i="10"/>
  <c r="BP1593" i="10"/>
  <c r="BO1593" i="10"/>
  <c r="AU1592" i="10"/>
  <c r="AY1592" i="10" s="1"/>
  <c r="BI1593" i="10"/>
  <c r="AX1593" i="10"/>
  <c r="BF1592" i="10"/>
  <c r="BG1593" i="10"/>
  <c r="BH1593" i="10"/>
  <c r="AM1571" i="10"/>
  <c r="AV1587" i="10"/>
  <c r="AT1587" i="10"/>
  <c r="AV1591" i="10"/>
  <c r="AW1590" i="10" s="1"/>
  <c r="AT1591" i="10"/>
  <c r="BH1581" i="10"/>
  <c r="BG1581" i="10"/>
  <c r="AX1580" i="10"/>
  <c r="BI1581" i="10"/>
  <c r="AU1581" i="10"/>
  <c r="AY1581" i="10" s="1"/>
  <c r="AZ1581" i="10" s="1"/>
  <c r="BF1580" i="10"/>
  <c r="BN1580" i="10"/>
  <c r="BP1581" i="10"/>
  <c r="BQ1581" i="10"/>
  <c r="BO1581" i="10"/>
  <c r="AW1581" i="10"/>
  <c r="AQ1588" i="10"/>
  <c r="X1589" i="10"/>
  <c r="X1595" i="10"/>
  <c r="AQ1594" i="10"/>
  <c r="AN1577" i="10"/>
  <c r="AM1643" i="10" s="1"/>
  <c r="AP1577" i="10"/>
  <c r="AO1643" i="10" s="1"/>
  <c r="BM1577" i="10"/>
  <c r="BQ1576" i="10"/>
  <c r="BM1576" i="10" s="1"/>
  <c r="BL1577" i="10"/>
  <c r="BP1576" i="10"/>
  <c r="BL1576" i="10" s="1"/>
  <c r="BO1576" i="10"/>
  <c r="BK1576" i="10" s="1"/>
  <c r="BK1577" i="10"/>
  <c r="BN1577" i="10"/>
  <c r="BJ1577" i="10" s="1"/>
  <c r="BJ1576" i="10"/>
  <c r="BB1576" i="10"/>
  <c r="BF1577" i="10"/>
  <c r="BB1577" i="10" s="1"/>
  <c r="BA1576" i="10"/>
  <c r="AZ1576" i="10"/>
  <c r="BI1576" i="10"/>
  <c r="BE1576" i="10" s="1"/>
  <c r="BE1577" i="10"/>
  <c r="BC1577" i="10"/>
  <c r="BG1576" i="10"/>
  <c r="BC1576" i="10" s="1"/>
  <c r="BD1577" i="10"/>
  <c r="BH1576" i="10"/>
  <c r="BD1576" i="10" s="1"/>
  <c r="AP1589" i="10"/>
  <c r="R1579" i="10"/>
  <c r="T1579" i="10"/>
  <c r="AT1579" i="10"/>
  <c r="AV1579" i="10"/>
  <c r="AW1585" i="10"/>
  <c r="AU1585" i="10"/>
  <c r="AY1585" i="10" s="1"/>
  <c r="AX1584" i="10"/>
  <c r="S1585" i="10"/>
  <c r="U1585" i="10"/>
  <c r="R1587" i="10"/>
  <c r="T1587" i="10"/>
  <c r="R1591" i="10"/>
  <c r="T1591" i="10"/>
  <c r="AK1590" i="10"/>
  <c r="AK1601" i="10" s="1"/>
  <c r="AK1574" i="10"/>
  <c r="AO1584" i="10"/>
  <c r="AP1584" i="10" s="1"/>
  <c r="AO1651" i="10" s="1"/>
  <c r="BL40" i="10"/>
  <c r="Z42" i="16" s="1"/>
  <c r="BN40" i="10"/>
  <c r="BJ40" i="10" s="1"/>
  <c r="X42" i="16" s="1"/>
  <c r="BM40" i="10"/>
  <c r="AA42" i="16" s="1"/>
  <c r="BO39" i="10"/>
  <c r="BK39" i="10" s="1"/>
  <c r="Y41" i="16" s="1"/>
  <c r="Y1659" i="10" l="1"/>
  <c r="X1652" i="10"/>
  <c r="AQ1653" i="10"/>
  <c r="S1655" i="10"/>
  <c r="U1655" i="10"/>
  <c r="X1656" i="10"/>
  <c r="AQ1657" i="10"/>
  <c r="AN1657" i="10"/>
  <c r="AN1652" i="10"/>
  <c r="BJ1628" i="10"/>
  <c r="X1642" i="10"/>
  <c r="AQ1643" i="10"/>
  <c r="AV1638" i="10"/>
  <c r="AT1638" i="10"/>
  <c r="T1638" i="10"/>
  <c r="R1638" i="10"/>
  <c r="AL1638" i="10" s="1"/>
  <c r="AK1664" i="10" s="1"/>
  <c r="AZ1629" i="10"/>
  <c r="AL1610" i="10"/>
  <c r="AK1622" i="10" s="1"/>
  <c r="AT1622" i="10" s="1"/>
  <c r="BC1629" i="10"/>
  <c r="BM1629" i="10"/>
  <c r="BL1629" i="10"/>
  <c r="BA1628" i="10"/>
  <c r="BF1629" i="10"/>
  <c r="BB1629" i="10" s="1"/>
  <c r="BE1629" i="10"/>
  <c r="Y1633" i="10"/>
  <c r="X1631" i="10"/>
  <c r="AQ1630" i="10"/>
  <c r="AP1636" i="10"/>
  <c r="R1634" i="10"/>
  <c r="T1634" i="10"/>
  <c r="S1622" i="10"/>
  <c r="U1622" i="10"/>
  <c r="R1636" i="10"/>
  <c r="T1636" i="10"/>
  <c r="R1630" i="10"/>
  <c r="T1630" i="10"/>
  <c r="AX1607" i="10"/>
  <c r="AU1606" i="10"/>
  <c r="AY1606" i="10" s="1"/>
  <c r="S1606" i="10"/>
  <c r="U1606" i="10"/>
  <c r="AP1621" i="10"/>
  <c r="AO1640" i="10" s="1"/>
  <c r="AP1640" i="10" s="1"/>
  <c r="R1620" i="10"/>
  <c r="T1620" i="10"/>
  <c r="AT1620" i="10"/>
  <c r="AV1620" i="10"/>
  <c r="BH1609" i="10"/>
  <c r="BF1608" i="10"/>
  <c r="BG1609" i="10"/>
  <c r="AX1609" i="10"/>
  <c r="BI1609" i="10"/>
  <c r="AU1608" i="10"/>
  <c r="AY1608" i="10" s="1"/>
  <c r="AW1608" i="10"/>
  <c r="BO1609" i="10"/>
  <c r="BP1609" i="10"/>
  <c r="BQ1609" i="10"/>
  <c r="BN1608" i="10"/>
  <c r="S1608" i="10"/>
  <c r="U1608" i="10"/>
  <c r="AV1602" i="10"/>
  <c r="T1602" i="10"/>
  <c r="AT1602" i="10"/>
  <c r="R1602" i="10"/>
  <c r="AX1610" i="10"/>
  <c r="AU1611" i="10"/>
  <c r="AY1611" i="10" s="1"/>
  <c r="T1615" i="10"/>
  <c r="R1615" i="10"/>
  <c r="AW1611" i="10"/>
  <c r="Y1620" i="10"/>
  <c r="AV1621" i="10"/>
  <c r="AW1620" i="10" s="1"/>
  <c r="AT1621" i="10"/>
  <c r="AL1621" i="10"/>
  <c r="AK1640" i="10" s="1"/>
  <c r="AV1606" i="10"/>
  <c r="R1606" i="10"/>
  <c r="AT1606" i="10"/>
  <c r="T1606" i="10"/>
  <c r="AL1587" i="10"/>
  <c r="AK1614" i="10" s="1"/>
  <c r="AL1579" i="10"/>
  <c r="AK1616" i="10" s="1"/>
  <c r="Y1600" i="10"/>
  <c r="AT1601" i="10"/>
  <c r="BI1601" i="10" s="1"/>
  <c r="AV1601" i="10"/>
  <c r="AW1600" i="10" s="1"/>
  <c r="AL1601" i="10"/>
  <c r="AK1635" i="10" s="1"/>
  <c r="AW1601" i="10"/>
  <c r="AX1600" i="10"/>
  <c r="AU1601" i="10"/>
  <c r="AY1601" i="10" s="1"/>
  <c r="BG1592" i="10"/>
  <c r="BC1592" i="10" s="1"/>
  <c r="BC1593" i="10"/>
  <c r="BF1593" i="10"/>
  <c r="BB1593" i="10" s="1"/>
  <c r="BB1592" i="10"/>
  <c r="BA1593" i="10"/>
  <c r="AZ1593" i="10"/>
  <c r="BI1592" i="10"/>
  <c r="BE1592" i="10" s="1"/>
  <c r="BE1593" i="10"/>
  <c r="BF1586" i="10"/>
  <c r="BG1587" i="10"/>
  <c r="BH1587" i="10"/>
  <c r="BI1587" i="10"/>
  <c r="AZ1592" i="10"/>
  <c r="BA1592" i="10"/>
  <c r="AW1586" i="10"/>
  <c r="BO1587" i="10"/>
  <c r="BQ1587" i="10"/>
  <c r="BN1586" i="10"/>
  <c r="BP1587" i="10"/>
  <c r="BA1581" i="10"/>
  <c r="BK1593" i="10"/>
  <c r="BO1592" i="10"/>
  <c r="BK1592" i="10" s="1"/>
  <c r="BP1592" i="10"/>
  <c r="BL1592" i="10" s="1"/>
  <c r="BL1593" i="10"/>
  <c r="BQ1592" i="10"/>
  <c r="BM1592" i="10" s="1"/>
  <c r="BM1593" i="10"/>
  <c r="BJ1592" i="10"/>
  <c r="BN1593" i="10"/>
  <c r="BJ1593" i="10" s="1"/>
  <c r="BH1592" i="10"/>
  <c r="BD1592" i="10" s="1"/>
  <c r="BD1593" i="10"/>
  <c r="AW1578" i="10"/>
  <c r="BN1578" i="10"/>
  <c r="BQ1579" i="10"/>
  <c r="BP1579" i="10"/>
  <c r="BO1579" i="10"/>
  <c r="BH1579" i="10"/>
  <c r="BI1579" i="10"/>
  <c r="BF1578" i="10"/>
  <c r="BG1579" i="10"/>
  <c r="AV1595" i="10"/>
  <c r="AW1594" i="10" s="1"/>
  <c r="AT1595" i="10"/>
  <c r="AT1589" i="10"/>
  <c r="AV1589" i="10"/>
  <c r="BK1581" i="10"/>
  <c r="BO1580" i="10"/>
  <c r="BK1580" i="10" s="1"/>
  <c r="BQ1580" i="10"/>
  <c r="BM1580" i="10" s="1"/>
  <c r="BM1581" i="10"/>
  <c r="BP1580" i="10"/>
  <c r="BL1580" i="10" s="1"/>
  <c r="BL1581" i="10"/>
  <c r="BN1581" i="10"/>
  <c r="BJ1581" i="10" s="1"/>
  <c r="BJ1580" i="10"/>
  <c r="BB1580" i="10"/>
  <c r="BF1581" i="10"/>
  <c r="BB1581" i="10" s="1"/>
  <c r="BI1580" i="10"/>
  <c r="BE1580" i="10" s="1"/>
  <c r="BE1581" i="10"/>
  <c r="AZ1580" i="10"/>
  <c r="BA1580" i="10"/>
  <c r="BG1580" i="10"/>
  <c r="BC1580" i="10" s="1"/>
  <c r="BC1581" i="10"/>
  <c r="BH1580" i="10"/>
  <c r="BD1580" i="10" s="1"/>
  <c r="BD1581" i="10"/>
  <c r="AU1590" i="10"/>
  <c r="AY1590" i="10" s="1"/>
  <c r="AX1591" i="10"/>
  <c r="AU1586" i="10"/>
  <c r="AY1586" i="10" s="1"/>
  <c r="AX1587" i="10"/>
  <c r="Y1575" i="10"/>
  <c r="AT1574" i="10"/>
  <c r="AV1574" i="10"/>
  <c r="X1570" i="10"/>
  <c r="AQ1571" i="10"/>
  <c r="Y1591" i="10"/>
  <c r="AV1590" i="10"/>
  <c r="AT1590" i="10"/>
  <c r="AP1585" i="10"/>
  <c r="AO1624" i="10" s="1"/>
  <c r="AP1624" i="10" s="1"/>
  <c r="AO1660" i="10" s="1"/>
  <c r="AM1598" i="10"/>
  <c r="AX1579" i="10"/>
  <c r="AU1578" i="10"/>
  <c r="AY1578" i="10" s="1"/>
  <c r="T1595" i="10"/>
  <c r="R1595" i="10"/>
  <c r="T1589" i="10"/>
  <c r="R1589" i="10"/>
  <c r="G12" i="16"/>
  <c r="A12" i="16"/>
  <c r="D11" i="16"/>
  <c r="AK1594" i="10"/>
  <c r="AL1594" i="10" s="1"/>
  <c r="AK1631" i="10" s="1"/>
  <c r="AK1583" i="10"/>
  <c r="Y1665" i="10" l="1"/>
  <c r="AT1656" i="10"/>
  <c r="AV1656" i="10"/>
  <c r="R1656" i="10"/>
  <c r="AL1656" i="10" s="1"/>
  <c r="T1656" i="10"/>
  <c r="AP1655" i="10"/>
  <c r="R1652" i="10"/>
  <c r="T1652" i="10"/>
  <c r="S1659" i="10"/>
  <c r="U1659" i="10"/>
  <c r="R1642" i="10"/>
  <c r="T1642" i="10"/>
  <c r="AL1602" i="10"/>
  <c r="AK1630" i="10" s="1"/>
  <c r="AV1630" i="10" s="1"/>
  <c r="AL1622" i="10"/>
  <c r="AK1665" i="10" s="1"/>
  <c r="Y1623" i="10"/>
  <c r="U1623" i="10" s="1"/>
  <c r="AV1622" i="10"/>
  <c r="AW1623" i="10" s="1"/>
  <c r="AU1639" i="10"/>
  <c r="AY1639" i="10" s="1"/>
  <c r="AX1638" i="10"/>
  <c r="AW1639" i="10"/>
  <c r="Y1641" i="10"/>
  <c r="AT1640" i="10"/>
  <c r="AV1640" i="10"/>
  <c r="AL1640" i="10"/>
  <c r="AL1620" i="10"/>
  <c r="AK1636" i="10" s="1"/>
  <c r="AL1636" i="10" s="1"/>
  <c r="Y1630" i="10"/>
  <c r="AT1631" i="10"/>
  <c r="AV1631" i="10"/>
  <c r="AW1630" i="10" s="1"/>
  <c r="Y1634" i="10"/>
  <c r="AP1622" i="10"/>
  <c r="R1631" i="10"/>
  <c r="T1631" i="10"/>
  <c r="AX1622" i="10"/>
  <c r="AU1623" i="10"/>
  <c r="AY1623" i="10" s="1"/>
  <c r="S1633" i="10"/>
  <c r="U1633" i="10"/>
  <c r="AX1606" i="10"/>
  <c r="BI1607" i="10"/>
  <c r="BH1607" i="10"/>
  <c r="AU1607" i="10"/>
  <c r="AY1607" i="10" s="1"/>
  <c r="AZ1607" i="10" s="1"/>
  <c r="BF1606" i="10"/>
  <c r="BG1607" i="10"/>
  <c r="AZ1609" i="10"/>
  <c r="BA1609" i="10"/>
  <c r="BG1608" i="10"/>
  <c r="BC1608" i="10" s="1"/>
  <c r="BC1609" i="10"/>
  <c r="BB1608" i="10"/>
  <c r="BF1609" i="10"/>
  <c r="BB1609" i="10" s="1"/>
  <c r="BH1608" i="10"/>
  <c r="BD1608" i="10" s="1"/>
  <c r="BD1609" i="10"/>
  <c r="AW1607" i="10"/>
  <c r="BQ1607" i="10"/>
  <c r="BO1607" i="10"/>
  <c r="BN1606" i="10"/>
  <c r="BP1607" i="10"/>
  <c r="BG1621" i="10"/>
  <c r="AX1621" i="10"/>
  <c r="AU1620" i="10"/>
  <c r="AY1620" i="10" s="1"/>
  <c r="BI1603" i="10"/>
  <c r="AX1602" i="10"/>
  <c r="BH1603" i="10"/>
  <c r="BF1602" i="10"/>
  <c r="BG1603" i="10"/>
  <c r="AU1603" i="10"/>
  <c r="AY1603" i="10" s="1"/>
  <c r="AW1621" i="10"/>
  <c r="BN1620" i="10"/>
  <c r="BO1621" i="10"/>
  <c r="BQ1621" i="10"/>
  <c r="BP1621" i="10"/>
  <c r="AU1621" i="10"/>
  <c r="AY1621" i="10" s="1"/>
  <c r="AX1620" i="10"/>
  <c r="BH1621" i="10"/>
  <c r="BI1621" i="10"/>
  <c r="BF1620" i="10"/>
  <c r="S1620" i="10"/>
  <c r="U1620" i="10"/>
  <c r="AW1603" i="10"/>
  <c r="BO1603" i="10"/>
  <c r="BP1603" i="10"/>
  <c r="BQ1603" i="10"/>
  <c r="BN1602" i="10"/>
  <c r="AM1626" i="10"/>
  <c r="AP1608" i="10"/>
  <c r="AO1626" i="10" s="1"/>
  <c r="AP1626" i="10" s="1"/>
  <c r="BN1609" i="10"/>
  <c r="BJ1609" i="10" s="1"/>
  <c r="BJ1608" i="10"/>
  <c r="BQ1608" i="10"/>
  <c r="BM1608" i="10" s="1"/>
  <c r="BM1609" i="10"/>
  <c r="BP1608" i="10"/>
  <c r="BL1608" i="10" s="1"/>
  <c r="BL1609" i="10"/>
  <c r="AP1606" i="10"/>
  <c r="AO1646" i="10" s="1"/>
  <c r="BO1608" i="10"/>
  <c r="BK1608" i="10" s="1"/>
  <c r="BK1609" i="10"/>
  <c r="Y1617" i="10"/>
  <c r="Y1615" i="10"/>
  <c r="AV1614" i="10"/>
  <c r="AT1614" i="10"/>
  <c r="AK1633" i="10"/>
  <c r="BA1608" i="10"/>
  <c r="AZ1608" i="10"/>
  <c r="BE1609" i="10"/>
  <c r="BI1608" i="10"/>
  <c r="BE1608" i="10" s="1"/>
  <c r="AL1595" i="10"/>
  <c r="AK1613" i="10" s="1"/>
  <c r="AL1589" i="10"/>
  <c r="AK1615" i="10" s="1"/>
  <c r="AL1615" i="10" s="1"/>
  <c r="AK1652" i="10" s="1"/>
  <c r="BH1601" i="10"/>
  <c r="BH1600" i="10" s="1"/>
  <c r="BD1600" i="10" s="1"/>
  <c r="BF1600" i="10"/>
  <c r="BB1600" i="10" s="1"/>
  <c r="BQ1601" i="10"/>
  <c r="BM1601" i="10" s="1"/>
  <c r="BP1601" i="10"/>
  <c r="BL1601" i="10" s="1"/>
  <c r="BN1600" i="10"/>
  <c r="BJ1600" i="10" s="1"/>
  <c r="BG1601" i="10"/>
  <c r="BC1601" i="10" s="1"/>
  <c r="BO1601" i="10"/>
  <c r="BK1601" i="10" s="1"/>
  <c r="X1599" i="10"/>
  <c r="AQ1598" i="10"/>
  <c r="AM1624" i="10"/>
  <c r="BI1600" i="10"/>
  <c r="BE1600" i="10" s="1"/>
  <c r="BE1601" i="10"/>
  <c r="AX1601" i="10"/>
  <c r="AU1600" i="10"/>
  <c r="AY1600" i="10" s="1"/>
  <c r="AZ1600" i="10" s="1"/>
  <c r="S1600" i="10"/>
  <c r="U1600" i="10"/>
  <c r="AM1584" i="10"/>
  <c r="AQ1584" i="10" s="1"/>
  <c r="AW1588" i="10"/>
  <c r="BN1588" i="10"/>
  <c r="BO1589" i="10"/>
  <c r="BP1589" i="10"/>
  <c r="BQ1589" i="10"/>
  <c r="BP1586" i="10"/>
  <c r="BL1586" i="10" s="1"/>
  <c r="BL1587" i="10"/>
  <c r="BF1587" i="10"/>
  <c r="BB1587" i="10" s="1"/>
  <c r="BB1586" i="10"/>
  <c r="BI1589" i="10"/>
  <c r="BH1589" i="10"/>
  <c r="BF1588" i="10"/>
  <c r="BG1589" i="10"/>
  <c r="BJ1586" i="10"/>
  <c r="BN1587" i="10"/>
  <c r="BJ1587" i="10" s="1"/>
  <c r="AX1595" i="10"/>
  <c r="AU1594" i="10"/>
  <c r="AY1594" i="10" s="1"/>
  <c r="BM1587" i="10"/>
  <c r="BQ1586" i="10"/>
  <c r="BM1586" i="10" s="1"/>
  <c r="AZ1578" i="10"/>
  <c r="BA1578" i="10"/>
  <c r="BK1587" i="10"/>
  <c r="BO1586" i="10"/>
  <c r="BK1586" i="10" s="1"/>
  <c r="BE1587" i="10"/>
  <c r="BI1586" i="10"/>
  <c r="BE1586" i="10" s="1"/>
  <c r="BH1586" i="10"/>
  <c r="BD1586" i="10" s="1"/>
  <c r="BD1587" i="10"/>
  <c r="BA1586" i="10"/>
  <c r="AZ1586" i="10"/>
  <c r="BG1586" i="10"/>
  <c r="BC1586" i="10" s="1"/>
  <c r="BC1587" i="10"/>
  <c r="AT1570" i="10"/>
  <c r="D5" i="16" s="1"/>
  <c r="AV1570" i="10"/>
  <c r="BA1587" i="10"/>
  <c r="AZ1587" i="10"/>
  <c r="AX1589" i="10"/>
  <c r="AU1588" i="10"/>
  <c r="AY1588" i="10" s="1"/>
  <c r="BC1579" i="10"/>
  <c r="BG1578" i="10"/>
  <c r="BC1578" i="10" s="1"/>
  <c r="BB1578" i="10"/>
  <c r="BF1579" i="10"/>
  <c r="BB1579" i="10" s="1"/>
  <c r="BE1579" i="10"/>
  <c r="BI1578" i="10"/>
  <c r="BE1578" i="10" s="1"/>
  <c r="BH1578" i="10"/>
  <c r="BD1578" i="10" s="1"/>
  <c r="BD1579" i="10"/>
  <c r="BO1578" i="10"/>
  <c r="BK1578" i="10" s="1"/>
  <c r="BK1579" i="10"/>
  <c r="BP1578" i="10"/>
  <c r="BL1578" i="10" s="1"/>
  <c r="BL1579" i="10"/>
  <c r="BQ1578" i="10"/>
  <c r="BM1578" i="10" s="1"/>
  <c r="BM1579" i="10"/>
  <c r="BN1579" i="10"/>
  <c r="BJ1579" i="10" s="1"/>
  <c r="BJ1578" i="10"/>
  <c r="AT1583" i="10"/>
  <c r="AV1583" i="10"/>
  <c r="Y1582" i="10"/>
  <c r="Y1595" i="10"/>
  <c r="AT1594" i="10"/>
  <c r="AV1594" i="10"/>
  <c r="AZ1579" i="10"/>
  <c r="BA1579" i="10"/>
  <c r="AU1591" i="10"/>
  <c r="AY1591" i="10" s="1"/>
  <c r="BA1591" i="10" s="1"/>
  <c r="BI1591" i="10"/>
  <c r="AX1590" i="10"/>
  <c r="BG1591" i="10"/>
  <c r="BH1591" i="10"/>
  <c r="BF1590" i="10"/>
  <c r="AW1591" i="10"/>
  <c r="BO1591" i="10"/>
  <c r="BQ1591" i="10"/>
  <c r="BN1590" i="10"/>
  <c r="BP1591" i="10"/>
  <c r="S1591" i="10"/>
  <c r="U1591" i="10"/>
  <c r="R1570" i="10"/>
  <c r="T1570" i="10"/>
  <c r="AW1575" i="10"/>
  <c r="AU1575" i="10"/>
  <c r="AY1575" i="10" s="1"/>
  <c r="AX1574" i="10"/>
  <c r="S1575" i="10"/>
  <c r="U1575" i="10"/>
  <c r="A11" i="16"/>
  <c r="G11" i="16"/>
  <c r="N12" i="16"/>
  <c r="O12" i="16"/>
  <c r="M12" i="16"/>
  <c r="L12" i="16"/>
  <c r="AO1574" i="10"/>
  <c r="AM1574" i="10"/>
  <c r="AL1631" i="10" l="1"/>
  <c r="AK1661" i="10" s="1"/>
  <c r="AL1652" i="10"/>
  <c r="Y1653" i="10"/>
  <c r="AT1652" i="10"/>
  <c r="AV1652" i="10"/>
  <c r="Y1660" i="10"/>
  <c r="Y1664" i="10"/>
  <c r="AW1657" i="10"/>
  <c r="AX1656" i="10"/>
  <c r="AU1657" i="10"/>
  <c r="AY1657" i="10" s="1"/>
  <c r="S1665" i="10"/>
  <c r="U1665" i="10"/>
  <c r="AL1630" i="10"/>
  <c r="AK1650" i="10" s="1"/>
  <c r="Y1631" i="10"/>
  <c r="AT1630" i="10"/>
  <c r="S1623" i="10"/>
  <c r="Y1637" i="10"/>
  <c r="AV1636" i="10"/>
  <c r="AW1637" i="10" s="1"/>
  <c r="AT1636" i="10"/>
  <c r="AU1637" i="10" s="1"/>
  <c r="AY1637" i="10" s="1"/>
  <c r="BN1640" i="10"/>
  <c r="AW1641" i="10"/>
  <c r="BO1641" i="10"/>
  <c r="BQ1641" i="10"/>
  <c r="BP1641" i="10"/>
  <c r="BI1641" i="10"/>
  <c r="BF1640" i="10"/>
  <c r="AU1641" i="10"/>
  <c r="AY1641" i="10" s="1"/>
  <c r="BH1641" i="10"/>
  <c r="AX1640" i="10"/>
  <c r="BG1641" i="10"/>
  <c r="S1641" i="10"/>
  <c r="U1641" i="10"/>
  <c r="BA1607" i="10"/>
  <c r="AQ1624" i="10"/>
  <c r="AN1624" i="10"/>
  <c r="AM1660" i="10" s="1"/>
  <c r="X1625" i="10"/>
  <c r="Y1632" i="10"/>
  <c r="AQ1626" i="10"/>
  <c r="X1627" i="10"/>
  <c r="AN1626" i="10"/>
  <c r="AP1633" i="10"/>
  <c r="AN1623" i="10"/>
  <c r="AM1651" i="10" s="1"/>
  <c r="AP1623" i="10"/>
  <c r="S1637" i="10"/>
  <c r="U1637" i="10"/>
  <c r="BQ1631" i="10"/>
  <c r="AW1631" i="10"/>
  <c r="BP1631" i="10"/>
  <c r="BO1631" i="10"/>
  <c r="BN1630" i="10"/>
  <c r="S1631" i="10"/>
  <c r="U1631" i="10"/>
  <c r="S1634" i="10"/>
  <c r="U1634" i="10"/>
  <c r="BG1631" i="10"/>
  <c r="AU1630" i="10"/>
  <c r="AY1630" i="10" s="1"/>
  <c r="AX1631" i="10"/>
  <c r="S1630" i="10"/>
  <c r="U1630" i="10"/>
  <c r="AZ1620" i="10"/>
  <c r="AW1615" i="10"/>
  <c r="BO1620" i="10"/>
  <c r="BK1620" i="10" s="1"/>
  <c r="BK1621" i="10"/>
  <c r="BQ1606" i="10"/>
  <c r="BM1606" i="10" s="1"/>
  <c r="BM1607" i="10"/>
  <c r="S1615" i="10"/>
  <c r="U1615" i="10"/>
  <c r="BJ1620" i="10"/>
  <c r="BN1621" i="10"/>
  <c r="BJ1621" i="10" s="1"/>
  <c r="BN1603" i="10"/>
  <c r="BJ1603" i="10" s="1"/>
  <c r="BJ1602" i="10"/>
  <c r="S1617" i="10"/>
  <c r="U1617" i="10"/>
  <c r="BQ1602" i="10"/>
  <c r="BM1602" i="10" s="1"/>
  <c r="BM1603" i="10"/>
  <c r="AZ1603" i="10"/>
  <c r="BA1603" i="10"/>
  <c r="BP1602" i="10"/>
  <c r="BL1602" i="10" s="1"/>
  <c r="BL1603" i="10"/>
  <c r="BG1602" i="10"/>
  <c r="BC1602" i="10" s="1"/>
  <c r="BC1603" i="10"/>
  <c r="BO1602" i="10"/>
  <c r="BK1602" i="10" s="1"/>
  <c r="BK1603" i="10"/>
  <c r="BF1603" i="10"/>
  <c r="BB1603" i="10" s="1"/>
  <c r="BB1602" i="10"/>
  <c r="BH1602" i="10"/>
  <c r="BD1602" i="10" s="1"/>
  <c r="BD1603" i="10"/>
  <c r="AT1615" i="10"/>
  <c r="BG1615" i="10" s="1"/>
  <c r="AV1615" i="10"/>
  <c r="AW1614" i="10" s="1"/>
  <c r="Y1614" i="10"/>
  <c r="AZ1602" i="10"/>
  <c r="BA1602" i="10"/>
  <c r="Y1612" i="10"/>
  <c r="AV1613" i="10"/>
  <c r="AW1612" i="10" s="1"/>
  <c r="AT1613" i="10"/>
  <c r="AM1636" i="10"/>
  <c r="AN1636" i="10" s="1"/>
  <c r="AP1620" i="10"/>
  <c r="BI1602" i="10"/>
  <c r="BE1602" i="10" s="1"/>
  <c r="BE1603" i="10"/>
  <c r="BB1620" i="10"/>
  <c r="BF1621" i="10"/>
  <c r="BB1621" i="10" s="1"/>
  <c r="BI1620" i="10"/>
  <c r="BE1620" i="10" s="1"/>
  <c r="BE1621" i="10"/>
  <c r="BA1621" i="10"/>
  <c r="AZ1621" i="10"/>
  <c r="BC1607" i="10"/>
  <c r="BG1606" i="10"/>
  <c r="BC1606" i="10" s="1"/>
  <c r="BH1620" i="10"/>
  <c r="BD1620" i="10" s="1"/>
  <c r="BD1621" i="10"/>
  <c r="BB1606" i="10"/>
  <c r="BF1607" i="10"/>
  <c r="BB1607" i="10" s="1"/>
  <c r="BG1620" i="10"/>
  <c r="BC1620" i="10" s="1"/>
  <c r="BC1621" i="10"/>
  <c r="BA1620" i="10"/>
  <c r="BL1607" i="10"/>
  <c r="BP1606" i="10"/>
  <c r="BL1606" i="10" s="1"/>
  <c r="BD1607" i="10"/>
  <c r="BH1606" i="10"/>
  <c r="BD1606" i="10" s="1"/>
  <c r="BP1620" i="10"/>
  <c r="BL1620" i="10" s="1"/>
  <c r="BL1621" i="10"/>
  <c r="BJ1606" i="10"/>
  <c r="BN1607" i="10"/>
  <c r="BJ1607" i="10" s="1"/>
  <c r="BE1607" i="10"/>
  <c r="BI1606" i="10"/>
  <c r="BE1606" i="10" s="1"/>
  <c r="AX1614" i="10"/>
  <c r="AU1615" i="10"/>
  <c r="AY1615" i="10" s="1"/>
  <c r="D23" i="16"/>
  <c r="BM1621" i="10"/>
  <c r="BQ1620" i="10"/>
  <c r="BM1620" i="10" s="1"/>
  <c r="BK1607" i="10"/>
  <c r="BO1606" i="10"/>
  <c r="BK1606" i="10" s="1"/>
  <c r="AZ1606" i="10"/>
  <c r="BA1606" i="10"/>
  <c r="BD1601" i="10"/>
  <c r="BF1601" i="10"/>
  <c r="BB1601" i="10" s="1"/>
  <c r="BQ1600" i="10"/>
  <c r="BM1600" i="10" s="1"/>
  <c r="BN1601" i="10"/>
  <c r="BJ1601" i="10" s="1"/>
  <c r="BG1600" i="10"/>
  <c r="BC1600" i="10" s="1"/>
  <c r="BP1600" i="10"/>
  <c r="BL1600" i="10" s="1"/>
  <c r="BA1600" i="10"/>
  <c r="BO1600" i="10"/>
  <c r="BK1600" i="10" s="1"/>
  <c r="AM1632" i="10"/>
  <c r="AP1600" i="10"/>
  <c r="BA1601" i="10"/>
  <c r="AZ1601" i="10"/>
  <c r="R1599" i="10"/>
  <c r="T1599" i="10"/>
  <c r="AT1599" i="10"/>
  <c r="D34" i="16" s="1"/>
  <c r="A34" i="16" s="1"/>
  <c r="AV1599" i="10"/>
  <c r="AW1598" i="10" s="1"/>
  <c r="D39" i="16"/>
  <c r="G39" i="16" s="1"/>
  <c r="G5" i="16"/>
  <c r="A5" i="16"/>
  <c r="AP1574" i="10"/>
  <c r="X1585" i="10"/>
  <c r="T1585" i="10" s="1"/>
  <c r="AZ1591" i="10"/>
  <c r="AW1582" i="10"/>
  <c r="BN1582" i="10"/>
  <c r="BP1583" i="10"/>
  <c r="BQ1583" i="10"/>
  <c r="BO1583" i="10"/>
  <c r="BF1589" i="10"/>
  <c r="BB1589" i="10" s="1"/>
  <c r="BB1588" i="10"/>
  <c r="BD1589" i="10"/>
  <c r="BH1588" i="10"/>
  <c r="BD1588" i="10" s="1"/>
  <c r="BF1582" i="10"/>
  <c r="BG1583" i="10"/>
  <c r="BH1583" i="10"/>
  <c r="BI1583" i="10"/>
  <c r="BE1589" i="10"/>
  <c r="BI1588" i="10"/>
  <c r="BE1588" i="10" s="1"/>
  <c r="BQ1588" i="10"/>
  <c r="BM1588" i="10" s="1"/>
  <c r="BM1589" i="10"/>
  <c r="BA1588" i="10"/>
  <c r="AZ1588" i="10"/>
  <c r="BL1589" i="10"/>
  <c r="BP1588" i="10"/>
  <c r="BL1588" i="10" s="1"/>
  <c r="AZ1589" i="10"/>
  <c r="BA1589" i="10"/>
  <c r="BO1588" i="10"/>
  <c r="BK1588" i="10" s="1"/>
  <c r="BK1589" i="10"/>
  <c r="BJ1588" i="10"/>
  <c r="BN1589" i="10"/>
  <c r="BJ1589" i="10" s="1"/>
  <c r="BG1588" i="10"/>
  <c r="BC1588" i="10" s="1"/>
  <c r="BC1589" i="10"/>
  <c r="AW1571" i="10"/>
  <c r="AU1571" i="10"/>
  <c r="AY1571" i="10" s="1"/>
  <c r="AX1570" i="10"/>
  <c r="X1575" i="10"/>
  <c r="AQ1574" i="10"/>
  <c r="AP1575" i="10"/>
  <c r="AN1575" i="10"/>
  <c r="AM1617" i="10" s="1"/>
  <c r="AP1591" i="10"/>
  <c r="BL1591" i="10"/>
  <c r="BP1590" i="10"/>
  <c r="BL1590" i="10" s="1"/>
  <c r="BN1591" i="10"/>
  <c r="BJ1591" i="10" s="1"/>
  <c r="BJ1590" i="10"/>
  <c r="BM1591" i="10"/>
  <c r="BQ1590" i="10"/>
  <c r="BM1590" i="10" s="1"/>
  <c r="BK1591" i="10"/>
  <c r="BO1590" i="10"/>
  <c r="BK1590" i="10" s="1"/>
  <c r="BF1591" i="10"/>
  <c r="BB1591" i="10" s="1"/>
  <c r="BB1590" i="10"/>
  <c r="BH1590" i="10"/>
  <c r="BD1590" i="10" s="1"/>
  <c r="BD1591" i="10"/>
  <c r="BC1591" i="10"/>
  <c r="BG1590" i="10"/>
  <c r="BC1590" i="10" s="1"/>
  <c r="AZ1590" i="10"/>
  <c r="BA1590" i="10"/>
  <c r="BI1590" i="10"/>
  <c r="BE1590" i="10" s="1"/>
  <c r="BE1591" i="10"/>
  <c r="BP1595" i="10"/>
  <c r="BQ1595" i="10"/>
  <c r="AW1595" i="10"/>
  <c r="BN1594" i="10"/>
  <c r="BO1595" i="10"/>
  <c r="BH1595" i="10"/>
  <c r="BG1595" i="10"/>
  <c r="BI1595" i="10"/>
  <c r="AX1594" i="10"/>
  <c r="BF1594" i="10"/>
  <c r="AU1595" i="10"/>
  <c r="AY1595" i="10" s="1"/>
  <c r="BA1595" i="10" s="1"/>
  <c r="S1595" i="10"/>
  <c r="U1595" i="10"/>
  <c r="U1582" i="10"/>
  <c r="S1582" i="10"/>
  <c r="AX1583" i="10"/>
  <c r="AU1582" i="10"/>
  <c r="AY1582" i="10" s="1"/>
  <c r="AK1571" i="10"/>
  <c r="T12" i="16"/>
  <c r="AV10" i="10" s="1"/>
  <c r="N11" i="16"/>
  <c r="M11" i="16"/>
  <c r="O11" i="16"/>
  <c r="L11" i="16"/>
  <c r="S1660" i="10" l="1"/>
  <c r="U1660" i="10"/>
  <c r="BN1652" i="10"/>
  <c r="AW1653" i="10"/>
  <c r="BO1653" i="10"/>
  <c r="BP1653" i="10"/>
  <c r="BQ1653" i="10"/>
  <c r="BH1653" i="10"/>
  <c r="BI1653" i="10"/>
  <c r="BF1652" i="10"/>
  <c r="AX1652" i="10"/>
  <c r="AU1653" i="10"/>
  <c r="AY1653" i="10" s="1"/>
  <c r="BG1653" i="10"/>
  <c r="S1653" i="10"/>
  <c r="U1653" i="10"/>
  <c r="X1650" i="10"/>
  <c r="AQ1651" i="10"/>
  <c r="Y1651" i="10"/>
  <c r="AT1650" i="10"/>
  <c r="AV1650" i="10"/>
  <c r="X1661" i="10"/>
  <c r="AQ1660" i="10"/>
  <c r="S1664" i="10"/>
  <c r="U1664" i="10"/>
  <c r="BF1630" i="10"/>
  <c r="BF1631" i="10" s="1"/>
  <c r="BB1631" i="10" s="1"/>
  <c r="BI1631" i="10"/>
  <c r="BI1630" i="10" s="1"/>
  <c r="BE1630" i="10" s="1"/>
  <c r="BH1631" i="10"/>
  <c r="BH1630" i="10" s="1"/>
  <c r="BD1630" i="10" s="1"/>
  <c r="AU1631" i="10"/>
  <c r="AY1631" i="10" s="1"/>
  <c r="AZ1631" i="10" s="1"/>
  <c r="AX1630" i="10"/>
  <c r="AZ1630" i="10" s="1"/>
  <c r="AO1617" i="10"/>
  <c r="AP1617" i="10" s="1"/>
  <c r="AO1647" i="10"/>
  <c r="AP1647" i="10" s="1"/>
  <c r="AX1636" i="10"/>
  <c r="AN1641" i="10"/>
  <c r="AP1641" i="10"/>
  <c r="BG1640" i="10"/>
  <c r="BC1640" i="10" s="1"/>
  <c r="BC1641" i="10"/>
  <c r="BA1640" i="10"/>
  <c r="AZ1640" i="10"/>
  <c r="BH1640" i="10"/>
  <c r="BD1640" i="10" s="1"/>
  <c r="BD1641" i="10"/>
  <c r="AZ1641" i="10"/>
  <c r="BA1641" i="10"/>
  <c r="BF1641" i="10"/>
  <c r="BB1641" i="10" s="1"/>
  <c r="BB1640" i="10"/>
  <c r="BI1640" i="10"/>
  <c r="BE1640" i="10" s="1"/>
  <c r="BE1641" i="10"/>
  <c r="BP1640" i="10"/>
  <c r="BL1640" i="10" s="1"/>
  <c r="BL1641" i="10"/>
  <c r="BQ1640" i="10"/>
  <c r="BM1640" i="10" s="1"/>
  <c r="BM1641" i="10"/>
  <c r="BO1640" i="10"/>
  <c r="BK1640" i="10" s="1"/>
  <c r="BK1641" i="10"/>
  <c r="BJ1640" i="10"/>
  <c r="BN1641" i="10"/>
  <c r="BJ1641" i="10" s="1"/>
  <c r="BA1630" i="10"/>
  <c r="X1633" i="10"/>
  <c r="AQ1632" i="10"/>
  <c r="X1637" i="10"/>
  <c r="AQ1636" i="10"/>
  <c r="AP1630" i="10"/>
  <c r="AO1650" i="10" s="1"/>
  <c r="AN1630" i="10"/>
  <c r="AM1650" i="10" s="1"/>
  <c r="BG1630" i="10"/>
  <c r="BC1630" i="10" s="1"/>
  <c r="BC1631" i="10"/>
  <c r="AP1631" i="10"/>
  <c r="AO1661" i="10" s="1"/>
  <c r="AN1631" i="10"/>
  <c r="AM1661" i="10" s="1"/>
  <c r="BN1631" i="10"/>
  <c r="BJ1631" i="10" s="1"/>
  <c r="BJ1630" i="10"/>
  <c r="BO1630" i="10"/>
  <c r="BK1630" i="10" s="1"/>
  <c r="BK1631" i="10"/>
  <c r="BP1630" i="10"/>
  <c r="BL1630" i="10" s="1"/>
  <c r="BL1631" i="10"/>
  <c r="BQ1630" i="10"/>
  <c r="BM1630" i="10" s="1"/>
  <c r="BM1631" i="10"/>
  <c r="AP1637" i="10"/>
  <c r="AN1637" i="10"/>
  <c r="AV1627" i="10"/>
  <c r="T1627" i="10"/>
  <c r="R1627" i="10"/>
  <c r="AL1627" i="10" s="1"/>
  <c r="AT1627" i="10"/>
  <c r="S1632" i="10"/>
  <c r="U1632" i="10"/>
  <c r="T1625" i="10"/>
  <c r="AV1625" i="10"/>
  <c r="AW1624" i="10" s="1"/>
  <c r="AT1625" i="10"/>
  <c r="R1625" i="10"/>
  <c r="AL1625" i="10" s="1"/>
  <c r="AK1655" i="10" s="1"/>
  <c r="BI1615" i="10"/>
  <c r="BE1615" i="10" s="1"/>
  <c r="BF1614" i="10"/>
  <c r="BB1614" i="10" s="1"/>
  <c r="BH1615" i="10"/>
  <c r="BH1614" i="10" s="1"/>
  <c r="BD1614" i="10" s="1"/>
  <c r="BQ1615" i="10"/>
  <c r="BQ1614" i="10" s="1"/>
  <c r="BM1614" i="10" s="1"/>
  <c r="BP1615" i="10"/>
  <c r="BL1615" i="10" s="1"/>
  <c r="BO1615" i="10"/>
  <c r="BK1615" i="10" s="1"/>
  <c r="BN1614" i="10"/>
  <c r="BJ1614" i="10" s="1"/>
  <c r="AN1617" i="10"/>
  <c r="AM1647" i="10" s="1"/>
  <c r="AQ1617" i="10"/>
  <c r="X1616" i="10"/>
  <c r="A23" i="16"/>
  <c r="G23" i="16"/>
  <c r="BC1615" i="10"/>
  <c r="BG1614" i="10"/>
  <c r="BC1614" i="10" s="1"/>
  <c r="AX1613" i="10"/>
  <c r="AU1612" i="10"/>
  <c r="AY1612" i="10" s="1"/>
  <c r="S1612" i="10"/>
  <c r="U1612" i="10"/>
  <c r="U1614" i="10"/>
  <c r="S1614" i="10"/>
  <c r="AX1615" i="10"/>
  <c r="BA1615" i="10" s="1"/>
  <c r="AU1614" i="10"/>
  <c r="AY1614" i="10" s="1"/>
  <c r="AZ1614" i="10" s="1"/>
  <c r="AP1615" i="10"/>
  <c r="AO1652" i="10" s="1"/>
  <c r="AP1652" i="10" s="1"/>
  <c r="G34" i="16"/>
  <c r="O34" i="16" s="1"/>
  <c r="AU1598" i="10"/>
  <c r="AY1598" i="10" s="1"/>
  <c r="AX1599" i="10"/>
  <c r="A39" i="16"/>
  <c r="N5" i="16"/>
  <c r="L5" i="16"/>
  <c r="M5" i="16"/>
  <c r="O5" i="16"/>
  <c r="AT1585" i="10"/>
  <c r="BH1585" i="10" s="1"/>
  <c r="AV1585" i="10"/>
  <c r="AW1584" i="10" s="1"/>
  <c r="R1585" i="10"/>
  <c r="AL1585" i="10" s="1"/>
  <c r="AK1598" i="10" s="1"/>
  <c r="BG1582" i="10"/>
  <c r="BC1582" i="10" s="1"/>
  <c r="BC1583" i="10"/>
  <c r="O39" i="16"/>
  <c r="N39" i="16"/>
  <c r="M39" i="16"/>
  <c r="L39" i="16"/>
  <c r="BB1582" i="10"/>
  <c r="BF1583" i="10"/>
  <c r="BB1583" i="10" s="1"/>
  <c r="AZ1595" i="10"/>
  <c r="BO1582" i="10"/>
  <c r="BK1582" i="10" s="1"/>
  <c r="BK1583" i="10"/>
  <c r="BM1583" i="10"/>
  <c r="BQ1582" i="10"/>
  <c r="BM1582" i="10" s="1"/>
  <c r="AZ1582" i="10"/>
  <c r="BA1582" i="10"/>
  <c r="BP1582" i="10"/>
  <c r="BL1582" i="10" s="1"/>
  <c r="BL1583" i="10"/>
  <c r="BI1582" i="10"/>
  <c r="BE1582" i="10" s="1"/>
  <c r="BE1583" i="10"/>
  <c r="BN1583" i="10"/>
  <c r="BJ1583" i="10" s="1"/>
  <c r="BJ1582" i="10"/>
  <c r="BH1582" i="10"/>
  <c r="BD1582" i="10" s="1"/>
  <c r="BD1583" i="10"/>
  <c r="AV1575" i="10"/>
  <c r="AT1575" i="10"/>
  <c r="D10" i="16" s="1"/>
  <c r="Y1570" i="10"/>
  <c r="AT1571" i="10"/>
  <c r="AV1571" i="10"/>
  <c r="AZ1583" i="10"/>
  <c r="BA1583" i="10"/>
  <c r="AP1582" i="10"/>
  <c r="AN1595" i="10"/>
  <c r="AM1613" i="10" s="1"/>
  <c r="AP1595" i="10"/>
  <c r="BF1595" i="10"/>
  <c r="BB1595" i="10" s="1"/>
  <c r="BB1594" i="10"/>
  <c r="BA1594" i="10"/>
  <c r="AZ1594" i="10"/>
  <c r="BE1595" i="10"/>
  <c r="BI1594" i="10"/>
  <c r="BE1594" i="10" s="1"/>
  <c r="BG1594" i="10"/>
  <c r="BC1594" i="10" s="1"/>
  <c r="BC1595" i="10"/>
  <c r="BH1594" i="10"/>
  <c r="BD1594" i="10" s="1"/>
  <c r="BD1595" i="10"/>
  <c r="BK1595" i="10"/>
  <c r="BO1594" i="10"/>
  <c r="BK1594" i="10" s="1"/>
  <c r="BN1595" i="10"/>
  <c r="BJ1595" i="10" s="1"/>
  <c r="BJ1594" i="10"/>
  <c r="BM1595" i="10"/>
  <c r="BQ1594" i="10"/>
  <c r="BM1594" i="10" s="1"/>
  <c r="BP1594" i="10"/>
  <c r="BL1594" i="10" s="1"/>
  <c r="BL1595" i="10"/>
  <c r="T1575" i="10"/>
  <c r="R1575" i="10"/>
  <c r="T11" i="16"/>
  <c r="AV9" i="10" s="1"/>
  <c r="BQ10" i="10" s="1"/>
  <c r="BQ9" i="10" s="1"/>
  <c r="BM9" i="10" s="1"/>
  <c r="AA11" i="16" s="1"/>
  <c r="X1651" i="10" l="1"/>
  <c r="AQ1650" i="10"/>
  <c r="R1661" i="10"/>
  <c r="AL1661" i="10" s="1"/>
  <c r="T1661" i="10"/>
  <c r="AV1661" i="10"/>
  <c r="AW1660" i="10" s="1"/>
  <c r="AT1661" i="10"/>
  <c r="BA1652" i="10"/>
  <c r="AZ1652" i="10"/>
  <c r="BB1652" i="10"/>
  <c r="BF1653" i="10"/>
  <c r="BB1653" i="10" s="1"/>
  <c r="AW1651" i="10"/>
  <c r="AU1651" i="10"/>
  <c r="AY1651" i="10" s="1"/>
  <c r="AX1650" i="10"/>
  <c r="BI1652" i="10"/>
  <c r="BE1652" i="10" s="1"/>
  <c r="BE1653" i="10"/>
  <c r="BH1652" i="10"/>
  <c r="BD1652" i="10" s="1"/>
  <c r="BD1653" i="10"/>
  <c r="X1660" i="10"/>
  <c r="AQ1661" i="10"/>
  <c r="T1650" i="10"/>
  <c r="R1650" i="10"/>
  <c r="AL1650" i="10" s="1"/>
  <c r="BQ1652" i="10"/>
  <c r="BM1652" i="10" s="1"/>
  <c r="BM1653" i="10"/>
  <c r="BP1652" i="10"/>
  <c r="BL1652" i="10" s="1"/>
  <c r="BL1653" i="10"/>
  <c r="BO1652" i="10"/>
  <c r="BK1652" i="10" s="1"/>
  <c r="BK1653" i="10"/>
  <c r="AN1653" i="10"/>
  <c r="AP1653" i="10"/>
  <c r="BB1630" i="10"/>
  <c r="AP1664" i="10"/>
  <c r="AV1655" i="10"/>
  <c r="AW1654" i="10" s="1"/>
  <c r="Y1654" i="10"/>
  <c r="AT1655" i="10"/>
  <c r="AL1655" i="10"/>
  <c r="BN1653" i="10"/>
  <c r="BJ1653" i="10" s="1"/>
  <c r="BJ1652" i="10"/>
  <c r="S1651" i="10"/>
  <c r="U1651" i="10"/>
  <c r="BD1631" i="10"/>
  <c r="BC1653" i="10"/>
  <c r="BG1652" i="10"/>
  <c r="BC1652" i="10" s="1"/>
  <c r="AZ1653" i="10"/>
  <c r="BA1653" i="10"/>
  <c r="AN1660" i="10"/>
  <c r="AP1660" i="10"/>
  <c r="BA1631" i="10"/>
  <c r="BE1631" i="10"/>
  <c r="AQ1647" i="10"/>
  <c r="X1646" i="10"/>
  <c r="AN1647" i="10"/>
  <c r="BF1626" i="10"/>
  <c r="BH1627" i="10"/>
  <c r="BG1627" i="10"/>
  <c r="AT1637" i="10"/>
  <c r="AV1637" i="10"/>
  <c r="AW1626" i="10"/>
  <c r="BN1626" i="10"/>
  <c r="BP1627" i="10"/>
  <c r="BQ1627" i="10"/>
  <c r="BO1627" i="10"/>
  <c r="AT1633" i="10"/>
  <c r="AV1633" i="10"/>
  <c r="AW1632" i="10" s="1"/>
  <c r="AX1625" i="10"/>
  <c r="AU1624" i="10"/>
  <c r="AY1624" i="10" s="1"/>
  <c r="AP1632" i="10"/>
  <c r="AN1632" i="10"/>
  <c r="BI1627" i="10"/>
  <c r="AX1627" i="10"/>
  <c r="AU1626" i="10"/>
  <c r="AY1626" i="10" s="1"/>
  <c r="T1637" i="10"/>
  <c r="R1637" i="10"/>
  <c r="AL1637" i="10" s="1"/>
  <c r="T1633" i="10"/>
  <c r="R1633" i="10"/>
  <c r="BA1614" i="10"/>
  <c r="BM1615" i="10"/>
  <c r="BD1615" i="10"/>
  <c r="BO1614" i="10"/>
  <c r="BK1614" i="10" s="1"/>
  <c r="BF1615" i="10"/>
  <c r="BB1615" i="10" s="1"/>
  <c r="BI1614" i="10"/>
  <c r="BE1614" i="10" s="1"/>
  <c r="BN1615" i="10"/>
  <c r="BJ1615" i="10" s="1"/>
  <c r="BP1614" i="10"/>
  <c r="BL1614" i="10" s="1"/>
  <c r="AZ1615" i="10"/>
  <c r="X1612" i="10"/>
  <c r="AQ1613" i="10"/>
  <c r="AN1613" i="10"/>
  <c r="AM1656" i="10" s="1"/>
  <c r="AN1614" i="10"/>
  <c r="AM1633" i="10" s="1"/>
  <c r="AN1633" i="10" s="1"/>
  <c r="AM1659" i="10" s="1"/>
  <c r="AP1614" i="10"/>
  <c r="AO1659" i="10" s="1"/>
  <c r="AP1659" i="10" s="1"/>
  <c r="AP1612" i="10"/>
  <c r="AO1642" i="10" s="1"/>
  <c r="AP1642" i="10" s="1"/>
  <c r="N23" i="16"/>
  <c r="M23" i="16"/>
  <c r="L23" i="16"/>
  <c r="O23" i="16"/>
  <c r="AV1616" i="10"/>
  <c r="R1616" i="10"/>
  <c r="T1616" i="10"/>
  <c r="AT1616" i="10"/>
  <c r="D19" i="16" s="1"/>
  <c r="BQ1585" i="10"/>
  <c r="BQ1584" i="10" s="1"/>
  <c r="BM1584" i="10" s="1"/>
  <c r="AL1575" i="10"/>
  <c r="AK1617" i="10" s="1"/>
  <c r="BN1584" i="10"/>
  <c r="BJ1584" i="10" s="1"/>
  <c r="L34" i="16"/>
  <c r="N34" i="16"/>
  <c r="M34" i="16"/>
  <c r="BO1585" i="10"/>
  <c r="BO1584" i="10" s="1"/>
  <c r="BK1584" i="10" s="1"/>
  <c r="Y1599" i="10"/>
  <c r="AT1598" i="10"/>
  <c r="AV1598" i="10"/>
  <c r="AL1598" i="10"/>
  <c r="AK1624" i="10" s="1"/>
  <c r="T5" i="16"/>
  <c r="AV3" i="10" s="1"/>
  <c r="G10" i="16"/>
  <c r="A10" i="16"/>
  <c r="BF1584" i="10"/>
  <c r="BF1585" i="10" s="1"/>
  <c r="BB1585" i="10" s="1"/>
  <c r="AU1584" i="10"/>
  <c r="AY1584" i="10" s="1"/>
  <c r="BA1584" i="10" s="1"/>
  <c r="BG1585" i="10"/>
  <c r="BC1585" i="10" s="1"/>
  <c r="BI1585" i="10"/>
  <c r="BI1584" i="10" s="1"/>
  <c r="BE1584" i="10" s="1"/>
  <c r="AX1585" i="10"/>
  <c r="BA1585" i="10" s="1"/>
  <c r="BP1585" i="10"/>
  <c r="BL1585" i="10" s="1"/>
  <c r="AW1570" i="10"/>
  <c r="BQ1571" i="10"/>
  <c r="BO1571" i="10"/>
  <c r="BN1570" i="10"/>
  <c r="BP1571" i="10"/>
  <c r="D16" i="16"/>
  <c r="BI1571" i="10"/>
  <c r="BH1571" i="10"/>
  <c r="BF1570" i="10"/>
  <c r="BG1571" i="10"/>
  <c r="BD1585" i="10"/>
  <c r="BH1584" i="10"/>
  <c r="BD1584" i="10" s="1"/>
  <c r="T39" i="16"/>
  <c r="AV37" i="10" s="1"/>
  <c r="AX1575" i="10"/>
  <c r="AU1574" i="10"/>
  <c r="AY1574" i="10" s="1"/>
  <c r="BF1574" i="10"/>
  <c r="BI1575" i="10"/>
  <c r="BH1575" i="10"/>
  <c r="BG1575" i="10"/>
  <c r="AW1574" i="10"/>
  <c r="BQ1575" i="10"/>
  <c r="BN1574" i="10"/>
  <c r="BP1575" i="10"/>
  <c r="BO1575" i="10"/>
  <c r="AX1571" i="10"/>
  <c r="AU1570" i="10"/>
  <c r="AY1570" i="10" s="1"/>
  <c r="S1570" i="10"/>
  <c r="U1570" i="10"/>
  <c r="BO10" i="10"/>
  <c r="BO9" i="10" s="1"/>
  <c r="BK9" i="10" s="1"/>
  <c r="Y11" i="16" s="1"/>
  <c r="BP10" i="10"/>
  <c r="BL10" i="10" s="1"/>
  <c r="Z12" i="16" s="1"/>
  <c r="BN9" i="10"/>
  <c r="BN10" i="10" s="1"/>
  <c r="BJ10" i="10" s="1"/>
  <c r="X12" i="16" s="1"/>
  <c r="BM10" i="10"/>
  <c r="AA12" i="16" s="1"/>
  <c r="D8" i="16"/>
  <c r="AL1633" i="10" l="1"/>
  <c r="AK1659" i="10" s="1"/>
  <c r="AX1655" i="10"/>
  <c r="AU1654" i="10"/>
  <c r="AY1654" i="10" s="1"/>
  <c r="S1654" i="10"/>
  <c r="U1654" i="10"/>
  <c r="AX1661" i="10"/>
  <c r="AU1660" i="10"/>
  <c r="AY1660" i="10" s="1"/>
  <c r="X1658" i="10"/>
  <c r="AQ1659" i="10"/>
  <c r="AN1659" i="10"/>
  <c r="R1660" i="10"/>
  <c r="T1660" i="10"/>
  <c r="X1657" i="10"/>
  <c r="AQ1656" i="10"/>
  <c r="AN1656" i="10"/>
  <c r="AV1659" i="10"/>
  <c r="AW1658" i="10" s="1"/>
  <c r="Y1658" i="10"/>
  <c r="AT1659" i="10"/>
  <c r="AL1659" i="10"/>
  <c r="R1651" i="10"/>
  <c r="T1651" i="10"/>
  <c r="AN1651" i="10"/>
  <c r="AP1651" i="10"/>
  <c r="D28" i="16"/>
  <c r="AT1646" i="10"/>
  <c r="AV1646" i="10"/>
  <c r="R1646" i="10"/>
  <c r="AL1646" i="10" s="1"/>
  <c r="AK1662" i="10" s="1"/>
  <c r="T1646" i="10"/>
  <c r="AL1616" i="10"/>
  <c r="AK1634" i="10" s="1"/>
  <c r="AL1634" i="10" s="1"/>
  <c r="AZ1626" i="10"/>
  <c r="BA1626" i="10"/>
  <c r="D36" i="16"/>
  <c r="AX1633" i="10"/>
  <c r="AU1632" i="10"/>
  <c r="AY1632" i="10" s="1"/>
  <c r="BK1627" i="10"/>
  <c r="BO1626" i="10"/>
  <c r="BK1626" i="10" s="1"/>
  <c r="BM1627" i="10"/>
  <c r="BQ1626" i="10"/>
  <c r="BM1626" i="10" s="1"/>
  <c r="BP1626" i="10"/>
  <c r="BL1626" i="10" s="1"/>
  <c r="BL1627" i="10"/>
  <c r="BJ1626" i="10"/>
  <c r="BN1627" i="10"/>
  <c r="BJ1627" i="10" s="1"/>
  <c r="AW1636" i="10"/>
  <c r="BQ1637" i="10"/>
  <c r="BO1637" i="10"/>
  <c r="BP1637" i="10"/>
  <c r="BN1636" i="10"/>
  <c r="AX1637" i="10"/>
  <c r="AU1636" i="10"/>
  <c r="AY1636" i="10" s="1"/>
  <c r="D40" i="16"/>
  <c r="BH1637" i="10"/>
  <c r="BF1636" i="10"/>
  <c r="BI1637" i="10"/>
  <c r="BG1637" i="10"/>
  <c r="BC1627" i="10"/>
  <c r="BG1626" i="10"/>
  <c r="BC1626" i="10" s="1"/>
  <c r="BD1627" i="10"/>
  <c r="BH1626" i="10"/>
  <c r="BD1626" i="10" s="1"/>
  <c r="BF1627" i="10"/>
  <c r="BB1627" i="10" s="1"/>
  <c r="BB1626" i="10"/>
  <c r="AT1624" i="10"/>
  <c r="AV1624" i="10"/>
  <c r="Y1625" i="10"/>
  <c r="AL1624" i="10"/>
  <c r="AK1660" i="10" s="1"/>
  <c r="Y1635" i="10"/>
  <c r="AT1634" i="10"/>
  <c r="AQ1633" i="10"/>
  <c r="X1632" i="10"/>
  <c r="AZ1627" i="10"/>
  <c r="BA1627" i="10"/>
  <c r="BE1627" i="10"/>
  <c r="BI1626" i="10"/>
  <c r="BE1626" i="10" s="1"/>
  <c r="G19" i="16"/>
  <c r="A19" i="16"/>
  <c r="T23" i="16"/>
  <c r="AV21" i="10" s="1"/>
  <c r="Y1616" i="10"/>
  <c r="AV1617" i="10"/>
  <c r="AW1616" i="10" s="1"/>
  <c r="AT1617" i="10"/>
  <c r="BI1617" i="10" s="1"/>
  <c r="AL1617" i="10"/>
  <c r="AK1647" i="10" s="1"/>
  <c r="AX1616" i="10"/>
  <c r="AU1617" i="10"/>
  <c r="AY1617" i="10" s="1"/>
  <c r="AW1617" i="10"/>
  <c r="R1612" i="10"/>
  <c r="AV1612" i="10"/>
  <c r="T1612" i="10"/>
  <c r="AT1612" i="10"/>
  <c r="BM1585" i="10"/>
  <c r="D33" i="16"/>
  <c r="A33" i="16" s="1"/>
  <c r="D7" i="16"/>
  <c r="BN1585" i="10"/>
  <c r="BJ1585" i="10" s="1"/>
  <c r="BK1585" i="10"/>
  <c r="T34" i="16"/>
  <c r="AV32" i="10" s="1"/>
  <c r="AW1599" i="10"/>
  <c r="BN1598" i="10"/>
  <c r="BO1599" i="10"/>
  <c r="BP1599" i="10"/>
  <c r="BQ1599" i="10"/>
  <c r="BH1599" i="10"/>
  <c r="BI1599" i="10"/>
  <c r="BG1599" i="10"/>
  <c r="AU1599" i="10"/>
  <c r="AY1599" i="10" s="1"/>
  <c r="BF1598" i="10"/>
  <c r="AX1598" i="10"/>
  <c r="S1599" i="10"/>
  <c r="U1599" i="10"/>
  <c r="N10" i="16"/>
  <c r="O10" i="16"/>
  <c r="L10" i="16"/>
  <c r="M10" i="16"/>
  <c r="BG1584" i="10"/>
  <c r="BC1584" i="10" s="1"/>
  <c r="AZ1584" i="10"/>
  <c r="BE1585" i="10"/>
  <c r="BP1584" i="10"/>
  <c r="BL1584" i="10" s="1"/>
  <c r="AZ1585" i="10"/>
  <c r="BB1584" i="10"/>
  <c r="A16" i="16"/>
  <c r="G16" i="16"/>
  <c r="BA1575" i="10"/>
  <c r="AZ1575" i="10"/>
  <c r="BA1574" i="10"/>
  <c r="AZ1574" i="10"/>
  <c r="BP1570" i="10"/>
  <c r="BL1570" i="10" s="1"/>
  <c r="BL1571" i="10"/>
  <c r="BE1571" i="10"/>
  <c r="BI1570" i="10"/>
  <c r="BE1570" i="10" s="1"/>
  <c r="BA1570" i="10"/>
  <c r="AZ1570" i="10"/>
  <c r="BN1571" i="10"/>
  <c r="BJ1571" i="10" s="1"/>
  <c r="BJ1570" i="10"/>
  <c r="BK1575" i="10"/>
  <c r="BO1574" i="10"/>
  <c r="BK1574" i="10" s="1"/>
  <c r="BO1570" i="10"/>
  <c r="BK1570" i="10" s="1"/>
  <c r="BK1571" i="10"/>
  <c r="BP1574" i="10"/>
  <c r="BL1574" i="10" s="1"/>
  <c r="BL1575" i="10"/>
  <c r="BG1574" i="10"/>
  <c r="BC1574" i="10" s="1"/>
  <c r="BC1575" i="10"/>
  <c r="BQ1570" i="10"/>
  <c r="BM1570" i="10" s="1"/>
  <c r="BM1571" i="10"/>
  <c r="BN1575" i="10"/>
  <c r="BJ1575" i="10" s="1"/>
  <c r="BJ1574" i="10"/>
  <c r="BH1574" i="10"/>
  <c r="BD1574" i="10" s="1"/>
  <c r="BD1575" i="10"/>
  <c r="BC1571" i="10"/>
  <c r="BG1570" i="10"/>
  <c r="BC1570" i="10" s="1"/>
  <c r="BQ1574" i="10"/>
  <c r="BM1574" i="10" s="1"/>
  <c r="BM1575" i="10"/>
  <c r="BI1574" i="10"/>
  <c r="BE1574" i="10" s="1"/>
  <c r="BE1575" i="10"/>
  <c r="BB1570" i="10"/>
  <c r="BF1571" i="10"/>
  <c r="BB1571" i="10" s="1"/>
  <c r="BB1574" i="10"/>
  <c r="BF1575" i="10"/>
  <c r="BB1575" i="10" s="1"/>
  <c r="BH1570" i="10"/>
  <c r="BD1570" i="10" s="1"/>
  <c r="BD1571" i="10"/>
  <c r="AP1570" i="10"/>
  <c r="AO1610" i="10" s="1"/>
  <c r="AN1570" i="10"/>
  <c r="AM1610" i="10" s="1"/>
  <c r="BA1571" i="10"/>
  <c r="AZ1571" i="10"/>
  <c r="BK10" i="10"/>
  <c r="Y12" i="16" s="1"/>
  <c r="BJ9" i="10"/>
  <c r="X11" i="16" s="1"/>
  <c r="BP9" i="10"/>
  <c r="BL9" i="10" s="1"/>
  <c r="Z11" i="16" s="1"/>
  <c r="A8" i="16"/>
  <c r="G8" i="16"/>
  <c r="AL1660" i="10" l="1"/>
  <c r="AV1634" i="10"/>
  <c r="R1658" i="10"/>
  <c r="AL1658" i="10" s="1"/>
  <c r="T1658" i="10"/>
  <c r="AT1658" i="10"/>
  <c r="AV1658" i="10"/>
  <c r="Y1661" i="10"/>
  <c r="AV1660" i="10"/>
  <c r="AT1660" i="10"/>
  <c r="D27" i="16" s="1"/>
  <c r="G27" i="16" s="1"/>
  <c r="AX1659" i="10"/>
  <c r="AU1658" i="10"/>
  <c r="AY1658" i="10" s="1"/>
  <c r="U1658" i="10"/>
  <c r="S1658" i="10"/>
  <c r="AN1654" i="10"/>
  <c r="AP1654" i="10"/>
  <c r="Y1663" i="10"/>
  <c r="D13" i="16"/>
  <c r="T1657" i="10"/>
  <c r="R1657" i="10"/>
  <c r="AL1657" i="10" s="1"/>
  <c r="AT1657" i="10"/>
  <c r="AV1657" i="10"/>
  <c r="A28" i="16"/>
  <c r="G28" i="16"/>
  <c r="D37" i="16"/>
  <c r="A37" i="16" s="1"/>
  <c r="D17" i="16"/>
  <c r="Y1646" i="10"/>
  <c r="AL1647" i="10"/>
  <c r="AT1647" i="10"/>
  <c r="AV1647" i="10"/>
  <c r="AW1646" i="10" s="1"/>
  <c r="AW1647" i="10"/>
  <c r="AU1647" i="10"/>
  <c r="AY1647" i="10" s="1"/>
  <c r="AX1646" i="10"/>
  <c r="AL1612" i="10"/>
  <c r="AK1642" i="10" s="1"/>
  <c r="AP1610" i="10"/>
  <c r="AO1665" i="10" s="1"/>
  <c r="BE1637" i="10"/>
  <c r="BI1636" i="10"/>
  <c r="BE1636" i="10" s="1"/>
  <c r="BB1636" i="10"/>
  <c r="BF1637" i="10"/>
  <c r="BB1637" i="10" s="1"/>
  <c r="BD1637" i="10"/>
  <c r="BH1636" i="10"/>
  <c r="BD1636" i="10" s="1"/>
  <c r="A40" i="16"/>
  <c r="G40" i="16"/>
  <c r="BA1636" i="10"/>
  <c r="AZ1636" i="10"/>
  <c r="BA1637" i="10"/>
  <c r="AZ1637" i="10"/>
  <c r="BN1637" i="10"/>
  <c r="BJ1637" i="10" s="1"/>
  <c r="BJ1636" i="10"/>
  <c r="BP1636" i="10"/>
  <c r="BL1636" i="10" s="1"/>
  <c r="BL1637" i="10"/>
  <c r="AT1632" i="10"/>
  <c r="D15" i="16" s="1"/>
  <c r="AV1632" i="10"/>
  <c r="BO1636" i="10"/>
  <c r="BK1636" i="10" s="1"/>
  <c r="BK1637" i="10"/>
  <c r="BM1637" i="10"/>
  <c r="BQ1636" i="10"/>
  <c r="BM1636" i="10" s="1"/>
  <c r="G36" i="16"/>
  <c r="A36" i="16"/>
  <c r="BC1637" i="10"/>
  <c r="BG1636" i="10"/>
  <c r="BC1636" i="10" s="1"/>
  <c r="R1632" i="10"/>
  <c r="AL1632" i="10" s="1"/>
  <c r="T1632" i="10"/>
  <c r="AW1635" i="10"/>
  <c r="AX1634" i="10"/>
  <c r="AU1635" i="10"/>
  <c r="AY1635" i="10" s="1"/>
  <c r="U1635" i="10"/>
  <c r="S1635" i="10"/>
  <c r="S1625" i="10"/>
  <c r="U1625" i="10"/>
  <c r="AW1625" i="10"/>
  <c r="BN1624" i="10"/>
  <c r="BO1625" i="10"/>
  <c r="BP1625" i="10"/>
  <c r="BQ1625" i="10"/>
  <c r="AU1625" i="10"/>
  <c r="AY1625" i="10" s="1"/>
  <c r="AX1624" i="10"/>
  <c r="BH1625" i="10"/>
  <c r="BI1625" i="10"/>
  <c r="BF1624" i="10"/>
  <c r="BG1625" i="10"/>
  <c r="L19" i="16"/>
  <c r="M19" i="16"/>
  <c r="O19" i="16"/>
  <c r="N19" i="16"/>
  <c r="BG1617" i="10"/>
  <c r="BG1616" i="10" s="1"/>
  <c r="BC1616" i="10" s="1"/>
  <c r="BH1617" i="10"/>
  <c r="BD1617" i="10" s="1"/>
  <c r="BF1616" i="10"/>
  <c r="BB1616" i="10" s="1"/>
  <c r="BN1616" i="10"/>
  <c r="BJ1616" i="10" s="1"/>
  <c r="BP1617" i="10"/>
  <c r="BP1616" i="10" s="1"/>
  <c r="BL1616" i="10" s="1"/>
  <c r="BQ1617" i="10"/>
  <c r="BM1617" i="10" s="1"/>
  <c r="BO1617" i="10"/>
  <c r="BK1617" i="10" s="1"/>
  <c r="AQ1610" i="10"/>
  <c r="X1611" i="10"/>
  <c r="AN1610" i="10"/>
  <c r="AM1622" i="10" s="1"/>
  <c r="AN1622" i="10" s="1"/>
  <c r="AM1665" i="10" s="1"/>
  <c r="AU1613" i="10"/>
  <c r="AY1613" i="10" s="1"/>
  <c r="AX1612" i="10"/>
  <c r="BH1613" i="10"/>
  <c r="BI1613" i="10"/>
  <c r="BG1613" i="10"/>
  <c r="BF1612" i="10"/>
  <c r="AW1613" i="10"/>
  <c r="BQ1613" i="10"/>
  <c r="BO1613" i="10"/>
  <c r="BN1612" i="10"/>
  <c r="BP1613" i="10"/>
  <c r="BI1616" i="10"/>
  <c r="BE1616" i="10" s="1"/>
  <c r="BE1617" i="10"/>
  <c r="AU1616" i="10"/>
  <c r="AY1616" i="10" s="1"/>
  <c r="AZ1616" i="10" s="1"/>
  <c r="AX1617" i="10"/>
  <c r="U1616" i="10"/>
  <c r="S1616" i="10"/>
  <c r="G33" i="16"/>
  <c r="O33" i="16" s="1"/>
  <c r="A7" i="16"/>
  <c r="G7" i="16"/>
  <c r="AZ1599" i="10"/>
  <c r="BA1599" i="10"/>
  <c r="AN1599" i="10"/>
  <c r="AM1638" i="10" s="1"/>
  <c r="AP1599" i="10"/>
  <c r="AO1638" i="10" s="1"/>
  <c r="AP1638" i="10" s="1"/>
  <c r="BA1598" i="10"/>
  <c r="AZ1598" i="10"/>
  <c r="BB1598" i="10"/>
  <c r="BF1599" i="10"/>
  <c r="BB1599" i="10" s="1"/>
  <c r="BG1598" i="10"/>
  <c r="BC1598" i="10" s="1"/>
  <c r="BC1599" i="10"/>
  <c r="BE1599" i="10"/>
  <c r="BI1598" i="10"/>
  <c r="BE1598" i="10" s="1"/>
  <c r="BH1598" i="10"/>
  <c r="BD1598" i="10" s="1"/>
  <c r="BD1599" i="10"/>
  <c r="BM1599" i="10"/>
  <c r="BQ1598" i="10"/>
  <c r="BM1598" i="10" s="1"/>
  <c r="BP1598" i="10"/>
  <c r="BL1598" i="10" s="1"/>
  <c r="BL1599" i="10"/>
  <c r="BO1598" i="10"/>
  <c r="BK1598" i="10" s="1"/>
  <c r="BK1599" i="10"/>
  <c r="BN1599" i="10"/>
  <c r="BJ1599" i="10" s="1"/>
  <c r="BJ1598" i="10"/>
  <c r="T10" i="16"/>
  <c r="AV8" i="10" s="1"/>
  <c r="L16" i="16"/>
  <c r="M16" i="16"/>
  <c r="N16" i="16"/>
  <c r="O16" i="16"/>
  <c r="M8" i="16"/>
  <c r="O8" i="16"/>
  <c r="N8" i="16"/>
  <c r="L8" i="16"/>
  <c r="A27" i="16" l="1"/>
  <c r="X1664" i="10"/>
  <c r="AQ1665" i="10"/>
  <c r="AN1665" i="10"/>
  <c r="BH1661" i="10"/>
  <c r="BI1661" i="10"/>
  <c r="AX1660" i="10"/>
  <c r="AU1661" i="10"/>
  <c r="AY1661" i="10" s="1"/>
  <c r="BF1660" i="10"/>
  <c r="BG1661" i="10"/>
  <c r="AP1665" i="10"/>
  <c r="BN1660" i="10"/>
  <c r="AW1661" i="10"/>
  <c r="BO1661" i="10"/>
  <c r="BP1661" i="10"/>
  <c r="BQ1661" i="10"/>
  <c r="N28" i="16"/>
  <c r="O28" i="16"/>
  <c r="L28" i="16"/>
  <c r="M28" i="16"/>
  <c r="S1663" i="10"/>
  <c r="U1663" i="10"/>
  <c r="S1661" i="10"/>
  <c r="U1661" i="10"/>
  <c r="BN1658" i="10"/>
  <c r="AW1659" i="10"/>
  <c r="BO1659" i="10"/>
  <c r="BP1659" i="10"/>
  <c r="BQ1659" i="10"/>
  <c r="AW1656" i="10"/>
  <c r="BN1656" i="10"/>
  <c r="BO1657" i="10"/>
  <c r="BP1657" i="10"/>
  <c r="BQ1657" i="10"/>
  <c r="BH1659" i="10"/>
  <c r="BI1659" i="10"/>
  <c r="BF1658" i="10"/>
  <c r="AX1658" i="10"/>
  <c r="AU1659" i="10"/>
  <c r="AY1659" i="10" s="1"/>
  <c r="AZ1659" i="10" s="1"/>
  <c r="BG1659" i="10"/>
  <c r="AX1657" i="10"/>
  <c r="AU1656" i="10"/>
  <c r="AY1656" i="10" s="1"/>
  <c r="BG1657" i="10"/>
  <c r="BF1656" i="10"/>
  <c r="BH1657" i="10"/>
  <c r="BI1657" i="10"/>
  <c r="D24" i="16"/>
  <c r="AN1658" i="10"/>
  <c r="AP1658" i="10"/>
  <c r="G13" i="16"/>
  <c r="A13" i="16"/>
  <c r="AQ1638" i="10"/>
  <c r="X1639" i="10"/>
  <c r="AN1638" i="10"/>
  <c r="AM1664" i="10" s="1"/>
  <c r="G37" i="16"/>
  <c r="O37" i="16" s="1"/>
  <c r="BN1646" i="10"/>
  <c r="BN1647" i="10" s="1"/>
  <c r="BJ1647" i="10" s="1"/>
  <c r="BP1647" i="10"/>
  <c r="BL1647" i="10" s="1"/>
  <c r="BO1647" i="10"/>
  <c r="BK1647" i="10" s="1"/>
  <c r="BH1647" i="10"/>
  <c r="BH1646" i="10" s="1"/>
  <c r="BD1646" i="10" s="1"/>
  <c r="BI1647" i="10"/>
  <c r="BI1646" i="10" s="1"/>
  <c r="BE1646" i="10" s="1"/>
  <c r="BQ1647" i="10"/>
  <c r="BQ1646" i="10" s="1"/>
  <c r="BM1646" i="10" s="1"/>
  <c r="A15" i="16"/>
  <c r="G15" i="16"/>
  <c r="L15" i="16" s="1"/>
  <c r="BF1646" i="10"/>
  <c r="BF1647" i="10" s="1"/>
  <c r="BB1647" i="10" s="1"/>
  <c r="A17" i="16"/>
  <c r="G17" i="16"/>
  <c r="Y1643" i="10"/>
  <c r="AV1642" i="10"/>
  <c r="AT1642" i="10"/>
  <c r="AL1642" i="10"/>
  <c r="BG1647" i="10"/>
  <c r="AU1646" i="10"/>
  <c r="AY1646" i="10" s="1"/>
  <c r="AZ1646" i="10" s="1"/>
  <c r="AX1647" i="10"/>
  <c r="S1646" i="10"/>
  <c r="U1646" i="10"/>
  <c r="BH1616" i="10"/>
  <c r="BD1616" i="10" s="1"/>
  <c r="BF1617" i="10"/>
  <c r="BB1617" i="10" s="1"/>
  <c r="BC1617" i="10"/>
  <c r="BP1633" i="10"/>
  <c r="BO1633" i="10"/>
  <c r="BQ1633" i="10"/>
  <c r="BN1632" i="10"/>
  <c r="AW1633" i="10"/>
  <c r="L27" i="16"/>
  <c r="O27" i="16"/>
  <c r="N27" i="16"/>
  <c r="M27" i="16"/>
  <c r="AZ1625" i="10"/>
  <c r="BA1625" i="10"/>
  <c r="BH1633" i="10"/>
  <c r="D35" i="16"/>
  <c r="BI1633" i="10"/>
  <c r="AX1632" i="10"/>
  <c r="AU1633" i="10"/>
  <c r="AY1633" i="10" s="1"/>
  <c r="BF1632" i="10"/>
  <c r="BG1633" i="10"/>
  <c r="N40" i="16"/>
  <c r="M40" i="16"/>
  <c r="L40" i="16"/>
  <c r="O40" i="16"/>
  <c r="O36" i="16"/>
  <c r="M36" i="16"/>
  <c r="L36" i="16"/>
  <c r="N36" i="16"/>
  <c r="X1623" i="10"/>
  <c r="AQ1622" i="10"/>
  <c r="BG1624" i="10"/>
  <c r="BC1624" i="10" s="1"/>
  <c r="BC1625" i="10"/>
  <c r="BB1624" i="10"/>
  <c r="BF1625" i="10"/>
  <c r="BB1625" i="10" s="1"/>
  <c r="BE1625" i="10"/>
  <c r="BI1624" i="10"/>
  <c r="BE1624" i="10" s="1"/>
  <c r="BH1624" i="10"/>
  <c r="BD1624" i="10" s="1"/>
  <c r="BD1625" i="10"/>
  <c r="AZ1624" i="10"/>
  <c r="BA1624" i="10"/>
  <c r="BQ1624" i="10"/>
  <c r="BM1624" i="10" s="1"/>
  <c r="BM1625" i="10"/>
  <c r="BL1625" i="10"/>
  <c r="BP1624" i="10"/>
  <c r="BL1624" i="10" s="1"/>
  <c r="BO1624" i="10"/>
  <c r="BK1624" i="10" s="1"/>
  <c r="BK1625" i="10"/>
  <c r="BN1625" i="10"/>
  <c r="BJ1625" i="10" s="1"/>
  <c r="BJ1624" i="10"/>
  <c r="AP1625" i="10"/>
  <c r="AN1625" i="10"/>
  <c r="AM1655" i="10" s="1"/>
  <c r="AP1635" i="10"/>
  <c r="AO1663" i="10" s="1"/>
  <c r="AN1635" i="10"/>
  <c r="AM1663" i="10" s="1"/>
  <c r="T19" i="16"/>
  <c r="AV17" i="10" s="1"/>
  <c r="BQ1616" i="10"/>
  <c r="BM1616" i="10" s="1"/>
  <c r="BO1616" i="10"/>
  <c r="BK1616" i="10" s="1"/>
  <c r="BL1617" i="10"/>
  <c r="BN1617" i="10"/>
  <c r="BJ1617" i="10" s="1"/>
  <c r="M33" i="16"/>
  <c r="L33" i="16"/>
  <c r="N33" i="16"/>
  <c r="BA1616" i="10"/>
  <c r="BA1613" i="10"/>
  <c r="AZ1613" i="10"/>
  <c r="AN1616" i="10"/>
  <c r="AM1634" i="10" s="1"/>
  <c r="AN1634" i="10" s="1"/>
  <c r="AP1616" i="10"/>
  <c r="AO1634" i="10" s="1"/>
  <c r="O54" i="14" s="1" a="1"/>
  <c r="O54" i="14" s="1"/>
  <c r="BA1617" i="10"/>
  <c r="AZ1617" i="10"/>
  <c r="BP1612" i="10"/>
  <c r="BL1612" i="10" s="1"/>
  <c r="BL1613" i="10"/>
  <c r="BJ1612" i="10"/>
  <c r="BN1613" i="10"/>
  <c r="BJ1613" i="10" s="1"/>
  <c r="BK1613" i="10"/>
  <c r="BO1612" i="10"/>
  <c r="BK1612" i="10" s="1"/>
  <c r="BQ1612" i="10"/>
  <c r="BM1612" i="10" s="1"/>
  <c r="BM1613" i="10"/>
  <c r="BB1612" i="10"/>
  <c r="BF1613" i="10"/>
  <c r="BB1613" i="10" s="1"/>
  <c r="BC1613" i="10"/>
  <c r="BG1612" i="10"/>
  <c r="BC1612" i="10" s="1"/>
  <c r="BI1612" i="10"/>
  <c r="BE1612" i="10" s="1"/>
  <c r="BE1613" i="10"/>
  <c r="BH1612" i="10"/>
  <c r="BD1612" i="10" s="1"/>
  <c r="BD1613" i="10"/>
  <c r="AZ1612" i="10"/>
  <c r="BA1612" i="10"/>
  <c r="AT1611" i="10"/>
  <c r="AV1611" i="10"/>
  <c r="R1611" i="10"/>
  <c r="T1611" i="10"/>
  <c r="M7" i="16"/>
  <c r="O7" i="16"/>
  <c r="L7" i="16"/>
  <c r="N7" i="16"/>
  <c r="T16" i="16"/>
  <c r="AV14" i="10" s="1"/>
  <c r="T8" i="16"/>
  <c r="AV6" i="10" s="1"/>
  <c r="M37" i="16" l="1"/>
  <c r="L37" i="16"/>
  <c r="N37" i="16"/>
  <c r="BJ1646" i="10"/>
  <c r="BP1646" i="10"/>
  <c r="BL1646" i="10" s="1"/>
  <c r="BO1646" i="10"/>
  <c r="BK1646" i="10" s="1"/>
  <c r="BH1656" i="10"/>
  <c r="BD1656" i="10" s="1"/>
  <c r="BD1657" i="10"/>
  <c r="BL1657" i="10"/>
  <c r="BP1656" i="10"/>
  <c r="BL1656" i="10" s="1"/>
  <c r="AN1663" i="10"/>
  <c r="AP1663" i="10"/>
  <c r="BC1661" i="10"/>
  <c r="BG1660" i="10"/>
  <c r="BC1660" i="10" s="1"/>
  <c r="X1662" i="10"/>
  <c r="AQ1663" i="10"/>
  <c r="X1654" i="10"/>
  <c r="AQ1655" i="10"/>
  <c r="AN1655" i="10"/>
  <c r="X1665" i="10"/>
  <c r="AQ1664" i="10"/>
  <c r="AN1664" i="10"/>
  <c r="BB1656" i="10"/>
  <c r="BF1657" i="10"/>
  <c r="BB1657" i="10" s="1"/>
  <c r="BO1656" i="10"/>
  <c r="BK1656" i="10" s="1"/>
  <c r="BK1657" i="10"/>
  <c r="BB1660" i="10"/>
  <c r="BF1661" i="10"/>
  <c r="BB1661" i="10" s="1"/>
  <c r="BC1657" i="10"/>
  <c r="BG1656" i="10"/>
  <c r="BC1656" i="10" s="1"/>
  <c r="BN1657" i="10"/>
  <c r="BJ1657" i="10" s="1"/>
  <c r="BJ1656" i="10"/>
  <c r="T28" i="16"/>
  <c r="AV26" i="10" s="1"/>
  <c r="BA1661" i="10"/>
  <c r="AZ1661" i="10"/>
  <c r="BA1656" i="10"/>
  <c r="AZ1656" i="10"/>
  <c r="AZ1660" i="10"/>
  <c r="BA1660" i="10"/>
  <c r="AZ1657" i="10"/>
  <c r="BA1657" i="10"/>
  <c r="BQ1658" i="10"/>
  <c r="BM1658" i="10" s="1"/>
  <c r="BM1659" i="10"/>
  <c r="BI1660" i="10"/>
  <c r="BE1660" i="10" s="1"/>
  <c r="BE1661" i="10"/>
  <c r="L13" i="16"/>
  <c r="N13" i="16"/>
  <c r="O13" i="16"/>
  <c r="M13" i="16"/>
  <c r="BC1659" i="10"/>
  <c r="BG1658" i="10"/>
  <c r="BC1658" i="10" s="1"/>
  <c r="BP1658" i="10"/>
  <c r="BL1658" i="10" s="1"/>
  <c r="BL1659" i="10"/>
  <c r="BQ1660" i="10"/>
  <c r="BM1660" i="10" s="1"/>
  <c r="BM1661" i="10"/>
  <c r="BH1660" i="10"/>
  <c r="BD1660" i="10" s="1"/>
  <c r="BD1661" i="10"/>
  <c r="BO1658" i="10"/>
  <c r="BK1658" i="10" s="1"/>
  <c r="BK1659" i="10"/>
  <c r="BP1660" i="10"/>
  <c r="BL1660" i="10" s="1"/>
  <c r="BL1661" i="10"/>
  <c r="BA1659" i="10"/>
  <c r="AZ1658" i="10"/>
  <c r="BA1658" i="10"/>
  <c r="BO1660" i="10"/>
  <c r="BK1660" i="10" s="1"/>
  <c r="BK1661" i="10"/>
  <c r="BB1658" i="10"/>
  <c r="BF1659" i="10"/>
  <c r="BB1659" i="10" s="1"/>
  <c r="BN1659" i="10"/>
  <c r="BJ1659" i="10" s="1"/>
  <c r="BJ1658" i="10"/>
  <c r="D25" i="16"/>
  <c r="A25" i="16" s="1"/>
  <c r="D9" i="16"/>
  <c r="BI1658" i="10"/>
  <c r="BE1658" i="10" s="1"/>
  <c r="BE1659" i="10"/>
  <c r="BN1661" i="10"/>
  <c r="BJ1661" i="10" s="1"/>
  <c r="BJ1660" i="10"/>
  <c r="A24" i="16"/>
  <c r="G24" i="16"/>
  <c r="BH1658" i="10"/>
  <c r="BD1658" i="10" s="1"/>
  <c r="BD1659" i="10"/>
  <c r="AN1661" i="10"/>
  <c r="AP1661" i="10"/>
  <c r="BI1656" i="10"/>
  <c r="BE1656" i="10" s="1"/>
  <c r="BE1657" i="10"/>
  <c r="BQ1656" i="10"/>
  <c r="BM1656" i="10" s="1"/>
  <c r="BM1657" i="10"/>
  <c r="R1664" i="10"/>
  <c r="AL1664" i="10" s="1"/>
  <c r="T1664" i="10"/>
  <c r="AV1664" i="10"/>
  <c r="AT1664" i="10"/>
  <c r="AP1634" i="10"/>
  <c r="O25" i="14" a="1"/>
  <c r="O25" i="14" s="1"/>
  <c r="O38" i="14" a="1"/>
  <c r="O38" i="14" s="1"/>
  <c r="O10" i="14" a="1"/>
  <c r="O10" i="14" s="1"/>
  <c r="O28" i="14" a="1"/>
  <c r="O28" i="14" s="1"/>
  <c r="O20" i="14" a="1"/>
  <c r="O20" i="14" s="1"/>
  <c r="O60" i="14" a="1"/>
  <c r="O60" i="14" s="1"/>
  <c r="O27" i="14" a="1"/>
  <c r="O27" i="14" s="1"/>
  <c r="O69" i="14" a="1"/>
  <c r="O69" i="14" s="1"/>
  <c r="O32" i="14" a="1"/>
  <c r="O32" i="14" s="1"/>
  <c r="O40" i="14" a="1"/>
  <c r="O40" i="14" s="1"/>
  <c r="O75" i="14" a="1"/>
  <c r="O75" i="14" s="1"/>
  <c r="O81" i="14" a="1"/>
  <c r="O81" i="14" s="1"/>
  <c r="O50" i="14" a="1"/>
  <c r="O50" i="14" s="1"/>
  <c r="O44" i="14" a="1"/>
  <c r="O44" i="14" s="1"/>
  <c r="O74" i="14" a="1"/>
  <c r="O74" i="14" s="1"/>
  <c r="O34" i="14" a="1"/>
  <c r="O34" i="14" s="1"/>
  <c r="O26" i="14" a="1"/>
  <c r="O26" i="14" s="1"/>
  <c r="O49" i="14" a="1"/>
  <c r="O49" i="14" s="1"/>
  <c r="O51" i="14" a="1"/>
  <c r="O51" i="14" s="1"/>
  <c r="O8" i="14" a="1"/>
  <c r="O8" i="14" s="1"/>
  <c r="O86" i="14" a="1"/>
  <c r="O86" i="14" s="1"/>
  <c r="O66" i="14" a="1"/>
  <c r="O66" i="14" s="1"/>
  <c r="O78" i="14" a="1"/>
  <c r="O78" i="14" s="1"/>
  <c r="O2" i="14" a="1"/>
  <c r="O2" i="14" s="1"/>
  <c r="O17" i="14" a="1"/>
  <c r="O17" i="14" s="1"/>
  <c r="O14" i="14" a="1"/>
  <c r="O14" i="14" s="1"/>
  <c r="O30" i="14" a="1"/>
  <c r="O30" i="14" s="1"/>
  <c r="O82" i="14" a="1"/>
  <c r="O82" i="14" s="1"/>
  <c r="O29" i="14" a="1"/>
  <c r="O29" i="14" s="1"/>
  <c r="O19" i="14" a="1"/>
  <c r="O19" i="14" s="1"/>
  <c r="O67" i="14" a="1"/>
  <c r="O67" i="14" s="1"/>
  <c r="O77" i="14" a="1"/>
  <c r="O77" i="14" s="1"/>
  <c r="O37" i="14" a="1"/>
  <c r="O37" i="14" s="1"/>
  <c r="O79" i="14" a="1"/>
  <c r="O79" i="14" s="1"/>
  <c r="O15" i="14" a="1"/>
  <c r="O15" i="14" s="1"/>
  <c r="O58" i="14" a="1"/>
  <c r="O58" i="14" s="1"/>
  <c r="O64" i="14" a="1"/>
  <c r="O64" i="14" s="1"/>
  <c r="O39" i="14" a="1"/>
  <c r="O39" i="14" s="1"/>
  <c r="O73" i="14" a="1"/>
  <c r="O73" i="14" s="1"/>
  <c r="O16" i="14" a="1"/>
  <c r="O16" i="14" s="1"/>
  <c r="O72" i="14" a="1"/>
  <c r="O72" i="14" s="1"/>
  <c r="O9" i="14" a="1"/>
  <c r="O9" i="14" s="1"/>
  <c r="O48" i="14" a="1"/>
  <c r="O48" i="14" s="1"/>
  <c r="O53" i="14" a="1"/>
  <c r="O53" i="14" s="1"/>
  <c r="O83" i="14" a="1"/>
  <c r="O83" i="14" s="1"/>
  <c r="O84" i="14" a="1"/>
  <c r="O84" i="14" s="1"/>
  <c r="O6" i="14" a="1"/>
  <c r="O6" i="14" s="1"/>
  <c r="O57" i="14" a="1"/>
  <c r="O57" i="14" s="1"/>
  <c r="O33" i="14" a="1"/>
  <c r="O33" i="14" s="1"/>
  <c r="O62" i="14" a="1"/>
  <c r="O62" i="14" s="1"/>
  <c r="O55" i="14" a="1"/>
  <c r="O55" i="14" s="1"/>
  <c r="O7" i="14" a="1"/>
  <c r="O7" i="14" s="1"/>
  <c r="O65" i="14" a="1"/>
  <c r="O65" i="14" s="1"/>
  <c r="O76" i="14" a="1"/>
  <c r="O76" i="14" s="1"/>
  <c r="O3" i="14" a="1"/>
  <c r="O3" i="14" s="1"/>
  <c r="O80" i="14" a="1"/>
  <c r="O80" i="14" s="1"/>
  <c r="O70" i="14" a="1"/>
  <c r="O70" i="14" s="1"/>
  <c r="O36" i="14" a="1"/>
  <c r="O36" i="14" s="1"/>
  <c r="O11" i="14" a="1"/>
  <c r="O11" i="14" s="1"/>
  <c r="O68" i="14" a="1"/>
  <c r="O68" i="14" s="1"/>
  <c r="O45" i="14" a="1"/>
  <c r="O45" i="14" s="1"/>
  <c r="O63" i="14" a="1"/>
  <c r="O63" i="14" s="1"/>
  <c r="O21" i="14" a="1"/>
  <c r="O21" i="14" s="1"/>
  <c r="O24" i="14" a="1"/>
  <c r="O24" i="14" s="1"/>
  <c r="O18" i="14" a="1"/>
  <c r="O18" i="14" s="1"/>
  <c r="O23" i="14" a="1"/>
  <c r="O23" i="14" s="1"/>
  <c r="O41" i="14" a="1"/>
  <c r="O41" i="14" s="1"/>
  <c r="O5" i="14" a="1"/>
  <c r="O5" i="14" s="1"/>
  <c r="O52" i="14" a="1"/>
  <c r="O52" i="14" s="1"/>
  <c r="O47" i="14" a="1"/>
  <c r="O47" i="14" s="1"/>
  <c r="O22" i="14" a="1"/>
  <c r="O22" i="14" s="1"/>
  <c r="O35" i="14" a="1"/>
  <c r="O35" i="14" s="1"/>
  <c r="O46" i="14" a="1"/>
  <c r="O46" i="14" s="1"/>
  <c r="O59" i="14" a="1"/>
  <c r="O59" i="14" s="1"/>
  <c r="O61" i="14" a="1"/>
  <c r="O61" i="14" s="1"/>
  <c r="O42" i="14" a="1"/>
  <c r="O42" i="14" s="1"/>
  <c r="O85" i="14" a="1"/>
  <c r="O85" i="14" s="1"/>
  <c r="O13" i="14" a="1"/>
  <c r="O13" i="14" s="1"/>
  <c r="O4" i="14" a="1"/>
  <c r="O4" i="14" s="1"/>
  <c r="O12" i="14" a="1"/>
  <c r="O12" i="14" s="1"/>
  <c r="O71" i="14" a="1"/>
  <c r="O71" i="14" s="1"/>
  <c r="O43" i="14" a="1"/>
  <c r="O43" i="14" s="1"/>
  <c r="O56" i="14" a="1"/>
  <c r="O56" i="14" s="1"/>
  <c r="R1639" i="10"/>
  <c r="AL1639" i="10" s="1"/>
  <c r="AV1639" i="10"/>
  <c r="T1639" i="10"/>
  <c r="AT1639" i="10"/>
  <c r="D22" i="16" s="1"/>
  <c r="BM1647" i="10"/>
  <c r="BE1647" i="10"/>
  <c r="BB1646" i="10"/>
  <c r="BD1647" i="10"/>
  <c r="N15" i="16"/>
  <c r="O15" i="16"/>
  <c r="BA1646" i="10"/>
  <c r="M15" i="16"/>
  <c r="T15" i="16" s="1"/>
  <c r="AV13" i="10" s="1"/>
  <c r="BN13" i="10" s="1"/>
  <c r="N17" i="16"/>
  <c r="L17" i="16"/>
  <c r="M17" i="16"/>
  <c r="O17" i="16"/>
  <c r="AP1646" i="10"/>
  <c r="AN1646" i="10"/>
  <c r="AM1662" i="10" s="1"/>
  <c r="M54" i="14" s="1" a="1"/>
  <c r="M54" i="14" s="1"/>
  <c r="AZ1647" i="10"/>
  <c r="BA1647" i="10"/>
  <c r="BC1647" i="10"/>
  <c r="BG1646" i="10"/>
  <c r="BC1646" i="10" s="1"/>
  <c r="AU1643" i="10"/>
  <c r="AY1643" i="10" s="1"/>
  <c r="BH1643" i="10"/>
  <c r="AX1642" i="10"/>
  <c r="BG1643" i="10"/>
  <c r="BF1642" i="10"/>
  <c r="BI1643" i="10"/>
  <c r="AW1643" i="10"/>
  <c r="BP1643" i="10"/>
  <c r="BN1642" i="10"/>
  <c r="BO1643" i="10"/>
  <c r="BQ1643" i="10"/>
  <c r="S1643" i="10"/>
  <c r="U1643" i="10"/>
  <c r="T40" i="16"/>
  <c r="AV38" i="10" s="1"/>
  <c r="BN37" i="10" s="1"/>
  <c r="M50" i="14" a="1"/>
  <c r="M50" i="14" s="1"/>
  <c r="BD1633" i="10"/>
  <c r="BH1632" i="10"/>
  <c r="BD1632" i="10" s="1"/>
  <c r="M8" i="14" a="1"/>
  <c r="M8" i="14" s="1"/>
  <c r="M42" i="14" a="1"/>
  <c r="M42" i="14" s="1"/>
  <c r="M77" i="14" a="1"/>
  <c r="M77" i="14" s="1"/>
  <c r="M14" i="14" a="1"/>
  <c r="M14" i="14" s="1"/>
  <c r="T27" i="16"/>
  <c r="AV25" i="10" s="1"/>
  <c r="M61" i="14" a="1"/>
  <c r="M61" i="14" s="1"/>
  <c r="M75" i="14" a="1"/>
  <c r="M75" i="14" s="1"/>
  <c r="M66" i="14" a="1"/>
  <c r="M66" i="14" s="1"/>
  <c r="M56" i="14" a="1"/>
  <c r="M56" i="14" s="1"/>
  <c r="M85" i="14" a="1"/>
  <c r="M85" i="14" s="1"/>
  <c r="M46" i="14" a="1"/>
  <c r="M46" i="14" s="1"/>
  <c r="M40" i="14" a="1"/>
  <c r="M40" i="14" s="1"/>
  <c r="T36" i="16"/>
  <c r="AV34" i="10" s="1"/>
  <c r="BJ1632" i="10"/>
  <c r="BN1633" i="10"/>
  <c r="BJ1633" i="10" s="1"/>
  <c r="M70" i="14" a="1"/>
  <c r="M70" i="14" s="1"/>
  <c r="M7" i="14" a="1"/>
  <c r="M7" i="14" s="1"/>
  <c r="M43" i="14" a="1"/>
  <c r="M43" i="14" s="1"/>
  <c r="M24" i="14" a="1"/>
  <c r="M24" i="14" s="1"/>
  <c r="AT1623" i="10"/>
  <c r="AV1623" i="10"/>
  <c r="M72" i="14" a="1"/>
  <c r="M72" i="14" s="1"/>
  <c r="T37" i="16"/>
  <c r="AV35" i="10" s="1"/>
  <c r="M32" i="14" a="1"/>
  <c r="M32" i="14" s="1"/>
  <c r="BQ1632" i="10"/>
  <c r="BM1632" i="10" s="1"/>
  <c r="BM1633" i="10"/>
  <c r="M9" i="14" a="1"/>
  <c r="M9" i="14" s="1"/>
  <c r="M11" i="14" a="1"/>
  <c r="M11" i="14" s="1"/>
  <c r="M26" i="14" a="1"/>
  <c r="M26" i="14" s="1"/>
  <c r="M23" i="14" a="1"/>
  <c r="M23" i="14" s="1"/>
  <c r="M60" i="14" a="1"/>
  <c r="M60" i="14" s="1"/>
  <c r="M12" i="14" a="1"/>
  <c r="M12" i="14" s="1"/>
  <c r="BK1633" i="10"/>
  <c r="BO1632" i="10"/>
  <c r="BK1632" i="10" s="1"/>
  <c r="M34" i="14" a="1"/>
  <c r="M34" i="14" s="1"/>
  <c r="P34" i="14" s="1"/>
  <c r="M47" i="14" a="1"/>
  <c r="M47" i="14" s="1"/>
  <c r="M49" i="14" a="1"/>
  <c r="M49" i="14" s="1"/>
  <c r="M84" i="14" a="1"/>
  <c r="M84" i="14" s="1"/>
  <c r="M13" i="14" a="1"/>
  <c r="M13" i="14" s="1"/>
  <c r="M48" i="14" a="1"/>
  <c r="M48" i="14" s="1"/>
  <c r="BG1632" i="10"/>
  <c r="BC1632" i="10" s="1"/>
  <c r="BC1633" i="10"/>
  <c r="M58" i="14" a="1"/>
  <c r="M58" i="14" s="1"/>
  <c r="BP1632" i="10"/>
  <c r="BL1632" i="10" s="1"/>
  <c r="BL1633" i="10"/>
  <c r="M52" i="14" a="1"/>
  <c r="M52" i="14" s="1"/>
  <c r="M29" i="14" a="1"/>
  <c r="M29" i="14" s="1"/>
  <c r="M63" i="14" a="1"/>
  <c r="M63" i="14" s="1"/>
  <c r="M25" i="14" a="1"/>
  <c r="M25" i="14" s="1"/>
  <c r="M76" i="14" a="1"/>
  <c r="M76" i="14" s="1"/>
  <c r="M65" i="14" a="1"/>
  <c r="M65" i="14" s="1"/>
  <c r="BF1633" i="10"/>
  <c r="BB1633" i="10" s="1"/>
  <c r="BB1632" i="10"/>
  <c r="M74" i="14" a="1"/>
  <c r="M74" i="14" s="1"/>
  <c r="M22" i="14" a="1"/>
  <c r="M22" i="14" s="1"/>
  <c r="M16" i="14" a="1"/>
  <c r="M16" i="14" s="1"/>
  <c r="M19" i="14" a="1"/>
  <c r="M19" i="14" s="1"/>
  <c r="M36" i="14" a="1"/>
  <c r="M36" i="14" s="1"/>
  <c r="M31" i="14" a="1"/>
  <c r="M31" i="14" s="1"/>
  <c r="AZ1633" i="10"/>
  <c r="BA1633" i="10"/>
  <c r="M51" i="14" a="1"/>
  <c r="M51" i="14" s="1"/>
  <c r="M37" i="14" a="1"/>
  <c r="M37" i="14" s="1"/>
  <c r="M3" i="14" a="1"/>
  <c r="M3" i="14" s="1"/>
  <c r="M44" i="14" a="1"/>
  <c r="M44" i="14" s="1"/>
  <c r="M10" i="14" a="1"/>
  <c r="M10" i="14" s="1"/>
  <c r="M59" i="14" a="1"/>
  <c r="M59" i="14" s="1"/>
  <c r="M80" i="14" a="1"/>
  <c r="M80" i="14" s="1"/>
  <c r="AZ1632" i="10"/>
  <c r="BA1632" i="10"/>
  <c r="M79" i="14" a="1"/>
  <c r="M79" i="14" s="1"/>
  <c r="M21" i="14" a="1"/>
  <c r="M21" i="14" s="1"/>
  <c r="M2" i="14" a="1"/>
  <c r="M2" i="14" s="1"/>
  <c r="M28" i="14" a="1"/>
  <c r="M28" i="14" s="1"/>
  <c r="M38" i="14" a="1"/>
  <c r="M38" i="14" s="1"/>
  <c r="M55" i="14" a="1"/>
  <c r="M55" i="14" s="1"/>
  <c r="M30" i="14" a="1"/>
  <c r="M30" i="14" s="1"/>
  <c r="M68" i="14" a="1"/>
  <c r="M68" i="14" s="1"/>
  <c r="BI1632" i="10"/>
  <c r="BE1632" i="10" s="1"/>
  <c r="BE1633" i="10"/>
  <c r="M69" i="14" a="1"/>
  <c r="M69" i="14" s="1"/>
  <c r="M57" i="14" a="1"/>
  <c r="M57" i="14" s="1"/>
  <c r="M6" i="14" a="1"/>
  <c r="M6" i="14" s="1"/>
  <c r="M73" i="14" a="1"/>
  <c r="M73" i="14" s="1"/>
  <c r="M45" i="14" a="1"/>
  <c r="M45" i="14" s="1"/>
  <c r="M39" i="14" a="1"/>
  <c r="M39" i="14" s="1"/>
  <c r="M86" i="14" a="1"/>
  <c r="M86" i="14" s="1"/>
  <c r="G35" i="16"/>
  <c r="A35" i="16"/>
  <c r="M17" i="14" a="1"/>
  <c r="M17" i="14" s="1"/>
  <c r="M18" i="14" a="1"/>
  <c r="M18" i="14" s="1"/>
  <c r="M41" i="14" a="1"/>
  <c r="M41" i="14" s="1"/>
  <c r="AQ1634" i="10"/>
  <c r="X1635" i="10"/>
  <c r="T1623" i="10"/>
  <c r="R1623" i="10"/>
  <c r="D20" i="16"/>
  <c r="A20" i="16" s="1"/>
  <c r="D14" i="16"/>
  <c r="T33" i="16"/>
  <c r="AV31" i="10" s="1"/>
  <c r="BP32" i="10" s="1"/>
  <c r="AW1610" i="10"/>
  <c r="BQ1611" i="10"/>
  <c r="BN1610" i="10"/>
  <c r="BO1611" i="10"/>
  <c r="BP1611" i="10"/>
  <c r="BF1610" i="10"/>
  <c r="AX1611" i="10"/>
  <c r="AU1610" i="10"/>
  <c r="AY1610" i="10" s="1"/>
  <c r="BG1611" i="10"/>
  <c r="BH1611" i="10"/>
  <c r="BI1611" i="10"/>
  <c r="T7" i="16"/>
  <c r="AV5" i="10" s="1"/>
  <c r="BN5" i="10" s="1"/>
  <c r="BJ5" i="10" s="1"/>
  <c r="X7" i="16" s="1"/>
  <c r="M71" i="14" l="1" a="1"/>
  <c r="M71" i="14" s="1"/>
  <c r="P71" i="14" s="1"/>
  <c r="M62" i="14" a="1"/>
  <c r="M62" i="14" s="1"/>
  <c r="M4" i="14" a="1"/>
  <c r="M4" i="14" s="1"/>
  <c r="P4" i="14" s="1"/>
  <c r="M53" i="14" a="1"/>
  <c r="M53" i="14" s="1"/>
  <c r="N53" i="14" s="1"/>
  <c r="M78" i="14" a="1"/>
  <c r="M78" i="14" s="1"/>
  <c r="P78" i="14" s="1"/>
  <c r="AL1623" i="10"/>
  <c r="AK1651" i="10" s="1"/>
  <c r="G25" i="16"/>
  <c r="M15" i="14" a="1"/>
  <c r="M15" i="14" s="1"/>
  <c r="N15" i="14" s="1"/>
  <c r="M64" i="14" a="1"/>
  <c r="M64" i="14" s="1"/>
  <c r="N64" i="14" s="1"/>
  <c r="M81" i="14" a="1"/>
  <c r="M81" i="14" s="1"/>
  <c r="P81" i="14" s="1"/>
  <c r="M35" i="14" a="1"/>
  <c r="M35" i="14" s="1"/>
  <c r="P35" i="14" s="1"/>
  <c r="D6" i="16"/>
  <c r="G6" i="16" s="1"/>
  <c r="M83" i="14" a="1"/>
  <c r="M83" i="14" s="1"/>
  <c r="P83" i="14" s="1"/>
  <c r="M5" i="14" a="1"/>
  <c r="M5" i="14" s="1"/>
  <c r="N5" i="14" s="1"/>
  <c r="M20" i="14" a="1"/>
  <c r="M20" i="14" s="1"/>
  <c r="P20" i="14" s="1"/>
  <c r="M27" i="14" a="1"/>
  <c r="M27" i="14" s="1"/>
  <c r="N27" i="14" s="1"/>
  <c r="M82" i="14" a="1"/>
  <c r="M82" i="14" s="1"/>
  <c r="P82" i="14" s="1"/>
  <c r="T13" i="16"/>
  <c r="AV11" i="10" s="1"/>
  <c r="M33" i="14" a="1"/>
  <c r="M33" i="14" s="1"/>
  <c r="P33" i="14" s="1"/>
  <c r="P54" i="14"/>
  <c r="N54" i="14"/>
  <c r="AW1665" i="10"/>
  <c r="T1654" i="10"/>
  <c r="R1654" i="10"/>
  <c r="AL1654" i="10" s="1"/>
  <c r="AT1654" i="10"/>
  <c r="AV1654" i="10"/>
  <c r="R1662" i="10"/>
  <c r="AL1662" i="10" s="1"/>
  <c r="T1662" i="10"/>
  <c r="AV1662" i="10"/>
  <c r="AT1662" i="10"/>
  <c r="A9" i="16"/>
  <c r="G9" i="16"/>
  <c r="AV1651" i="10"/>
  <c r="AT1651" i="10"/>
  <c r="Y1650" i="10"/>
  <c r="AL1651" i="10"/>
  <c r="X1663" i="10"/>
  <c r="AQ1662" i="10"/>
  <c r="M67" i="14" a="1"/>
  <c r="M67" i="14" s="1"/>
  <c r="R1665" i="10"/>
  <c r="AL1665" i="10" s="1"/>
  <c r="T1665" i="10"/>
  <c r="AT1665" i="10"/>
  <c r="BH1665" i="10" s="1"/>
  <c r="AV1665" i="10"/>
  <c r="AW1664" i="10" s="1"/>
  <c r="AX1664" i="10"/>
  <c r="AU1665" i="10"/>
  <c r="AY1665" i="10" s="1"/>
  <c r="D31" i="16"/>
  <c r="N24" i="16"/>
  <c r="L24" i="16"/>
  <c r="M24" i="16"/>
  <c r="O24" i="16"/>
  <c r="G22" i="16"/>
  <c r="A22" i="16"/>
  <c r="O88" i="14"/>
  <c r="AX1639" i="10"/>
  <c r="AU1638" i="10"/>
  <c r="AY1638" i="10" s="1"/>
  <c r="BF1638" i="10"/>
  <c r="BH1639" i="10"/>
  <c r="BG1639" i="10"/>
  <c r="BI1639" i="10"/>
  <c r="AW1638" i="10"/>
  <c r="BN1638" i="10"/>
  <c r="BQ1639" i="10"/>
  <c r="BO1639" i="10"/>
  <c r="BP1639" i="10"/>
  <c r="BQ38" i="10"/>
  <c r="BM38" i="10" s="1"/>
  <c r="AA40" i="16" s="1"/>
  <c r="T17" i="16"/>
  <c r="AV15" i="10" s="1"/>
  <c r="N25" i="16"/>
  <c r="M25" i="16"/>
  <c r="O25" i="16"/>
  <c r="L25" i="16"/>
  <c r="AN1643" i="10"/>
  <c r="AP1643" i="10"/>
  <c r="BQ1642" i="10"/>
  <c r="BM1642" i="10" s="1"/>
  <c r="BM1643" i="10"/>
  <c r="BO1642" i="10"/>
  <c r="BK1642" i="10" s="1"/>
  <c r="BK1643" i="10"/>
  <c r="BN1643" i="10"/>
  <c r="BJ1643" i="10" s="1"/>
  <c r="BJ1642" i="10"/>
  <c r="BL1643" i="10"/>
  <c r="BP1642" i="10"/>
  <c r="BL1642" i="10" s="1"/>
  <c r="BI1642" i="10"/>
  <c r="BE1642" i="10" s="1"/>
  <c r="BE1643" i="10"/>
  <c r="BF1643" i="10"/>
  <c r="BB1643" i="10" s="1"/>
  <c r="BB1642" i="10"/>
  <c r="BC1643" i="10"/>
  <c r="BG1642" i="10"/>
  <c r="BC1642" i="10" s="1"/>
  <c r="BA1642" i="10"/>
  <c r="AZ1642" i="10"/>
  <c r="BH1642" i="10"/>
  <c r="BD1642" i="10" s="1"/>
  <c r="BD1643" i="10"/>
  <c r="AZ1643" i="10"/>
  <c r="BA1643" i="10"/>
  <c r="BO38" i="10"/>
  <c r="BK38" i="10" s="1"/>
  <c r="Y40" i="16" s="1"/>
  <c r="BP38" i="10"/>
  <c r="BP37" i="10" s="1"/>
  <c r="BL37" i="10" s="1"/>
  <c r="Z39" i="16" s="1"/>
  <c r="N76" i="14"/>
  <c r="P76" i="14"/>
  <c r="N45" i="14"/>
  <c r="P45" i="14"/>
  <c r="P2" i="14"/>
  <c r="N2" i="14"/>
  <c r="P25" i="14"/>
  <c r="N25" i="14"/>
  <c r="N49" i="14"/>
  <c r="P49" i="14"/>
  <c r="N85" i="14"/>
  <c r="P85" i="14"/>
  <c r="N65" i="14"/>
  <c r="P65" i="14"/>
  <c r="N73" i="14"/>
  <c r="P73" i="14"/>
  <c r="P21" i="14"/>
  <c r="N21" i="14"/>
  <c r="P63" i="14"/>
  <c r="N63" i="14"/>
  <c r="P47" i="14"/>
  <c r="N47" i="14"/>
  <c r="N56" i="14"/>
  <c r="P56" i="14"/>
  <c r="N51" i="14"/>
  <c r="P51" i="14"/>
  <c r="P31" i="14"/>
  <c r="N31" i="14"/>
  <c r="P32" i="14"/>
  <c r="N32" i="14"/>
  <c r="N66" i="14"/>
  <c r="P66" i="14"/>
  <c r="N77" i="14"/>
  <c r="P77" i="14"/>
  <c r="P86" i="14"/>
  <c r="N86" i="14"/>
  <c r="N79" i="14"/>
  <c r="P79" i="14"/>
  <c r="N57" i="14"/>
  <c r="P57" i="14"/>
  <c r="P36" i="14"/>
  <c r="N34" i="14"/>
  <c r="N52" i="14"/>
  <c r="P52" i="14"/>
  <c r="BJ37" i="10"/>
  <c r="X39" i="16" s="1"/>
  <c r="BN38" i="10"/>
  <c r="BJ38" i="10" s="1"/>
  <c r="X40" i="16" s="1"/>
  <c r="P42" i="14"/>
  <c r="N42" i="14"/>
  <c r="P6" i="14"/>
  <c r="N6" i="14"/>
  <c r="P29" i="14"/>
  <c r="N29" i="14"/>
  <c r="AT1635" i="10"/>
  <c r="AV1635" i="10"/>
  <c r="N69" i="14"/>
  <c r="P69" i="14"/>
  <c r="P19" i="14"/>
  <c r="N19" i="14"/>
  <c r="P75" i="14"/>
  <c r="N75" i="14"/>
  <c r="N8" i="14"/>
  <c r="P8" i="14"/>
  <c r="N36" i="14"/>
  <c r="N38" i="14"/>
  <c r="P38" i="14"/>
  <c r="N41" i="14"/>
  <c r="P41" i="14"/>
  <c r="N80" i="14"/>
  <c r="P80" i="14"/>
  <c r="N16" i="14"/>
  <c r="P16" i="14"/>
  <c r="N12" i="14"/>
  <c r="P12" i="14"/>
  <c r="P72" i="14"/>
  <c r="N72" i="14"/>
  <c r="P62" i="14"/>
  <c r="N62" i="14"/>
  <c r="N39" i="14"/>
  <c r="P39" i="14"/>
  <c r="N37" i="14"/>
  <c r="N18" i="14"/>
  <c r="P18" i="14"/>
  <c r="N59" i="14"/>
  <c r="P59" i="14"/>
  <c r="P22" i="14"/>
  <c r="N22" i="14"/>
  <c r="P58" i="14"/>
  <c r="N58" i="14"/>
  <c r="P60" i="14"/>
  <c r="N60" i="14"/>
  <c r="AW1622" i="10"/>
  <c r="BN1622" i="10"/>
  <c r="BO1623" i="10"/>
  <c r="BP1623" i="10"/>
  <c r="BQ1623" i="10"/>
  <c r="N68" i="14"/>
  <c r="P68" i="14"/>
  <c r="N10" i="14"/>
  <c r="P10" i="14"/>
  <c r="N74" i="14"/>
  <c r="P74" i="14"/>
  <c r="N23" i="14"/>
  <c r="P23" i="14"/>
  <c r="BF1622" i="10"/>
  <c r="AX1623" i="10"/>
  <c r="AU1622" i="10"/>
  <c r="AY1622" i="10" s="1"/>
  <c r="BG1623" i="10"/>
  <c r="BI1623" i="10"/>
  <c r="BH1623" i="10"/>
  <c r="D26" i="16"/>
  <c r="P61" i="14"/>
  <c r="N61" i="14"/>
  <c r="P17" i="14"/>
  <c r="N17" i="14"/>
  <c r="N30" i="14"/>
  <c r="P30" i="14"/>
  <c r="N44" i="14"/>
  <c r="P44" i="14"/>
  <c r="P26" i="14"/>
  <c r="N26" i="14"/>
  <c r="P24" i="14"/>
  <c r="N24" i="14"/>
  <c r="P50" i="14"/>
  <c r="N50" i="14"/>
  <c r="N35" i="16"/>
  <c r="M35" i="16"/>
  <c r="L35" i="16"/>
  <c r="O35" i="16"/>
  <c r="N55" i="14"/>
  <c r="P55" i="14"/>
  <c r="N3" i="14"/>
  <c r="P3" i="14"/>
  <c r="P48" i="14"/>
  <c r="N48" i="14"/>
  <c r="P11" i="14"/>
  <c r="N11" i="14"/>
  <c r="N43" i="14"/>
  <c r="P43" i="14"/>
  <c r="BQ26" i="10"/>
  <c r="BN25" i="10"/>
  <c r="BP26" i="10"/>
  <c r="BO26" i="10"/>
  <c r="P37" i="14"/>
  <c r="N35" i="14"/>
  <c r="N13" i="14"/>
  <c r="P13" i="14"/>
  <c r="P9" i="14"/>
  <c r="N9" i="14"/>
  <c r="P7" i="14"/>
  <c r="N7" i="14"/>
  <c r="P40" i="14"/>
  <c r="N40" i="14"/>
  <c r="P14" i="14"/>
  <c r="N14" i="14"/>
  <c r="P28" i="14"/>
  <c r="N28" i="14"/>
  <c r="P84" i="14"/>
  <c r="N84" i="14"/>
  <c r="N78" i="14"/>
  <c r="P70" i="14"/>
  <c r="N70" i="14"/>
  <c r="N46" i="14"/>
  <c r="P46" i="14"/>
  <c r="R1635" i="10"/>
  <c r="T1635" i="10"/>
  <c r="BQ14" i="10"/>
  <c r="BQ13" i="10" s="1"/>
  <c r="BM13" i="10" s="1"/>
  <c r="AA15" i="16" s="1"/>
  <c r="BO14" i="10"/>
  <c r="BO13" i="10" s="1"/>
  <c r="BK13" i="10" s="1"/>
  <c r="Y15" i="16" s="1"/>
  <c r="BP14" i="10"/>
  <c r="BL14" i="10" s="1"/>
  <c r="Z16" i="16" s="1"/>
  <c r="G20" i="16"/>
  <c r="O20" i="16" s="1"/>
  <c r="BQ32" i="10"/>
  <c r="BM32" i="10" s="1"/>
  <c r="AA34" i="16" s="1"/>
  <c r="BN31" i="10"/>
  <c r="BJ31" i="10" s="1"/>
  <c r="X33" i="16" s="1"/>
  <c r="BO32" i="10"/>
  <c r="BK32" i="10" s="1"/>
  <c r="Y34" i="16" s="1"/>
  <c r="A14" i="16"/>
  <c r="G14" i="16"/>
  <c r="BP6" i="10"/>
  <c r="BL6" i="10" s="1"/>
  <c r="Z8" i="16" s="1"/>
  <c r="BO6" i="10"/>
  <c r="BK6" i="10" s="1"/>
  <c r="Y8" i="16" s="1"/>
  <c r="BI1610" i="10"/>
  <c r="BE1610" i="10" s="1"/>
  <c r="BE1611" i="10"/>
  <c r="BD1611" i="10"/>
  <c r="BH1610" i="10"/>
  <c r="BD1610" i="10" s="1"/>
  <c r="BG1610" i="10"/>
  <c r="BC1610" i="10" s="1"/>
  <c r="BC1611" i="10"/>
  <c r="AZ1610" i="10"/>
  <c r="BA1610" i="10"/>
  <c r="AZ1611" i="10"/>
  <c r="BA1611" i="10"/>
  <c r="BB1610" i="10"/>
  <c r="BF1611" i="10"/>
  <c r="BB1611" i="10" s="1"/>
  <c r="BL1611" i="10"/>
  <c r="BP1610" i="10"/>
  <c r="BL1610" i="10" s="1"/>
  <c r="BK1611" i="10"/>
  <c r="BO1610" i="10"/>
  <c r="BK1610" i="10" s="1"/>
  <c r="BJ1610" i="10"/>
  <c r="BN1611" i="10"/>
  <c r="BJ1611" i="10" s="1"/>
  <c r="BM1611" i="10"/>
  <c r="BQ1610" i="10"/>
  <c r="BM1610" i="10" s="1"/>
  <c r="BQ6" i="10"/>
  <c r="BM6" i="10" s="1"/>
  <c r="AA8" i="16" s="1"/>
  <c r="BN6" i="10"/>
  <c r="BJ6" i="10" s="1"/>
  <c r="X8" i="16" s="1"/>
  <c r="BL32" i="10"/>
  <c r="Z34" i="16" s="1"/>
  <c r="BP31" i="10"/>
  <c r="BL31" i="10" s="1"/>
  <c r="Z33" i="16" s="1"/>
  <c r="BJ13" i="10"/>
  <c r="X15" i="16" s="1"/>
  <c r="BN14" i="10"/>
  <c r="BJ14" i="10" s="1"/>
  <c r="X16" i="16" s="1"/>
  <c r="N4" i="14" l="1"/>
  <c r="N71" i="14"/>
  <c r="AL1635" i="10"/>
  <c r="AK1663" i="10" s="1"/>
  <c r="L76" i="14" s="1" a="1"/>
  <c r="L76" i="14" s="1"/>
  <c r="P53" i="14"/>
  <c r="A6" i="16"/>
  <c r="P15" i="14"/>
  <c r="P64" i="14"/>
  <c r="N81" i="14"/>
  <c r="D18" i="16"/>
  <c r="A18" i="16" s="1"/>
  <c r="P5" i="14"/>
  <c r="N83" i="14"/>
  <c r="M88" i="14"/>
  <c r="N20" i="14"/>
  <c r="N82" i="14"/>
  <c r="P27" i="14"/>
  <c r="T24" i="16"/>
  <c r="AV22" i="10" s="1"/>
  <c r="BN21" i="10" s="1"/>
  <c r="N33" i="14"/>
  <c r="L60" i="14" a="1"/>
  <c r="L60" i="14" s="1"/>
  <c r="L12" i="14" a="1"/>
  <c r="L12" i="14" s="1"/>
  <c r="L56" i="14" a="1"/>
  <c r="L56" i="14" s="1"/>
  <c r="L5" i="14" a="1"/>
  <c r="L5" i="14" s="1"/>
  <c r="L26" i="14" a="1"/>
  <c r="L26" i="14" s="1"/>
  <c r="L27" i="14" a="1"/>
  <c r="L27" i="14" s="1"/>
  <c r="L79" i="14" a="1"/>
  <c r="L79" i="14" s="1"/>
  <c r="L67" i="14" a="1"/>
  <c r="L67" i="14" s="1"/>
  <c r="L33" i="14" a="1"/>
  <c r="L33" i="14" s="1"/>
  <c r="L65" i="14" a="1"/>
  <c r="L65" i="14" s="1"/>
  <c r="L7" i="14" a="1"/>
  <c r="L7" i="14" s="1"/>
  <c r="L62" i="14" a="1"/>
  <c r="L62" i="14" s="1"/>
  <c r="L55" i="14" a="1"/>
  <c r="L55" i="14" s="1"/>
  <c r="L63" i="14" a="1"/>
  <c r="L63" i="14" s="1"/>
  <c r="BN1654" i="10"/>
  <c r="AW1655" i="10"/>
  <c r="BO1655" i="10"/>
  <c r="BP1655" i="10"/>
  <c r="BQ1655" i="10"/>
  <c r="G31" i="16"/>
  <c r="A31" i="16"/>
  <c r="L8" i="14" a="1"/>
  <c r="L8" i="14" s="1"/>
  <c r="L43" i="14" a="1"/>
  <c r="L43" i="14" s="1"/>
  <c r="L72" i="14" a="1"/>
  <c r="L72" i="14" s="1"/>
  <c r="L6" i="14" a="1"/>
  <c r="L6" i="14" s="1"/>
  <c r="L73" i="14" a="1"/>
  <c r="L73" i="14" s="1"/>
  <c r="L3" i="14" a="1"/>
  <c r="L3" i="14" s="1"/>
  <c r="BH1655" i="10"/>
  <c r="BI1655" i="10"/>
  <c r="BF1654" i="10"/>
  <c r="AX1654" i="10"/>
  <c r="AU1655" i="10"/>
  <c r="AY1655" i="10" s="1"/>
  <c r="BG1655" i="10"/>
  <c r="D21" i="16"/>
  <c r="L13" i="14" a="1"/>
  <c r="L13" i="14" s="1"/>
  <c r="R1663" i="10"/>
  <c r="AL1663" i="10" s="1"/>
  <c r="T1663" i="10"/>
  <c r="L83" i="14" a="1"/>
  <c r="L83" i="14" s="1"/>
  <c r="L57" i="14" a="1"/>
  <c r="L57" i="14" s="1"/>
  <c r="L78" i="14" a="1"/>
  <c r="L78" i="14" s="1"/>
  <c r="L47" i="14" a="1"/>
  <c r="L47" i="14" s="1"/>
  <c r="L20" i="14" a="1"/>
  <c r="L20" i="14" s="1"/>
  <c r="L21" i="14" a="1"/>
  <c r="L21" i="14" s="1"/>
  <c r="L17" i="14" a="1"/>
  <c r="L17" i="14" s="1"/>
  <c r="L15" i="14" a="1"/>
  <c r="L15" i="14" s="1"/>
  <c r="L50" i="14" a="1"/>
  <c r="L50" i="14" s="1"/>
  <c r="L49" i="14" a="1"/>
  <c r="L49" i="14" s="1"/>
  <c r="L35" i="14" a="1"/>
  <c r="L35" i="14" s="1"/>
  <c r="L86" i="14" a="1"/>
  <c r="L86" i="14" s="1"/>
  <c r="L75" i="14" a="1"/>
  <c r="L75" i="14" s="1"/>
  <c r="S1650" i="10"/>
  <c r="U1650" i="10"/>
  <c r="L25" i="14" a="1"/>
  <c r="L25" i="14" s="1"/>
  <c r="L2" i="14" a="1"/>
  <c r="L2" i="14" s="1"/>
  <c r="L9" i="14" a="1"/>
  <c r="L9" i="14" s="1"/>
  <c r="L84" i="14" a="1"/>
  <c r="L84" i="14" s="1"/>
  <c r="L4" i="14" a="1"/>
  <c r="L4" i="14" s="1"/>
  <c r="L32" i="14" a="1"/>
  <c r="L32" i="14" s="1"/>
  <c r="L77" i="14" a="1"/>
  <c r="L77" i="14" s="1"/>
  <c r="AX1651" i="10"/>
  <c r="AU1650" i="10"/>
  <c r="AY1650" i="10" s="1"/>
  <c r="BG1651" i="10"/>
  <c r="BH1651" i="10"/>
  <c r="BI1651" i="10"/>
  <c r="BF1650" i="10"/>
  <c r="BO1665" i="10"/>
  <c r="L42" i="14" a="1"/>
  <c r="L42" i="14" s="1"/>
  <c r="L38" i="14" a="1"/>
  <c r="L38" i="14" s="1"/>
  <c r="L69" i="14" a="1"/>
  <c r="L69" i="14" s="1"/>
  <c r="L40" i="14" a="1"/>
  <c r="L40" i="14" s="1"/>
  <c r="L41" i="14" a="1"/>
  <c r="L41" i="14" s="1"/>
  <c r="L74" i="14" a="1"/>
  <c r="L74" i="14" s="1"/>
  <c r="AW1650" i="10"/>
  <c r="BN1650" i="10"/>
  <c r="BO1651" i="10"/>
  <c r="BP1651" i="10"/>
  <c r="BQ1651" i="10"/>
  <c r="BQ1665" i="10"/>
  <c r="BH1664" i="10"/>
  <c r="BD1664" i="10" s="1"/>
  <c r="BD1665" i="10"/>
  <c r="AX1665" i="10"/>
  <c r="AU1664" i="10"/>
  <c r="AY1664" i="10" s="1"/>
  <c r="AZ1664" i="10" s="1"/>
  <c r="D32" i="16"/>
  <c r="AV1663" i="10"/>
  <c r="AW1662" i="10" s="1"/>
  <c r="Y1662" i="10"/>
  <c r="AT1663" i="10"/>
  <c r="BH1663" i="10" s="1"/>
  <c r="L54" i="14" a="1"/>
  <c r="L54" i="14" s="1"/>
  <c r="P67" i="14"/>
  <c r="BF1664" i="10"/>
  <c r="N67" i="14"/>
  <c r="N88" i="14" s="1"/>
  <c r="BG1665" i="10"/>
  <c r="BI1665" i="10"/>
  <c r="L81" i="14" a="1"/>
  <c r="L81" i="14" s="1"/>
  <c r="L28" i="14" a="1"/>
  <c r="L28" i="14" s="1"/>
  <c r="L36" i="14" a="1"/>
  <c r="L36" i="14" s="1"/>
  <c r="L29" i="14" a="1"/>
  <c r="L29" i="14" s="1"/>
  <c r="L30" i="14" a="1"/>
  <c r="L30" i="14" s="1"/>
  <c r="L19" i="14" a="1"/>
  <c r="L19" i="14" s="1"/>
  <c r="L53" i="14" a="1"/>
  <c r="L53" i="14" s="1"/>
  <c r="L9" i="16"/>
  <c r="N9" i="16"/>
  <c r="M9" i="16"/>
  <c r="O9" i="16"/>
  <c r="BP1665" i="10"/>
  <c r="L16" i="14" a="1"/>
  <c r="L16" i="14" s="1"/>
  <c r="L11" i="14" a="1"/>
  <c r="L11" i="14" s="1"/>
  <c r="L51" i="14" a="1"/>
  <c r="L51" i="14" s="1"/>
  <c r="L68" i="14" a="1"/>
  <c r="L68" i="14" s="1"/>
  <c r="L52" i="14" a="1"/>
  <c r="L52" i="14" s="1"/>
  <c r="L10" i="14" a="1"/>
  <c r="L10" i="14" s="1"/>
  <c r="L37" i="14" a="1"/>
  <c r="L37" i="14" s="1"/>
  <c r="L61" i="14" a="1"/>
  <c r="L61" i="14" s="1"/>
  <c r="L80" i="14" a="1"/>
  <c r="L80" i="14" s="1"/>
  <c r="L85" i="14" a="1"/>
  <c r="L85" i="14" s="1"/>
  <c r="L64" i="14" a="1"/>
  <c r="L64" i="14" s="1"/>
  <c r="L48" i="14" a="1"/>
  <c r="L48" i="14" s="1"/>
  <c r="L24" i="14" a="1"/>
  <c r="L24" i="14" s="1"/>
  <c r="L18" i="14" a="1"/>
  <c r="L18" i="14" s="1"/>
  <c r="AX1662" i="10"/>
  <c r="AU1663" i="10"/>
  <c r="AY1663" i="10" s="1"/>
  <c r="D29" i="16"/>
  <c r="BN1664" i="10"/>
  <c r="L34" i="14" a="1"/>
  <c r="L34" i="14" s="1"/>
  <c r="L23" i="14" a="1"/>
  <c r="L23" i="14" s="1"/>
  <c r="L70" i="14" a="1"/>
  <c r="L70" i="14" s="1"/>
  <c r="L39" i="14" a="1"/>
  <c r="L39" i="14" s="1"/>
  <c r="L82" i="14" a="1"/>
  <c r="L82" i="14" s="1"/>
  <c r="L66" i="14" a="1"/>
  <c r="L66" i="14" s="1"/>
  <c r="L22" i="14" a="1"/>
  <c r="L22" i="14" s="1"/>
  <c r="BN1662" i="10"/>
  <c r="AW1663" i="10"/>
  <c r="L46" i="14" a="1"/>
  <c r="L46" i="14" s="1"/>
  <c r="L14" i="14" a="1"/>
  <c r="L14" i="14" s="1"/>
  <c r="L59" i="14" a="1"/>
  <c r="L59" i="14" s="1"/>
  <c r="L44" i="14" a="1"/>
  <c r="L44" i="14" s="1"/>
  <c r="L45" i="14" a="1"/>
  <c r="L45" i="14" s="1"/>
  <c r="L71" i="14" a="1"/>
  <c r="L71" i="14" s="1"/>
  <c r="L58" i="14" a="1"/>
  <c r="L58" i="14" s="1"/>
  <c r="N22" i="16"/>
  <c r="M22" i="16"/>
  <c r="O22" i="16"/>
  <c r="L22" i="16"/>
  <c r="BP1638" i="10"/>
  <c r="BL1638" i="10" s="1"/>
  <c r="BL1639" i="10"/>
  <c r="BO1638" i="10"/>
  <c r="BK1638" i="10" s="1"/>
  <c r="BK1639" i="10"/>
  <c r="BN1639" i="10"/>
  <c r="BJ1639" i="10" s="1"/>
  <c r="BJ1638" i="10"/>
  <c r="BQ37" i="10"/>
  <c r="BM37" i="10" s="1"/>
  <c r="AA39" i="16" s="1"/>
  <c r="BI1638" i="10"/>
  <c r="BE1638" i="10" s="1"/>
  <c r="BE1639" i="10"/>
  <c r="BQ1638" i="10"/>
  <c r="BM1638" i="10" s="1"/>
  <c r="BM1639" i="10"/>
  <c r="BC1639" i="10"/>
  <c r="BG1638" i="10"/>
  <c r="BC1638" i="10" s="1"/>
  <c r="BH1638" i="10"/>
  <c r="BD1638" i="10" s="1"/>
  <c r="BD1639" i="10"/>
  <c r="BB1638" i="10"/>
  <c r="BF1639" i="10"/>
  <c r="BB1639" i="10" s="1"/>
  <c r="AZ1638" i="10"/>
  <c r="BA1638" i="10"/>
  <c r="BA1639" i="10"/>
  <c r="AZ1639" i="10"/>
  <c r="T25" i="16"/>
  <c r="AV23" i="10" s="1"/>
  <c r="N6" i="16"/>
  <c r="O6" i="16"/>
  <c r="L6" i="16"/>
  <c r="M6" i="16"/>
  <c r="BO37" i="10"/>
  <c r="BK37" i="10" s="1"/>
  <c r="Y39" i="16" s="1"/>
  <c r="BL38" i="10"/>
  <c r="Z40" i="16" s="1"/>
  <c r="T35" i="16"/>
  <c r="AV33" i="10" s="1"/>
  <c r="BQ34" i="10" s="1"/>
  <c r="G26" i="16"/>
  <c r="A26" i="16"/>
  <c r="BQ25" i="10"/>
  <c r="BM25" i="10" s="1"/>
  <c r="AA27" i="16" s="1"/>
  <c r="BM26" i="10"/>
  <c r="AA28" i="16" s="1"/>
  <c r="BH1622" i="10"/>
  <c r="BD1622" i="10" s="1"/>
  <c r="BD1623" i="10"/>
  <c r="BI1622" i="10"/>
  <c r="BE1622" i="10" s="1"/>
  <c r="BE1623" i="10"/>
  <c r="BC1623" i="10"/>
  <c r="BG1622" i="10"/>
  <c r="BC1622" i="10" s="1"/>
  <c r="BA1622" i="10"/>
  <c r="AZ1622" i="10"/>
  <c r="BN26" i="10"/>
  <c r="BJ26" i="10" s="1"/>
  <c r="X28" i="16" s="1"/>
  <c r="BJ25" i="10"/>
  <c r="X27" i="16" s="1"/>
  <c r="AZ1623" i="10"/>
  <c r="BA1623" i="10"/>
  <c r="BF1623" i="10"/>
  <c r="BB1623" i="10" s="1"/>
  <c r="BB1622" i="10"/>
  <c r="AW1634" i="10"/>
  <c r="BQ1635" i="10"/>
  <c r="BO1635" i="10"/>
  <c r="BN1634" i="10"/>
  <c r="BP1635" i="10"/>
  <c r="BM1623" i="10"/>
  <c r="BQ1622" i="10"/>
  <c r="BM1622" i="10" s="1"/>
  <c r="D38" i="16"/>
  <c r="AX1635" i="10"/>
  <c r="AU1634" i="10"/>
  <c r="AY1634" i="10" s="1"/>
  <c r="BG1635" i="10"/>
  <c r="BF1634" i="10"/>
  <c r="BH1635" i="10"/>
  <c r="BI1635" i="10"/>
  <c r="P88" i="14"/>
  <c r="BL1623" i="10"/>
  <c r="BP1622" i="10"/>
  <c r="BL1622" i="10" s="1"/>
  <c r="BK1623" i="10"/>
  <c r="BO1622" i="10"/>
  <c r="BK1622" i="10" s="1"/>
  <c r="BN1623" i="10"/>
  <c r="BJ1623" i="10" s="1"/>
  <c r="BJ1622" i="10"/>
  <c r="BO25" i="10"/>
  <c r="BK25" i="10" s="1"/>
  <c r="Y27" i="16" s="1"/>
  <c r="BK26" i="10"/>
  <c r="Y28" i="16" s="1"/>
  <c r="BL26" i="10"/>
  <c r="Z28" i="16" s="1"/>
  <c r="BP25" i="10"/>
  <c r="BL25" i="10" s="1"/>
  <c r="Z27" i="16" s="1"/>
  <c r="N20" i="16"/>
  <c r="L20" i="16"/>
  <c r="M20" i="16"/>
  <c r="BM14" i="10"/>
  <c r="AA16" i="16" s="1"/>
  <c r="BK14" i="10"/>
  <c r="Y16" i="16" s="1"/>
  <c r="BP13" i="10"/>
  <c r="BL13" i="10" s="1"/>
  <c r="Z15" i="16" s="1"/>
  <c r="BQ31" i="10"/>
  <c r="BM31" i="10" s="1"/>
  <c r="AA33" i="16" s="1"/>
  <c r="BO31" i="10"/>
  <c r="BK31" i="10" s="1"/>
  <c r="Y33" i="16" s="1"/>
  <c r="BN32" i="10"/>
  <c r="BJ32" i="10" s="1"/>
  <c r="X34" i="16" s="1"/>
  <c r="O14" i="16"/>
  <c r="L14" i="16"/>
  <c r="M14" i="16"/>
  <c r="N14" i="16"/>
  <c r="BP5" i="10"/>
  <c r="BL5" i="10" s="1"/>
  <c r="Z7" i="16" s="1"/>
  <c r="BO5" i="10"/>
  <c r="BK5" i="10" s="1"/>
  <c r="Y7" i="16" s="1"/>
  <c r="BQ5" i="10"/>
  <c r="BM5" i="10" s="1"/>
  <c r="AA7" i="16" s="1"/>
  <c r="BP22" i="10" l="1"/>
  <c r="BL22" i="10" s="1"/>
  <c r="Z24" i="16" s="1"/>
  <c r="G18" i="16"/>
  <c r="BQ22" i="10"/>
  <c r="BM22" i="10" s="1"/>
  <c r="AA24" i="16" s="1"/>
  <c r="BO22" i="10"/>
  <c r="BO21" i="10" s="1"/>
  <c r="BK21" i="10" s="1"/>
  <c r="Y23" i="16" s="1"/>
  <c r="BO1663" i="10"/>
  <c r="BK1663" i="10" s="1"/>
  <c r="BP1663" i="10"/>
  <c r="BL1663" i="10" s="1"/>
  <c r="BG1663" i="10"/>
  <c r="BG1662" i="10" s="1"/>
  <c r="BC1662" i="10" s="1"/>
  <c r="BF1662" i="10"/>
  <c r="BB1662" i="10" s="1"/>
  <c r="T22" i="16"/>
  <c r="AV20" i="10" s="1"/>
  <c r="BA1664" i="10"/>
  <c r="BQ1663" i="10"/>
  <c r="BM1663" i="10" s="1"/>
  <c r="BH1662" i="10"/>
  <c r="BD1662" i="10" s="1"/>
  <c r="BD1663" i="10"/>
  <c r="AZ1651" i="10"/>
  <c r="BA1651" i="10"/>
  <c r="BN1665" i="10"/>
  <c r="BJ1665" i="10" s="1"/>
  <c r="BJ1664" i="10"/>
  <c r="G29" i="16"/>
  <c r="A29" i="16"/>
  <c r="T9" i="16"/>
  <c r="AV7" i="10" s="1"/>
  <c r="A21" i="16"/>
  <c r="G21" i="16"/>
  <c r="BB1664" i="10"/>
  <c r="BF1665" i="10"/>
  <c r="BB1665" i="10" s="1"/>
  <c r="BA1665" i="10"/>
  <c r="AZ1665" i="10"/>
  <c r="BC1655" i="10"/>
  <c r="BG1654" i="10"/>
  <c r="BC1654" i="10" s="1"/>
  <c r="BC1665" i="10"/>
  <c r="BG1664" i="10"/>
  <c r="BC1664" i="10" s="1"/>
  <c r="A32" i="16"/>
  <c r="G32" i="16"/>
  <c r="BN1663" i="10"/>
  <c r="BJ1663" i="10" s="1"/>
  <c r="BJ1662" i="10"/>
  <c r="AZ1655" i="10"/>
  <c r="BA1655" i="10"/>
  <c r="N31" i="16"/>
  <c r="M31" i="16"/>
  <c r="O31" i="16"/>
  <c r="L31" i="16"/>
  <c r="T31" i="16" s="1"/>
  <c r="AV29" i="10" s="1"/>
  <c r="AZ1654" i="10"/>
  <c r="BA1654" i="10"/>
  <c r="BQ1654" i="10"/>
  <c r="BM1654" i="10" s="1"/>
  <c r="BM1655" i="10"/>
  <c r="BI1663" i="10"/>
  <c r="BQ1664" i="10"/>
  <c r="BM1664" i="10" s="1"/>
  <c r="BM1665" i="10"/>
  <c r="BO1664" i="10"/>
  <c r="BK1664" i="10" s="1"/>
  <c r="BK1665" i="10"/>
  <c r="L88" i="14"/>
  <c r="BB1654" i="10"/>
  <c r="BF1655" i="10"/>
  <c r="BB1655" i="10" s="1"/>
  <c r="BL1655" i="10"/>
  <c r="BP1654" i="10"/>
  <c r="BL1654" i="10" s="1"/>
  <c r="BJ21" i="10"/>
  <c r="X23" i="16" s="1"/>
  <c r="BN22" i="10"/>
  <c r="BJ22" i="10" s="1"/>
  <c r="X24" i="16" s="1"/>
  <c r="BQ1650" i="10"/>
  <c r="BM1650" i="10" s="1"/>
  <c r="BM1651" i="10"/>
  <c r="BB1650" i="10"/>
  <c r="BF1651" i="10"/>
  <c r="BB1651" i="10" s="1"/>
  <c r="BI1654" i="10"/>
  <c r="BE1654" i="10" s="1"/>
  <c r="BE1655" i="10"/>
  <c r="BO1654" i="10"/>
  <c r="BK1654" i="10" s="1"/>
  <c r="BK1655" i="10"/>
  <c r="BP1650" i="10"/>
  <c r="BL1650" i="10" s="1"/>
  <c r="BL1651" i="10"/>
  <c r="BI1650" i="10"/>
  <c r="BE1650" i="10" s="1"/>
  <c r="BE1651" i="10"/>
  <c r="BH1654" i="10"/>
  <c r="BD1654" i="10" s="1"/>
  <c r="BD1655" i="10"/>
  <c r="BO1650" i="10"/>
  <c r="BK1650" i="10" s="1"/>
  <c r="BK1651" i="10"/>
  <c r="BH1650" i="10"/>
  <c r="BD1650" i="10" s="1"/>
  <c r="BD1651" i="10"/>
  <c r="AN1650" i="10"/>
  <c r="AP1650" i="10"/>
  <c r="BN1655" i="10"/>
  <c r="BJ1655" i="10" s="1"/>
  <c r="BJ1654" i="10"/>
  <c r="BP1664" i="10"/>
  <c r="BL1664" i="10" s="1"/>
  <c r="BL1665" i="10"/>
  <c r="BE1665" i="10"/>
  <c r="BI1664" i="10"/>
  <c r="BE1664" i="10" s="1"/>
  <c r="AX1663" i="10"/>
  <c r="AU1662" i="10"/>
  <c r="AY1662" i="10" s="1"/>
  <c r="AZ1662" i="10" s="1"/>
  <c r="D30" i="16"/>
  <c r="BN1651" i="10"/>
  <c r="BJ1651" i="10" s="1"/>
  <c r="BJ1650" i="10"/>
  <c r="BG1650" i="10"/>
  <c r="BC1650" i="10" s="1"/>
  <c r="BC1651" i="10"/>
  <c r="S1662" i="10"/>
  <c r="U1662" i="10"/>
  <c r="BA1650" i="10"/>
  <c r="AZ1650" i="10"/>
  <c r="T6" i="16"/>
  <c r="AV4" i="10" s="1"/>
  <c r="BP4" i="10" s="1"/>
  <c r="BN33" i="10"/>
  <c r="BJ33" i="10" s="1"/>
  <c r="X35" i="16" s="1"/>
  <c r="BO34" i="10"/>
  <c r="BO33" i="10" s="1"/>
  <c r="BK33" i="10" s="1"/>
  <c r="Y35" i="16" s="1"/>
  <c r="BP34" i="10"/>
  <c r="BL34" i="10" s="1"/>
  <c r="Z36" i="16" s="1"/>
  <c r="O18" i="16"/>
  <c r="L18" i="16"/>
  <c r="N18" i="16"/>
  <c r="M18" i="16"/>
  <c r="T20" i="16"/>
  <c r="AV18" i="10" s="1"/>
  <c r="BQ18" i="10" s="1"/>
  <c r="BF1635" i="10"/>
  <c r="BB1635" i="10" s="1"/>
  <c r="BB1634" i="10"/>
  <c r="AZ1634" i="10"/>
  <c r="BA1634" i="10"/>
  <c r="BH1634" i="10"/>
  <c r="BD1634" i="10" s="1"/>
  <c r="BD1635" i="10"/>
  <c r="BA1635" i="10"/>
  <c r="AZ1635" i="10"/>
  <c r="BG1634" i="10"/>
  <c r="BC1634" i="10" s="1"/>
  <c r="BC1635" i="10"/>
  <c r="BM34" i="10"/>
  <c r="AA36" i="16" s="1"/>
  <c r="BQ33" i="10"/>
  <c r="BM33" i="10" s="1"/>
  <c r="AA35" i="16" s="1"/>
  <c r="A38" i="16"/>
  <c r="G38" i="16"/>
  <c r="BP1634" i="10"/>
  <c r="BL1634" i="10" s="1"/>
  <c r="BL1635" i="10"/>
  <c r="BN1635" i="10"/>
  <c r="BJ1635" i="10" s="1"/>
  <c r="BJ1634" i="10"/>
  <c r="BK1635" i="10"/>
  <c r="BO1634" i="10"/>
  <c r="BK1634" i="10" s="1"/>
  <c r="BI1634" i="10"/>
  <c r="BE1634" i="10" s="1"/>
  <c r="BE1635" i="10"/>
  <c r="BM1635" i="10"/>
  <c r="BQ1634" i="10"/>
  <c r="BM1634" i="10" s="1"/>
  <c r="M26" i="16"/>
  <c r="N26" i="16"/>
  <c r="O26" i="16"/>
  <c r="L26" i="16"/>
  <c r="T14" i="16"/>
  <c r="AV12" i="10" s="1"/>
  <c r="BQ21" i="10" l="1"/>
  <c r="BM21" i="10" s="1"/>
  <c r="AA23" i="16" s="1"/>
  <c r="BK22" i="10"/>
  <c r="Y24" i="16" s="1"/>
  <c r="BP21" i="10"/>
  <c r="BL21" i="10" s="1"/>
  <c r="Z23" i="16" s="1"/>
  <c r="BP1662" i="10"/>
  <c r="BL1662" i="10" s="1"/>
  <c r="BO1662" i="10"/>
  <c r="BK1662" i="10" s="1"/>
  <c r="BF1663" i="10"/>
  <c r="BB1663" i="10" s="1"/>
  <c r="BC1663" i="10"/>
  <c r="BQ1662" i="10"/>
  <c r="BM1662" i="10" s="1"/>
  <c r="O29" i="16"/>
  <c r="L29" i="16"/>
  <c r="M29" i="16"/>
  <c r="N29" i="16"/>
  <c r="G30" i="16"/>
  <c r="A30" i="16"/>
  <c r="AZ1663" i="10"/>
  <c r="BA1663" i="10"/>
  <c r="BA1662" i="10"/>
  <c r="M21" i="16"/>
  <c r="N21" i="16"/>
  <c r="O21" i="16"/>
  <c r="L21" i="16"/>
  <c r="AN1662" i="10"/>
  <c r="AP1662" i="10"/>
  <c r="N32" i="16"/>
  <c r="M32" i="16"/>
  <c r="O32" i="16"/>
  <c r="L32" i="16"/>
  <c r="BO8" i="10"/>
  <c r="BQ8" i="10"/>
  <c r="BN7" i="10"/>
  <c r="BP8" i="10"/>
  <c r="BI1662" i="10"/>
  <c r="BE1662" i="10" s="1"/>
  <c r="BE1663" i="10"/>
  <c r="BO4" i="10"/>
  <c r="BO3" i="10" s="1"/>
  <c r="BK3" i="10" s="1"/>
  <c r="Y5" i="16" s="1"/>
  <c r="BQ4" i="10"/>
  <c r="BM4" i="10" s="1"/>
  <c r="AA6" i="16" s="1"/>
  <c r="BN3" i="10"/>
  <c r="BJ3" i="10" s="1"/>
  <c r="X5" i="16" s="1"/>
  <c r="BN34" i="10"/>
  <c r="BJ34" i="10" s="1"/>
  <c r="X36" i="16" s="1"/>
  <c r="BP33" i="10"/>
  <c r="BL33" i="10" s="1"/>
  <c r="Z35" i="16" s="1"/>
  <c r="T18" i="16"/>
  <c r="AV16" i="10" s="1"/>
  <c r="BL4" i="10"/>
  <c r="Z6" i="16" s="1"/>
  <c r="BP3" i="10"/>
  <c r="BL3" i="10" s="1"/>
  <c r="Z5" i="16" s="1"/>
  <c r="BK34" i="10"/>
  <c r="Y36" i="16" s="1"/>
  <c r="BP18" i="10"/>
  <c r="BL18" i="10" s="1"/>
  <c r="Z20" i="16" s="1"/>
  <c r="T26" i="16"/>
  <c r="AV24" i="10" s="1"/>
  <c r="BN23" i="10" s="1"/>
  <c r="BN17" i="10"/>
  <c r="BN18" i="10" s="1"/>
  <c r="BJ18" i="10" s="1"/>
  <c r="X20" i="16" s="1"/>
  <c r="BO18" i="10"/>
  <c r="BK18" i="10" s="1"/>
  <c r="Y20" i="16" s="1"/>
  <c r="O38" i="16"/>
  <c r="L38" i="16"/>
  <c r="N38" i="16"/>
  <c r="M38" i="16"/>
  <c r="BQ12" i="10"/>
  <c r="BO12" i="10"/>
  <c r="BP12" i="10"/>
  <c r="BN11" i="10"/>
  <c r="BQ17" i="10"/>
  <c r="BM17" i="10" s="1"/>
  <c r="AA19" i="16" s="1"/>
  <c r="BM18" i="10"/>
  <c r="AA20" i="16" s="1"/>
  <c r="T32" i="16" l="1"/>
  <c r="AV30" i="10" s="1"/>
  <c r="BP30" i="10" s="1"/>
  <c r="BP29" i="10" s="1"/>
  <c r="BL29" i="10" s="1"/>
  <c r="Z31" i="16" s="1"/>
  <c r="T21" i="16"/>
  <c r="AV19" i="10" s="1"/>
  <c r="BP20" i="10" s="1"/>
  <c r="BK8" i="10"/>
  <c r="Y10" i="16" s="1"/>
  <c r="BO7" i="10"/>
  <c r="BK7" i="10" s="1"/>
  <c r="Y9" i="16" s="1"/>
  <c r="BK4" i="10"/>
  <c r="Y6" i="16" s="1"/>
  <c r="N30" i="16"/>
  <c r="M30" i="16"/>
  <c r="L30" i="16"/>
  <c r="O30" i="16"/>
  <c r="BL8" i="10"/>
  <c r="Z10" i="16" s="1"/>
  <c r="BP7" i="10"/>
  <c r="BL7" i="10" s="1"/>
  <c r="Z9" i="16" s="1"/>
  <c r="BN8" i="10"/>
  <c r="BJ8" i="10" s="1"/>
  <c r="X10" i="16" s="1"/>
  <c r="BJ7" i="10"/>
  <c r="X9" i="16" s="1"/>
  <c r="T29" i="16"/>
  <c r="AV27" i="10" s="1"/>
  <c r="BQ7" i="10"/>
  <c r="BM7" i="10" s="1"/>
  <c r="AA9" i="16" s="1"/>
  <c r="BM8" i="10"/>
  <c r="AA10" i="16" s="1"/>
  <c r="BN4" i="10"/>
  <c r="BJ4" i="10" s="1"/>
  <c r="X6" i="16" s="1"/>
  <c r="BQ3" i="10"/>
  <c r="BM3" i="10" s="1"/>
  <c r="AA5" i="16" s="1"/>
  <c r="BQ24" i="10"/>
  <c r="BQ23" i="10" s="1"/>
  <c r="BM23" i="10" s="1"/>
  <c r="AA25" i="16" s="1"/>
  <c r="BO24" i="10"/>
  <c r="BK24" i="10" s="1"/>
  <c r="Y26" i="16" s="1"/>
  <c r="BP24" i="10"/>
  <c r="BL24" i="10" s="1"/>
  <c r="Z26" i="16" s="1"/>
  <c r="BN15" i="10"/>
  <c r="BQ16" i="10"/>
  <c r="BP16" i="10"/>
  <c r="BO16" i="10"/>
  <c r="BP17" i="10"/>
  <c r="BL17" i="10" s="1"/>
  <c r="Z19" i="16" s="1"/>
  <c r="BJ17" i="10"/>
  <c r="X19" i="16" s="1"/>
  <c r="BO17" i="10"/>
  <c r="BK17" i="10" s="1"/>
  <c r="Y19" i="16" s="1"/>
  <c r="T38" i="16"/>
  <c r="AV36" i="10" s="1"/>
  <c r="BN24" i="10"/>
  <c r="BJ24" i="10" s="1"/>
  <c r="X26" i="16" s="1"/>
  <c r="BJ23" i="10"/>
  <c r="X25" i="16" s="1"/>
  <c r="BJ11" i="10"/>
  <c r="X13" i="16" s="1"/>
  <c r="BN12" i="10"/>
  <c r="BJ12" i="10" s="1"/>
  <c r="X14" i="16" s="1"/>
  <c r="BL12" i="10"/>
  <c r="Z14" i="16" s="1"/>
  <c r="BP11" i="10"/>
  <c r="BL11" i="10" s="1"/>
  <c r="Z13" i="16" s="1"/>
  <c r="BK12" i="10"/>
  <c r="Y14" i="16" s="1"/>
  <c r="BO11" i="10"/>
  <c r="BK11" i="10" s="1"/>
  <c r="Y13" i="16" s="1"/>
  <c r="BM12" i="10"/>
  <c r="AA14" i="16" s="1"/>
  <c r="BQ11" i="10"/>
  <c r="BM11" i="10" s="1"/>
  <c r="AA13" i="16" s="1"/>
  <c r="BO20" i="10" l="1"/>
  <c r="BO19" i="10" s="1"/>
  <c r="BK19" i="10" s="1"/>
  <c r="Y21" i="16" s="1"/>
  <c r="BN19" i="10"/>
  <c r="BJ19" i="10" s="1"/>
  <c r="X21" i="16" s="1"/>
  <c r="BQ20" i="10"/>
  <c r="BQ19" i="10" s="1"/>
  <c r="BM19" i="10" s="1"/>
  <c r="AA21" i="16" s="1"/>
  <c r="BO30" i="10"/>
  <c r="BO29" i="10" s="1"/>
  <c r="BK29" i="10" s="1"/>
  <c r="Y31" i="16" s="1"/>
  <c r="BQ30" i="10"/>
  <c r="BM30" i="10" s="1"/>
  <c r="AA32" i="16" s="1"/>
  <c r="BN29" i="10"/>
  <c r="BJ29" i="10" s="1"/>
  <c r="X31" i="16" s="1"/>
  <c r="BL30" i="10"/>
  <c r="Z32" i="16" s="1"/>
  <c r="T30" i="16"/>
  <c r="AV28" i="10" s="1"/>
  <c r="BQ28" i="10" s="1"/>
  <c r="BP19" i="10"/>
  <c r="BL19" i="10" s="1"/>
  <c r="Z21" i="16" s="1"/>
  <c r="BL20" i="10"/>
  <c r="Z22" i="16" s="1"/>
  <c r="BN27" i="10"/>
  <c r="BM24" i="10"/>
  <c r="AA26" i="16" s="1"/>
  <c r="BP23" i="10"/>
  <c r="BL23" i="10" s="1"/>
  <c r="Z25" i="16" s="1"/>
  <c r="BO23" i="10"/>
  <c r="BK23" i="10" s="1"/>
  <c r="Y25" i="16" s="1"/>
  <c r="BO15" i="10"/>
  <c r="BK15" i="10" s="1"/>
  <c r="Y17" i="16" s="1"/>
  <c r="BK16" i="10"/>
  <c r="Y18" i="16" s="1"/>
  <c r="BL16" i="10"/>
  <c r="Z18" i="16" s="1"/>
  <c r="BP15" i="10"/>
  <c r="BL15" i="10" s="1"/>
  <c r="Z17" i="16" s="1"/>
  <c r="BQ15" i="10"/>
  <c r="BM15" i="10" s="1"/>
  <c r="AA17" i="16" s="1"/>
  <c r="BM16" i="10"/>
  <c r="AA18" i="16" s="1"/>
  <c r="BN16" i="10"/>
  <c r="BJ16" i="10" s="1"/>
  <c r="X18" i="16" s="1"/>
  <c r="BJ15" i="10"/>
  <c r="X17" i="16" s="1"/>
  <c r="BN35" i="10"/>
  <c r="BO36" i="10"/>
  <c r="BQ36" i="10"/>
  <c r="BP36" i="10"/>
  <c r="BP28" i="10" l="1"/>
  <c r="BL28" i="10" s="1"/>
  <c r="Z30" i="16" s="1"/>
  <c r="BM20" i="10"/>
  <c r="AA22" i="16" s="1"/>
  <c r="BN20" i="10"/>
  <c r="BJ20" i="10" s="1"/>
  <c r="X22" i="16" s="1"/>
  <c r="BK20" i="10"/>
  <c r="Y22" i="16" s="1"/>
  <c r="BK30" i="10"/>
  <c r="Y32" i="16" s="1"/>
  <c r="BN30" i="10"/>
  <c r="BJ30" i="10" s="1"/>
  <c r="X32" i="16" s="1"/>
  <c r="BQ29" i="10"/>
  <c r="BM29" i="10" s="1"/>
  <c r="AA31" i="16" s="1"/>
  <c r="BO28" i="10"/>
  <c r="BO27" i="10" s="1"/>
  <c r="BK27" i="10" s="1"/>
  <c r="Y29" i="16" s="1"/>
  <c r="BQ27" i="10"/>
  <c r="BM27" i="10" s="1"/>
  <c r="AA29" i="16" s="1"/>
  <c r="BM28" i="10"/>
  <c r="AA30" i="16" s="1"/>
  <c r="BJ27" i="10"/>
  <c r="X29" i="16" s="1"/>
  <c r="BN28" i="10"/>
  <c r="BJ28" i="10" s="1"/>
  <c r="X30" i="16" s="1"/>
  <c r="BP35" i="10"/>
  <c r="BL35" i="10" s="1"/>
  <c r="Z37" i="16" s="1"/>
  <c r="BL36" i="10"/>
  <c r="Z38" i="16" s="1"/>
  <c r="BM36" i="10"/>
  <c r="AA38" i="16" s="1"/>
  <c r="BQ35" i="10"/>
  <c r="BM35" i="10" s="1"/>
  <c r="AA37" i="16" s="1"/>
  <c r="BK36" i="10"/>
  <c r="Y38" i="16" s="1"/>
  <c r="BO35" i="10"/>
  <c r="BK35" i="10" s="1"/>
  <c r="Y37" i="16" s="1"/>
  <c r="BJ35" i="10"/>
  <c r="X37" i="16" s="1"/>
  <c r="BN36" i="10"/>
  <c r="BJ36" i="10" s="1"/>
  <c r="X38" i="16" s="1"/>
  <c r="BP27" i="10" l="1"/>
  <c r="BL27" i="10" s="1"/>
  <c r="Z29" i="16" s="1"/>
  <c r="BK28" i="10"/>
  <c r="Y30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<sst xmlns="http://schemas.openxmlformats.org/spreadsheetml/2006/main" count="21448" uniqueCount="1957">
  <si>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</si>
  <si>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</si>
  <si>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</si>
  <si>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</si>
  <si>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</si>
  <si>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</si>
  <si>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</si>
  <si>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</si>
  <si>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</si>
  <si>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</si>
  <si>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</si>
  <si>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</si>
  <si>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</si>
  <si>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</si>
  <si>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</si>
  <si>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</si>
  <si>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</si>
  <si>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</si>
  <si>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</si>
  <si>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</si>
  <si>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</si>
  <si>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</si>
  <si>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</si>
  <si>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</si>
  <si>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</si>
  <si>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</si>
  <si>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</si>
  <si>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</si>
  <si>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</si>
  <si>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</si>
  <si>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</si>
  <si>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</si>
  <si>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</si>
  <si>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</si>
  <si>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</si>
  <si>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</si>
  <si>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</si>
  <si>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</si>
  <si>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</si>
  <si>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</si>
  <si>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</si>
  <si>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</si>
  <si>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</si>
  <si>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</si>
  <si>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</si>
  <si>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</si>
  <si>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</si>
  <si>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</si>
  <si>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</si>
  <si>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</si>
  <si>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</si>
  <si>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</si>
  <si>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</si>
  <si>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</si>
  <si>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</si>
  <si>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</si>
  <si>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</si>
  <si>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</si>
  <si>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</si>
  <si>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</si>
  <si>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</si>
  <si>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</si>
  <si>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</si>
  <si>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</si>
  <si>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</si>
  <si>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</si>
  <si>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</si>
  <si>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</si>
  <si>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</si>
  <si>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</si>
  <si>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</si>
  <si>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</si>
  <si>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</si>
  <si>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</si>
  <si>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</si>
  <si>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</si>
  <si>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</si>
  <si>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</si>
  <si>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</si>
  <si>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</si>
  <si>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</si>
  <si>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</si>
  <si>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</si>
  <si>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</si>
  <si>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</si>
  <si>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</si>
  <si>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</si>
  <si>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</si>
  <si>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</si>
  <si>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</si>
  <si>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</si>
  <si>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</si>
  <si>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</si>
  <si>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</si>
  <si>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</si>
  <si>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</si>
  <si>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</si>
  <si>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</si>
  <si>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</si>
  <si>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</si>
  <si>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</si>
  <si>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</si>
  <si>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</si>
  <si>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</si>
  <si>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</si>
  <si>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</si>
  <si>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</si>
  <si>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</si>
  <si>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</si>
  <si>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</si>
  <si>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</si>
  <si>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</si>
  <si>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</si>
  <si>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</si>
  <si>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</si>
  <si>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</si>
  <si>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</si>
  <si>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</si>
  <si>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</si>
  <si>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</si>
  <si>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</si>
  <si>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</si>
  <si>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</si>
  <si>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</si>
  <si>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</si>
  <si>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</si>
  <si>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</si>
  <si>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</si>
  <si>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</si>
  <si>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</si>
  <si>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</si>
  <si>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</si>
  <si>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</si>
  <si>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</si>
  <si>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</si>
  <si>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</si>
  <si>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</si>
  <si>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</si>
  <si>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</si>
  <si>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</si>
  <si>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</si>
  <si>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</si>
  <si>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</si>
  <si>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</si>
  <si>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</si>
  <si>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</si>
  <si>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</si>
  <si>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</si>
  <si>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</si>
  <si>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</si>
  <si>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</si>
  <si>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</si>
  <si>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</si>
  <si>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</si>
  <si>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</si>
  <si>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</si>
  <si>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</si>
  <si>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</si>
  <si>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</si>
  <si>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</si>
  <si>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</si>
  <si>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</si>
  <si>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</si>
  <si>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</si>
  <si>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</si>
  <si>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</si>
  <si>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</si>
  <si>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</si>
  <si>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</si>
  <si>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</si>
  <si>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</si>
  <si>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</si>
  <si>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</si>
  <si>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</si>
  <si>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</si>
  <si>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</si>
  <si>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</si>
  <si>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</si>
  <si>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</si>
  <si>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</si>
  <si>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</si>
  <si>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</si>
  <si>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</si>
  <si>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</si>
  <si>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</si>
  <si>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</si>
  <si>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</si>
  <si>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</si>
  <si>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</si>
  <si>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</si>
  <si>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</si>
  <si>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</si>
  <si>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</si>
  <si>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</si>
  <si>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</si>
  <si>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</si>
  <si>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</si>
  <si>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</si>
  <si>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</si>
  <si>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</si>
  <si>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</si>
  <si>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</si>
  <si>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</si>
  <si>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</si>
  <si>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</si>
  <si>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</si>
  <si>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</si>
  <si>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</si>
  <si>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</si>
  <si>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</si>
  <si>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</si>
  <si>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</si>
  <si>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</si>
  <si>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</si>
  <si>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</si>
  <si>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</si>
  <si>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</si>
  <si>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</si>
  <si>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</si>
  <si>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</si>
  <si>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</si>
  <si>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</si>
  <si>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</si>
  <si>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</si>
  <si>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</si>
  <si>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</si>
  <si>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</si>
  <si>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</si>
  <si>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</si>
  <si>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</si>
  <si>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</si>
  <si>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</si>
  <si>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</si>
  <si>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</si>
  <si>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</si>
  <si>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</si>
  <si>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</si>
  <si>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</si>
  <si>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</si>
  <si>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</si>
  <si>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</si>
  <si>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</si>
  <si>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</si>
  <si>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</si>
  <si>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</si>
  <si>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</si>
  <si>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</si>
  <si>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</si>
  <si>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</si>
  <si>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</si>
  <si>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</si>
  <si>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</si>
  <si>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</si>
  <si>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</si>
  <si>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</si>
  <si>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</si>
  <si>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</si>
  <si>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</si>
  <si>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</si>
  <si>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</si>
  <si>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</si>
  <si>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</si>
  <si>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</si>
  <si>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</si>
  <si>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</si>
  <si>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</si>
  <si>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</si>
  <si>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</si>
  <si>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</si>
  <si>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</si>
  <si>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</si>
  <si>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</si>
  <si>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</si>
  <si>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</si>
  <si>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</si>
  <si>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</si>
  <si>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</si>
  <si>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</si>
  <si>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</si>
  <si>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</si>
  <si>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</si>
  <si>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</si>
  <si>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</si>
  <si>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</si>
  <si>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</si>
  <si>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</si>
  <si>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</si>
  <si>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</si>
  <si>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</si>
  <si>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</si>
  <si>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</si>
  <si>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</si>
  <si>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</si>
  <si>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</si>
  <si>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</si>
  <si>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</si>
  <si>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</si>
  <si>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</si>
  <si>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</si>
  <si>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</si>
  <si>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</si>
  <si>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</si>
  <si>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</si>
  <si>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</si>
  <si>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</si>
  <si>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</si>
  <si>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</si>
  <si>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</si>
  <si>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</si>
  <si>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</si>
  <si>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</si>
  <si>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</si>
  <si>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</si>
  <si>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</si>
  <si>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</si>
  <si>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</si>
  <si>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</si>
  <si>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</si>
  <si>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</si>
  <si>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</si>
  <si>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</si>
  <si>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</si>
  <si>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</si>
  <si>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</si>
  <si>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</si>
  <si>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</si>
  <si>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</si>
  <si>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</si>
  <si>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</si>
  <si>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</si>
  <si>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</si>
  <si>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</si>
  <si>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</si>
  <si>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</si>
  <si>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</si>
  <si>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</si>
  <si>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</si>
  <si>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</si>
  <si>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</si>
  <si>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</si>
  <si>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</si>
  <si>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</si>
  <si>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</si>
  <si>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</si>
  <si>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</si>
  <si>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</si>
  <si>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</si>
  <si>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</si>
  <si>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</si>
  <si>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</si>
  <si>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</si>
  <si>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</si>
  <si>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</si>
  <si>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</si>
  <si>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</si>
  <si>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</si>
  <si>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</si>
  <si>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</si>
  <si>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</si>
  <si>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</si>
  <si>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</si>
  <si>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</si>
  <si>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</si>
  <si>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</si>
  <si>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</si>
  <si>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</si>
  <si>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</si>
  <si>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</si>
  <si>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</si>
  <si>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</si>
  <si>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</si>
  <si>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</si>
  <si>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</si>
  <si>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</si>
  <si>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</si>
  <si>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</si>
  <si>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</si>
  <si>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</si>
  <si>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</si>
  <si>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</si>
  <si>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</si>
  <si>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</si>
  <si>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</si>
  <si>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</si>
  <si>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</si>
  <si>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</si>
  <si>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</si>
  <si>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</si>
  <si>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</si>
  <si>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</si>
  <si>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</si>
  <si>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</si>
  <si>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</si>
  <si>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</si>
  <si>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</si>
  <si>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</si>
  <si>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</si>
  <si>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</si>
  <si>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</si>
  <si>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</si>
  <si>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</si>
  <si>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</si>
  <si>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</si>
  <si>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</si>
  <si>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</si>
  <si>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</si>
  <si>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</si>
  <si>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</si>
  <si>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</si>
  <si>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</si>
  <si>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</si>
  <si>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</si>
  <si>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</si>
  <si>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</si>
  <si>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</si>
  <si>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</si>
  <si>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</si>
  <si>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</si>
  <si>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</si>
  <si>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</si>
  <si>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</si>
  <si>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</si>
  <si>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</si>
  <si>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</si>
  <si>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</si>
  <si>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</si>
  <si>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</si>
  <si>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</si>
  <si>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</si>
  <si>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</si>
  <si>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</si>
  <si>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</si>
  <si>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</si>
  <si>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</si>
  <si>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</si>
  <si>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</si>
  <si>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</si>
  <si>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</si>
  <si>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</si>
  <si>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</si>
  <si>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</si>
  <si>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</si>
  <si>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</si>
  <si>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</si>
  <si>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</si>
  <si>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</si>
  <si>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</si>
  <si>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</si>
  <si>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</si>
  <si>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</si>
  <si>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</si>
  <si>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</si>
  <si>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</si>
  <si>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</si>
  <si>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</si>
  <si>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</si>
  <si>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</si>
  <si>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</si>
  <si>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</si>
  <si>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</si>
  <si>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</si>
  <si>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</si>
  <si>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</si>
  <si>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</si>
  <si>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</si>
  <si>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</si>
  <si>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</si>
  <si>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</si>
  <si>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</si>
  <si>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</si>
  <si>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</si>
  <si>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</si>
  <si>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</si>
  <si>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</si>
  <si>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</si>
  <si>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</si>
  <si>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</si>
  <si>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</si>
  <si>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</si>
  <si>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</si>
  <si>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</si>
  <si>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</si>
  <si>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</si>
  <si>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</si>
  <si>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</si>
  <si>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</si>
  <si>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</si>
  <si>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</si>
  <si>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</si>
  <si>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</si>
  <si>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</si>
  <si>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</si>
  <si>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</si>
  <si>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</si>
  <si>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</si>
  <si>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</si>
  <si>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</si>
  <si>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</si>
  <si>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</si>
  <si>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</si>
  <si>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</si>
  <si>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</si>
  <si>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</si>
  <si>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</si>
  <si>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</si>
  <si>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</si>
  <si>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</si>
  <si>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</si>
  <si>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</si>
  <si>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</si>
  <si>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</si>
  <si>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</si>
  <si>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</si>
  <si>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</si>
  <si>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</si>
  <si>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</si>
  <si>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</si>
  <si>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</si>
  <si>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</si>
  <si>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</si>
  <si>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</si>
  <si>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</si>
  <si>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</si>
  <si>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</si>
  <si>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</si>
  <si>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</si>
  <si>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</si>
  <si>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</si>
  <si>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</si>
  <si>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</si>
  <si>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</si>
  <si>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</si>
  <si>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</si>
  <si>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</si>
  <si>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</si>
  <si>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</si>
  <si>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</si>
  <si>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</si>
  <si>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</si>
  <si>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</si>
  <si>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</si>
  <si>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</si>
  <si>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</si>
  <si>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</si>
  <si>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</si>
  <si>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</si>
  <si>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</si>
  <si>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</si>
  <si>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</si>
  <si>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</si>
  <si>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</si>
  <si>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</si>
  <si>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</si>
  <si>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</si>
  <si>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</si>
  <si>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</si>
  <si>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</si>
  <si>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</si>
  <si>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</si>
  <si>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</si>
  <si>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</si>
  <si>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</si>
  <si>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</si>
  <si>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</si>
  <si>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</si>
  <si>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</si>
  <si>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</si>
  <si>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</si>
  <si>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</si>
  <si>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</si>
  <si>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</si>
  <si>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</si>
  <si>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</si>
  <si>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</si>
  <si>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</si>
  <si>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</si>
  <si>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</si>
  <si>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</si>
  <si>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</si>
  <si>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</si>
  <si>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</si>
  <si>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</si>
  <si>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</si>
  <si>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</si>
  <si>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</si>
  <si>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</si>
  <si>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</si>
  <si>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</si>
  <si>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</si>
  <si>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</si>
  <si>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</si>
  <si>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</si>
  <si>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</si>
  <si>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</si>
  <si>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</si>
  <si>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</si>
  <si>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</si>
  <si>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</si>
  <si>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</si>
  <si>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</si>
  <si>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</si>
  <si>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</si>
  <si>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</si>
  <si>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</si>
  <si>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</si>
  <si>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</si>
  <si>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</si>
  <si>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</si>
  <si>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</si>
  <si>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</si>
  <si>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</si>
  <si>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</si>
  <si>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</si>
  <si>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</si>
  <si>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</si>
  <si>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</si>
  <si>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</si>
  <si>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</si>
  <si>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</si>
  <si>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</si>
  <si>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</si>
  <si>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</si>
  <si>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</si>
  <si>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</si>
  <si>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</si>
  <si>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</si>
  <si>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</si>
  <si>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</si>
  <si>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</si>
  <si>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</si>
  <si>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</si>
  <si>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</si>
  <si>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</si>
  <si>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</si>
  <si>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</si>
  <si>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</si>
  <si>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</si>
  <si>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</si>
  <si>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</si>
  <si>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</si>
  <si>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</si>
  <si>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</si>
  <si>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</si>
  <si>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</si>
  <si>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</si>
  <si>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</si>
  <si>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</si>
  <si>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</si>
  <si>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</si>
  <si>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</si>
  <si>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</si>
  <si>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</si>
  <si>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</si>
  <si>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</si>
  <si>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</si>
  <si>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</si>
  <si>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</si>
  <si>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</si>
  <si>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</si>
  <si>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</si>
  <si>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</si>
  <si>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</si>
  <si>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</si>
  <si>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</si>
  <si>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</si>
  <si>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</si>
  <si>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</si>
  <si>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</si>
  <si>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</si>
  <si>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</si>
  <si>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</si>
  <si>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</si>
  <si>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</si>
  <si>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</si>
  <si>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</si>
  <si>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</si>
  <si>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</si>
  <si>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</si>
  <si>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</si>
  <si>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</si>
  <si>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</si>
  <si>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</si>
  <si>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</si>
  <si>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</si>
  <si>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</si>
  <si>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</si>
  <si>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</si>
  <si>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</si>
  <si>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</si>
  <si>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</si>
  <si>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</si>
  <si>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</si>
  <si>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</si>
  <si>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</si>
  <si>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</si>
  <si>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</si>
  <si>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</si>
  <si>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</si>
  <si>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</si>
  <si>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</si>
  <si>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</si>
  <si>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</si>
  <si>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</si>
  <si>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</si>
  <si>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</si>
  <si>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</si>
  <si>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</si>
  <si>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</si>
  <si>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</si>
  <si>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</si>
  <si>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</si>
  <si>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</si>
  <si>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</si>
  <si>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</si>
  <si>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</si>
  <si>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</si>
  <si>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</si>
  <si>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</si>
  <si>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</si>
  <si>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</si>
  <si>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</si>
  <si>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</si>
  <si>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</si>
  <si>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</si>
  <si>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</si>
  <si>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</si>
  <si>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</si>
  <si>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</si>
  <si>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</si>
  <si>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</si>
  <si>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</si>
  <si>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</si>
  <si>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</si>
  <si>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</si>
  <si>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</si>
  <si>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</si>
  <si>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</si>
  <si>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</si>
  <si>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</si>
  <si>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</si>
  <si>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</si>
  <si>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</si>
  <si>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</si>
  <si>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</si>
  <si>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</si>
  <si>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</si>
  <si>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</si>
  <si>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</si>
  <si>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</si>
  <si>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</si>
  <si>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</si>
  <si>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</si>
  <si>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</si>
  <si>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</si>
  <si>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</si>
  <si>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</si>
  <si>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</si>
  <si>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</si>
  <si>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</si>
  <si>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</si>
  <si>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</si>
  <si>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</si>
  <si>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</si>
  <si>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</si>
  <si>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</si>
  <si>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</si>
  <si>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</si>
  <si>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</si>
  <si>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</si>
  <si>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</si>
  <si>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</si>
  <si>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</si>
  <si>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</si>
  <si>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</si>
  <si>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</si>
  <si>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</si>
  <si>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</si>
  <si>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</si>
  <si>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</si>
  <si>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</si>
  <si>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</si>
  <si>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</si>
  <si>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</si>
  <si>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</si>
  <si>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</si>
  <si>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</si>
  <si>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</si>
  <si>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</si>
  <si>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</si>
  <si>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</si>
  <si>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</si>
  <si>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</si>
  <si>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</si>
  <si>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</si>
  <si>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</si>
  <si>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</si>
  <si>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</si>
  <si>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</si>
  <si>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</si>
  <si>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</si>
  <si>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</si>
  <si>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</si>
  <si>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</si>
  <si>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</si>
  <si>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</si>
  <si>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</si>
  <si>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</si>
  <si>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</si>
  <si>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</si>
  <si>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</si>
  <si>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</si>
  <si>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</si>
  <si>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</si>
  <si>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</si>
  <si>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</si>
  <si>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</si>
  <si>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</si>
  <si>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</si>
  <si>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</si>
  <si>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</si>
  <si>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</si>
  <si>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</si>
  <si>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</si>
  <si>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</si>
  <si>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</si>
  <si>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</si>
  <si>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</si>
  <si>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</si>
  <si>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</si>
  <si>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</si>
  <si>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</si>
  <si>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</si>
  <si>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</si>
  <si>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</si>
  <si>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</si>
  <si>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</si>
  <si>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</si>
  <si>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</si>
  <si>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</si>
  <si>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</si>
  <si>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</si>
  <si>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</si>
  <si>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</si>
  <si>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</si>
  <si>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</si>
  <si>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</si>
  <si>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</si>
  <si>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</si>
  <si>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</si>
  <si>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</si>
  <si>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</si>
  <si>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</si>
  <si>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</si>
  <si>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</si>
  <si>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</si>
  <si>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</si>
  <si>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</si>
  <si>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</si>
  <si>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</si>
  <si>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</si>
  <si>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</si>
  <si>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</si>
  <si>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</si>
  <si>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</si>
  <si>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</si>
  <si>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</si>
  <si>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</si>
  <si>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</si>
  <si>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</si>
  <si>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</si>
  <si>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</si>
  <si>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</si>
  <si>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</si>
  <si>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</si>
  <si>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</si>
  <si>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</si>
  <si>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</si>
  <si>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</si>
  <si>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</si>
  <si>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</si>
  <si>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</si>
  <si>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</si>
  <si>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</si>
  <si>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</si>
  <si>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</si>
  <si>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</si>
  <si>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</si>
  <si>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</si>
  <si>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</si>
  <si>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</si>
  <si>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</si>
  <si>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</si>
  <si>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</si>
  <si>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</si>
  <si>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</si>
  <si>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</si>
  <si>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</si>
  <si>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</si>
  <si>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</si>
  <si>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</si>
  <si>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</si>
  <si>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</si>
  <si>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</si>
  <si>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</si>
  <si>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Skiiner/Misa Nov 15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</si>
  <si>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</si>
  <si>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</si>
  <si>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</si>
  <si>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</si>
  <si>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</si>
  <si>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</si>
  <si>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</si>
  <si>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</si>
  <si>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</si>
  <si>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</si>
  <si>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</si>
  <si>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</si>
  <si>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</si>
  <si>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</si>
  <si>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</si>
  <si>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</si>
  <si>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</si>
  <si>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</si>
  <si>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</si>
  <si>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</si>
  <si>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</si>
  <si>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</si>
  <si>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</si>
  <si>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</si>
  <si>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</si>
  <si>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</si>
  <si>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</si>
  <si>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</si>
  <si>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</si>
  <si>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</si>
  <si>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</si>
  <si>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</si>
  <si>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</si>
  <si>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</si>
  <si>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</si>
  <si>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</si>
  <si>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</si>
  <si>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</si>
  <si>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</si>
  <si>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</si>
  <si>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</si>
  <si>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</si>
  <si>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</si>
  <si>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</si>
  <si>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</si>
  <si>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</si>
  <si>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</si>
  <si>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</si>
  <si>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</si>
  <si>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</si>
  <si>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</si>
  <si>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</si>
  <si>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</si>
  <si>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</si>
  <si>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</si>
  <si>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</si>
  <si>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</si>
  <si>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</si>
  <si>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</si>
  <si>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</si>
  <si>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</si>
  <si>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</si>
  <si>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</si>
  <si>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</si>
  <si>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</si>
  <si>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</si>
  <si>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</si>
  <si>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</si>
  <si>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</si>
  <si>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</si>
  <si>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</si>
  <si>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</si>
  <si>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</si>
  <si>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</si>
  <si>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</si>
  <si>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</si>
  <si>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</si>
  <si>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</si>
  <si>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</si>
  <si>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</si>
  <si>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</si>
  <si>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</si>
  <si>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</si>
  <si>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</si>
  <si>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</si>
  <si>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</si>
  <si>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</si>
  <si>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</si>
  <si>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</si>
  <si>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</si>
  <si>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</si>
  <si>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</si>
  <si>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</si>
  <si>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</si>
  <si>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</si>
  <si>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</si>
  <si>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</si>
  <si>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</si>
  <si>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</si>
  <si>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</si>
  <si>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</si>
  <si>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</si>
  <si>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</si>
  <si>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</si>
  <si>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</si>
  <si>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</si>
  <si>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</si>
  <si>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</si>
  <si>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</si>
  <si>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</si>
  <si>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</si>
  <si>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</si>
  <si>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</si>
  <si>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</si>
  <si>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</si>
  <si>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</si>
  <si>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</si>
  <si>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</si>
  <si>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</si>
  <si>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</si>
  <si>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</si>
  <si>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</si>
  <si>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</si>
  <si>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</si>
  <si>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</si>
  <si>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</si>
  <si>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</si>
  <si>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</si>
  <si>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</si>
  <si>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</si>
  <si>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</si>
  <si>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</si>
  <si>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</si>
  <si>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</si>
  <si>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</si>
  <si>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</si>
  <si>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</si>
  <si>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</si>
  <si>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</si>
  <si>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</si>
  <si>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</si>
  <si>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</si>
  <si>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</si>
  <si>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</si>
  <si>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</si>
  <si>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</si>
  <si>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</si>
  <si>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</si>
  <si>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</si>
  <si>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</si>
  <si>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</si>
  <si>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</si>
  <si>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</si>
  <si>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</si>
  <si>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</si>
  <si>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</si>
  <si>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</si>
  <si>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</si>
  <si>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</si>
  <si>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</si>
  <si>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</si>
  <si>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</si>
  <si>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</si>
  <si>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</si>
  <si>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</si>
  <si>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</si>
  <si>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</si>
  <si>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</si>
  <si>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</si>
  <si>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</si>
  <si>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</si>
  <si>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</si>
  <si>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</si>
  <si>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</si>
  <si>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</si>
  <si>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</si>
  <si>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</si>
  <si>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</si>
  <si>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</si>
  <si>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</si>
  <si>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</si>
  <si>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</si>
  <si>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</si>
  <si>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</si>
  <si>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</si>
  <si>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</si>
  <si>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</si>
  <si>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</si>
  <si>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</si>
  <si>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</si>
  <si>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</si>
  <si>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</si>
  <si>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</si>
  <si>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</si>
  <si>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</si>
  <si>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</si>
  <si>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</si>
  <si>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</si>
  <si>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</si>
  <si>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</si>
  <si>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</si>
  <si>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</si>
  <si>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</si>
  <si>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</si>
  <si>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</si>
  <si>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</si>
  <si>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</si>
  <si>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</si>
  <si>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</si>
  <si>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</si>
  <si>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</si>
  <si>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</si>
  <si>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</si>
  <si>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</si>
  <si>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</si>
  <si>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</si>
  <si>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</si>
  <si>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</si>
  <si>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</si>
  <si>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</si>
  <si>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</si>
  <si>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</si>
  <si>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</si>
  <si>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</si>
  <si>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</si>
  <si>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</si>
  <si>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</si>
  <si>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</si>
  <si>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</si>
  <si>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</si>
  <si>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</si>
  <si>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</si>
  <si>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</si>
  <si>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</si>
  <si>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</si>
  <si>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</si>
  <si>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</si>
  <si>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</si>
  <si>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</si>
  <si>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</si>
  <si>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</si>
  <si>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</si>
  <si>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</si>
  <si>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</si>
  <si>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</si>
  <si>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</si>
  <si>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</si>
  <si>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</si>
  <si>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</si>
  <si>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</si>
  <si>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</si>
  <si>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</si>
  <si>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</si>
  <si>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</si>
  <si>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</si>
  <si>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</si>
  <si>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</si>
  <si>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</si>
  <si>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</si>
  <si>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</si>
  <si>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</si>
  <si>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</si>
  <si>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</si>
  <si>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</si>
  <si>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</si>
  <si>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</si>
  <si>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</si>
  <si>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</si>
  <si>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</si>
  <si>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</si>
  <si>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</si>
  <si>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</si>
  <si>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</si>
  <si>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</si>
  <si>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</si>
  <si>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</si>
  <si>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</si>
  <si>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</si>
  <si>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</si>
  <si>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</si>
  <si>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</si>
  <si>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</si>
  <si>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</si>
  <si>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</si>
  <si>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</si>
  <si>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</si>
  <si>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</si>
  <si>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</si>
  <si>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</si>
  <si>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</si>
  <si>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</si>
  <si>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</si>
  <si>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</si>
  <si>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</si>
  <si>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</si>
  <si>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</si>
  <si>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</si>
  <si>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</si>
  <si>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</si>
  <si>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</si>
  <si>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</si>
  <si>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</si>
  <si>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</si>
  <si>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</si>
  <si>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</si>
  <si>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</si>
  <si>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</si>
  <si>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</si>
  <si>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</si>
  <si>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</si>
  <si>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</si>
  <si>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</si>
  <si>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</si>
  <si>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</si>
  <si>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</si>
  <si>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</si>
  <si>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</si>
  <si>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</si>
  <si>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</si>
  <si>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</si>
  <si>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</si>
  <si>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</si>
  <si>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</si>
  <si>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</si>
  <si>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</si>
  <si>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</si>
  <si>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</si>
  <si>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</si>
  <si>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</si>
  <si>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</si>
  <si>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</si>
  <si>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</si>
  <si>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</si>
  <si>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</si>
  <si>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</si>
  <si>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</si>
  <si>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</si>
  <si>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</si>
  <si>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</si>
  <si>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</si>
  <si>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</si>
  <si>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</si>
  <si>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</si>
  <si>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</si>
  <si>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</si>
  <si>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</si>
  <si>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</si>
  <si>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</si>
  <si>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</si>
  <si>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</si>
  <si>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</si>
  <si>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</si>
  <si>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</si>
  <si>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</si>
  <si>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</si>
  <si>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</si>
  <si>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</si>
  <si>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</si>
  <si>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</si>
  <si>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</si>
  <si>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</si>
  <si>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</si>
  <si>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</si>
  <si>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</si>
  <si>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</si>
  <si>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</si>
  <si>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</si>
  <si>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</si>
  <si>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</si>
  <si>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</si>
  <si>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</si>
  <si>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</si>
  <si>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</si>
  <si>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</si>
  <si>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</si>
  <si>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</si>
  <si>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</si>
  <si>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</si>
  <si>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</si>
  <si>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</si>
  <si>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</si>
  <si>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</si>
  <si>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</si>
  <si>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</si>
  <si>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</si>
  <si>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</si>
  <si>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</si>
  <si>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</si>
  <si>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</si>
  <si>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</si>
  <si>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</si>
  <si>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</si>
  <si>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</si>
  <si>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</si>
  <si>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</si>
  <si>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</si>
  <si>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</si>
  <si>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</si>
  <si>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</si>
  <si>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</si>
  <si>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</si>
  <si>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</si>
  <si>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</si>
  <si>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</si>
  <si>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</si>
  <si>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</si>
  <si>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</si>
  <si>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</si>
  <si>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</si>
  <si>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</si>
  <si>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</si>
  <si>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</si>
  <si>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</si>
  <si>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</si>
  <si>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</si>
  <si>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</si>
  <si>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</si>
  <si>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</si>
  <si>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</si>
  <si>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</si>
  <si>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</si>
  <si>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</si>
  <si>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</si>
  <si>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</si>
  <si>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</si>
  <si>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</si>
  <si>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</si>
  <si>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</si>
  <si>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</si>
  <si>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</si>
  <si>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</si>
  <si>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</si>
  <si>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</si>
  <si>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</si>
  <si>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</si>
  <si>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</si>
  <si>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</si>
  <si>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</si>
  <si>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</si>
  <si>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</si>
  <si>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</si>
  <si>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</si>
  <si>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</si>
  <si>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</si>
  <si>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</si>
  <si>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</si>
  <si>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</si>
  <si>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</si>
  <si>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</si>
  <si>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</si>
  <si>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</si>
  <si>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</si>
  <si>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</si>
  <si>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</si>
  <si>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</si>
  <si>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</si>
  <si>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</si>
  <si>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</si>
  <si>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</si>
  <si>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</si>
  <si>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</si>
  <si>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Johansson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</si>
  <si>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</si>
  <si>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</si>
  <si>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</si>
  <si>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</si>
  <si>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</si>
  <si>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</si>
  <si>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</si>
  <si>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</si>
  <si>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</si>
  <si>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</si>
  <si>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</si>
  <si>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</si>
  <si>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</si>
  <si>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</si>
  <si>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</si>
  <si>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</si>
  <si>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</si>
  <si>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</si>
  <si>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</si>
  <si>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</si>
  <si>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</si>
  <si>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</si>
  <si>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</si>
  <si>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</si>
  <si>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</si>
  <si>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</si>
  <si>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</si>
  <si>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</si>
  <si>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</si>
  <si>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</si>
  <si>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</si>
  <si>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</si>
  <si>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</si>
  <si>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</si>
  <si>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</si>
  <si>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</si>
  <si>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</si>
  <si>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</si>
  <si>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</si>
  <si>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</si>
  <si>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</si>
  <si>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</si>
  <si>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</si>
  <si>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</si>
  <si>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</si>
  <si>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</si>
  <si>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</si>
  <si>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</si>
  <si>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</si>
  <si>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</si>
  <si>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</si>
  <si>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</si>
  <si>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</si>
  <si>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</si>
  <si>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</si>
  <si>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</si>
  <si>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</si>
  <si>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</si>
  <si>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</si>
  <si>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</si>
  <si>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</si>
  <si>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</si>
  <si>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</si>
  <si>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</si>
  <si>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</si>
  <si>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</si>
  <si>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</si>
  <si>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</si>
  <si>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</si>
  <si>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</si>
  <si>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</si>
  <si>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</si>
  <si>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</si>
  <si>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</si>
  <si>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</si>
  <si>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</si>
  <si>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</si>
  <si>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</si>
  <si>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</si>
  <si>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</si>
  <si>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</si>
  <si>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</si>
  <si>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</si>
  <si>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</si>
  <si>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</si>
  <si>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</si>
  <si>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</si>
  <si>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</si>
  <si>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</si>
  <si>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</si>
  <si>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</si>
  <si>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</si>
  <si>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</si>
  <si>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</si>
  <si>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</si>
  <si>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</si>
  <si>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</si>
  <si>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</si>
  <si>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</si>
  <si>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</si>
  <si>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</si>
  <si>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</si>
  <si>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</si>
  <si>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</si>
  <si>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</si>
  <si>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</si>
  <si>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</si>
  <si>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</si>
  <si>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</si>
  <si>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</si>
  <si>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</si>
  <si>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</si>
  <si>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</si>
  <si>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</si>
  <si>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</si>
  <si>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</si>
  <si>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</si>
  <si>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</si>
  <si>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</si>
  <si>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</si>
  <si>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</si>
  <si>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</si>
  <si>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</si>
  <si>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</si>
  <si>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</si>
  <si>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</si>
  <si>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</si>
  <si>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</si>
  <si>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</si>
  <si>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</si>
  <si>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</si>
  <si>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</si>
  <si>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</si>
  <si>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</si>
  <si>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</si>
  <si>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</si>
  <si>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</si>
  <si>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</si>
  <si>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</si>
  <si>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</si>
  <si>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</si>
  <si>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</si>
  <si>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</si>
  <si>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</si>
  <si>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</si>
  <si>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</si>
  <si>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</si>
  <si>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</si>
  <si>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</si>
  <si>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</si>
  <si>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</si>
  <si>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</si>
  <si>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</si>
  <si>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</si>
  <si>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</si>
  <si>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</si>
  <si>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</si>
  <si>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</si>
  <si>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</si>
  <si>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</si>
  <si>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</si>
  <si>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nAZAR dEC 28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</si>
  <si>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</si>
  <si>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</si>
  <si>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</si>
  <si>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</si>
  <si>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</si>
  <si>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</si>
  <si>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</si>
  <si>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</si>
  <si>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</si>
  <si>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</si>
  <si>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</si>
  <si>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</si>
  <si>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</si>
  <si>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</si>
  <si>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</si>
  <si>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</si>
  <si>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</si>
  <si>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</si>
  <si>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</si>
  <si>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</si>
  <si>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</si>
  <si>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</si>
  <si>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</si>
  <si>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</si>
  <si>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</si>
  <si>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</si>
  <si>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</si>
  <si>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</si>
  <si>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</si>
  <si>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</si>
  <si>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</si>
  <si>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</si>
  <si>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</si>
  <si>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</si>
  <si>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</si>
  <si>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</si>
  <si>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</si>
  <si>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</si>
  <si>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</si>
  <si>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</si>
  <si>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</si>
  <si>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</si>
  <si>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</si>
  <si>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</si>
  <si>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</si>
  <si>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</si>
  <si>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</si>
  <si>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</si>
  <si>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</si>
  <si>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</si>
  <si>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</si>
  <si>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</si>
  <si>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</si>
  <si>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</si>
  <si>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</si>
  <si>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</si>
  <si>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</si>
  <si>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</si>
  <si>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</si>
  <si>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</si>
  <si>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</si>
  <si>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</si>
  <si>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</si>
  <si>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</si>
  <si>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</si>
  <si>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</si>
  <si>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</si>
  <si>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</si>
  <si>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</si>
  <si>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</si>
  <si>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Moore Dec 29</t>
  </si>
  <si>
    <t>Horvat Jan 1</t>
  </si>
  <si>
    <t>McNabb Jan 2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</si>
  <si>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</si>
  <si>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</si>
  <si>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</si>
  <si>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</si>
  <si>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</si>
  <si>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</si>
  <si>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</si>
  <si>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</si>
  <si>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</si>
  <si>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</si>
  <si>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</si>
  <si>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</si>
  <si>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</si>
  <si>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</si>
  <si>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</si>
  <si>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</si>
  <si>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</si>
  <si>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</si>
  <si>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</si>
  <si>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</si>
  <si>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</si>
  <si>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</si>
  <si>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</si>
  <si>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</si>
  <si>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</si>
  <si>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</si>
  <si>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</si>
  <si>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</si>
  <si>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</si>
  <si>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</si>
  <si>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</si>
  <si>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</si>
  <si>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</si>
  <si>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</si>
  <si>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</si>
  <si>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</si>
  <si>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</si>
  <si>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</si>
  <si>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</si>
  <si>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</si>
  <si>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</si>
  <si>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</si>
  <si>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</si>
  <si>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</si>
  <si>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</si>
  <si>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</si>
  <si>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</si>
  <si>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</si>
  <si>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</si>
  <si>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</si>
  <si>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</si>
  <si>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</si>
  <si>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</si>
  <si>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</si>
  <si>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</si>
  <si>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</si>
  <si>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</si>
  <si>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</si>
  <si>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</si>
  <si>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</si>
  <si>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</si>
  <si>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</si>
  <si>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</si>
  <si>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</si>
  <si>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</si>
  <si>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</si>
  <si>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</si>
  <si>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</si>
  <si>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</si>
  <si>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</si>
  <si>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</si>
  <si>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</si>
  <si>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</si>
  <si>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</si>
  <si>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</si>
  <si>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</si>
  <si>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</si>
  <si>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</si>
  <si>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</si>
  <si>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</si>
  <si>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</si>
  <si>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</si>
  <si>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</si>
  <si>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</si>
  <si>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</si>
  <si>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</si>
  <si>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</si>
  <si>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</si>
  <si>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</si>
  <si>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</si>
  <si>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</si>
  <si>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</si>
  <si>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</si>
  <si>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</si>
  <si>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</si>
  <si>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</si>
  <si>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</si>
  <si>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</si>
  <si>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</si>
  <si>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</si>
  <si>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</si>
  <si>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</si>
  <si>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</si>
  <si>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</si>
  <si>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</si>
  <si>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</si>
  <si>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</si>
  <si>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</si>
  <si>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</si>
  <si>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</si>
  <si>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</si>
  <si>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</si>
  <si>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</si>
  <si>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</si>
  <si>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</si>
  <si>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</si>
  <si>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</si>
  <si>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</si>
  <si>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</si>
  <si>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</si>
  <si>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</si>
  <si>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</si>
  <si>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</si>
  <si>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</si>
  <si>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</si>
  <si>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</si>
  <si>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</si>
  <si>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</si>
  <si>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</si>
  <si>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</si>
  <si>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</si>
  <si>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</si>
  <si>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</si>
  <si>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</si>
  <si>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</si>
  <si>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</si>
  <si>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</si>
  <si>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Marchment Jan 6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</si>
  <si>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</si>
  <si>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</si>
  <si>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</si>
  <si>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</si>
  <si>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</si>
  <si>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</si>
  <si>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</si>
  <si>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</si>
  <si>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</si>
  <si>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</si>
  <si>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</si>
  <si>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</si>
  <si>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</si>
  <si>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</si>
  <si>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</si>
  <si>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</si>
  <si>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</si>
  <si>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</si>
  <si>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</si>
  <si>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</si>
  <si>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</si>
  <si>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</si>
  <si>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</si>
  <si>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</si>
  <si>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</si>
  <si>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</si>
  <si>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</si>
  <si>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</si>
  <si>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</si>
  <si>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</si>
  <si>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</si>
  <si>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</si>
  <si>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</si>
  <si>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</si>
  <si>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</si>
  <si>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Saad</t>
  </si>
  <si>
    <t>Howden Jan 11</t>
  </si>
  <si>
    <t>Ek Jan 11</t>
  </si>
  <si>
    <t>Sherwoof</t>
  </si>
  <si>
    <t>Rossi</t>
  </si>
  <si>
    <t>Robert Thomas Jan 12</t>
  </si>
  <si>
    <t>Teravainen Jan 12</t>
  </si>
  <si>
    <t>McDonnagh (/.015)</t>
  </si>
  <si>
    <t>Point Jan 12 (.04/.01)</t>
  </si>
  <si>
    <t>Karlsson Jan 13</t>
  </si>
  <si>
    <t>Wood han 12</t>
  </si>
  <si>
    <t>Laine  Oct 18</t>
  </si>
  <si>
    <t>Kerfoot Jan 9</t>
  </si>
  <si>
    <t>Norris Jan 14</t>
  </si>
  <si>
    <t>Brodin Jan 15</t>
  </si>
  <si>
    <t>Nylander Jan 15</t>
  </si>
  <si>
    <t>Wilson HALF</t>
  </si>
  <si>
    <t>Carlsson Jan 13</t>
  </si>
  <si>
    <t>Boldy 0.045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</si>
  <si>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</si>
  <si>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</si>
  <si>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</si>
  <si>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</si>
  <si>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</si>
  <si>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</si>
  <si>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</si>
  <si>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</si>
  <si>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</si>
  <si>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</si>
  <si>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</si>
  <si>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</si>
  <si>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</si>
  <si>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</si>
  <si>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</si>
  <si>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</si>
  <si>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</si>
  <si>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</si>
  <si>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</si>
  <si>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</si>
  <si>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</si>
  <si>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</si>
  <si>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</si>
  <si>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</si>
  <si>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</si>
  <si>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</si>
  <si>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</si>
  <si>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</si>
  <si>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</si>
  <si>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</si>
  <si>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</si>
  <si>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</si>
  <si>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</si>
  <si>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</si>
  <si>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</si>
  <si>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</si>
  <si>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</si>
  <si>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</si>
  <si>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</si>
  <si>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</si>
  <si>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</si>
  <si>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</si>
  <si>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</si>
  <si>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</si>
  <si>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</si>
  <si>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</si>
  <si>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</si>
  <si>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</si>
  <si>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</si>
  <si>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</si>
  <si>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</si>
  <si>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</si>
  <si>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</si>
  <si>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</si>
  <si>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</si>
  <si>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</si>
  <si>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</si>
  <si>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</si>
  <si>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</si>
  <si>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</si>
  <si>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</si>
  <si>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</si>
  <si>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</si>
  <si>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</si>
  <si>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</si>
  <si>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</si>
  <si>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</si>
  <si>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</si>
  <si>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</si>
  <si>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</si>
  <si>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</si>
  <si>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</si>
  <si>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</si>
  <si>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</si>
  <si>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</si>
  <si>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</si>
  <si>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</si>
  <si>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</si>
  <si>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</si>
  <si>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</si>
  <si>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</si>
  <si>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</si>
  <si>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</si>
  <si>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</si>
  <si>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</si>
  <si>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</si>
  <si>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</si>
  <si>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</si>
  <si>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</si>
  <si>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</si>
  <si>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</si>
  <si>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</si>
  <si>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</si>
  <si>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</si>
  <si>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</si>
  <si>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</si>
  <si>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</si>
  <si>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</si>
  <si>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</si>
  <si>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</si>
  <si>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</si>
  <si>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</si>
  <si>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</si>
  <si>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</si>
  <si>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</si>
  <si>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</si>
  <si>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</si>
  <si>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</si>
  <si>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</si>
  <si>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</si>
  <si>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</si>
  <si>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</si>
  <si>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</si>
  <si>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</si>
  <si>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</si>
  <si>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</si>
  <si>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</si>
  <si>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</si>
  <si>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</si>
  <si>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</si>
  <si>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</si>
  <si>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</si>
  <si>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</si>
  <si>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</si>
  <si>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</si>
  <si>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</si>
  <si>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</si>
  <si>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</si>
  <si>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</si>
  <si>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</si>
  <si>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</si>
  <si>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</si>
  <si>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</si>
  <si>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</si>
  <si>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</si>
  <si>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</si>
  <si>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</si>
  <si>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</si>
  <si>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</si>
  <si>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</si>
  <si>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</si>
  <si>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</si>
  <si>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</si>
  <si>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</si>
  <si>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</si>
  <si>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</si>
  <si>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</si>
  <si>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</si>
  <si>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Risto</t>
  </si>
  <si>
    <t>Pionk/Fleury</t>
  </si>
  <si>
    <t>Drai</t>
  </si>
  <si>
    <t>Bura Jan 19</t>
  </si>
  <si>
    <t>Kap</t>
  </si>
  <si>
    <t>/Newhook Nov 16</t>
  </si>
  <si>
    <t>Tex jan 20</t>
  </si>
  <si>
    <t>L Hughes Jan 19</t>
  </si>
  <si>
    <t>James Reimer</t>
  </si>
  <si>
    <t>Letang Jan 20</t>
  </si>
  <si>
    <t>Rant Jan 20</t>
  </si>
  <si>
    <t>Doughty Jan 20</t>
  </si>
  <si>
    <t>Cirelli (0.02/0.005)</t>
  </si>
  <si>
    <t>Suter</t>
  </si>
  <si>
    <t>Sundqvist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</si>
</sst>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46043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2">
      <c r="A2" s="36" t="s">
        <v>242</v>
      </c>
      <c r="B2" s="35">
        <f ca="1">TODAY()+1</f>
        <v>46044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1591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46043</v>
      </c>
      <c r="B5" s="1" t="str" cm="1">
        <f t="array" aca="1" ref="B5:C32" ca="1">_xlfn._xlws.FILTER('2026'!A:B,('2026'!C:C=Projections!B1)+('2026'!C:C=Projections!B2))</f>
        <v>2025020788 DET</v>
      </c>
      <c r="C5">
        <f ca="1"/>
        <v>2025020788</v>
      </c>
      <c r="D5" s="7">
        <f ca="1">_xlfn.XLOOKUP(B5,'2026'!A:A,'2026'!AT:AT)</f>
        <v>2.8765085104592849</v>
      </c>
      <c r="E5" s="7">
        <f ca="1">_xlfn.XLOOKUP(B5,'2026'!A:A,'2026'!Z:Z)</f>
        <v>0.99</v>
      </c>
      <c r="F5" s="39" t="str">
        <f ca="1">_xlfn.XLOOKUP(B5,'2026'!A:A,'2026'!E:E)</f>
        <v>DET</v>
      </c>
      <c r="G5" s="5">
        <f ca="1">D5/E6</f>
        <v>2.965472691195139</v>
      </c>
      <c r="H5" s="5">
        <f ca="1">SUMIFS(Goalies!$J:$J,Goalies!$C:$C,Projections!$F5,Goalies!$A:$A,Projections!H$2)</f>
        <v>0.99</v>
      </c>
      <c r="I5" s="5">
        <f ca="1">SUMIFS(Goalies!$J:$J,Goalies!$C:$C,Projections!$F5,Goalies!$A:$A,Projections!I$2)</f>
        <v>0.99</v>
      </c>
      <c r="J5" s="5">
        <f ca="1">SUMIFS(Goalies!$J:$J,Goalies!$C:$C,Projections!$F5,Goalies!$A:$A,Projections!J$2)</f>
        <v>1.01</v>
      </c>
      <c r="K5" s="5">
        <f ca="1">SUMIFS(Goalies!$J:$J,Goalies!$C:$C,Projections!$F5,Goalies!$A:$A,Projections!K$2)</f>
        <v>1.01</v>
      </c>
      <c r="L5" s="5">
        <f ca="1">IFERROR($G5*H6,0)</f>
        <v>2.9951274181070904</v>
      </c>
      <c r="M5" s="5">
        <f ca="1">IFERROR($G5*I6,0)</f>
        <v>2.8765085104592849</v>
      </c>
      <c r="N5" s="5">
        <f ca="1">IFERROR($G5*J6,0)</f>
        <v>2.9951274181070904</v>
      </c>
      <c r="O5" s="5">
        <f ca="1">IFERROR($G5*K6,0)</f>
        <v>2.8765085104592849</v>
      </c>
      <c r="P5" s="2" t="str">
        <f ca="1">_xlfn.XLOOKUP(B5,'2026'!A:A,'2026'!AS:AS)</f>
        <v>Weak</v>
      </c>
      <c r="Q5" s="5" t="str" cm="1">
        <f t="array" aca="1" ref="Q5" ca="1">_xlfn.XLOOKUP(1, (Goalies!C:C=Projections!W5)*(Goalies!A:A=Projections!$Q$4), Goalies!D:D)</f>
        <v>John Gibson</v>
      </c>
      <c r="R5" s="5" t="str" cm="1">
        <f t="array" aca="1" ref="R5" ca="1">_xlfn.XLOOKUP(1, (Goalies!C:C=Projections!W5)*(Goalies!A:A=Projections!$R$4), Goalies!D:D)</f>
        <v>Cam Talbot</v>
      </c>
      <c r="S5" s="24">
        <v>1</v>
      </c>
      <c r="T5" s="5">
        <f ca="1">IFERROR(L5*S6+(1-S6)*M5,0)</f>
        <v>2.8765085104592849</v>
      </c>
      <c r="U5" s="5"/>
      <c r="V5" s="5"/>
      <c r="W5" s="40" t="str">
        <f t="shared" ref="W5:W12" ca="1" si="0">F5</f>
        <v>DET</v>
      </c>
      <c r="X5" s="43">
        <f ca="1">'2026'!BJ3</f>
        <v>116</v>
      </c>
      <c r="Y5" s="43">
        <f ca="1">'2026'!BK3</f>
        <v>-125</v>
      </c>
      <c r="Z5" s="43">
        <f ca="1">'2026'!BL3</f>
        <v>101</v>
      </c>
      <c r="AA5" s="43">
        <f ca="1">'2026'!BM3</f>
        <v>127</v>
      </c>
    </row>
    <row r="6" spans="1:27" x14ac:dyDescent="0.2">
      <c r="A6" s="34">
        <f ca="1">IF(D6=0,"0",(_xlfn.XLOOKUP(B6,'2026'!A:A,'2026'!C:C)))</f>
        <v>46043</v>
      </c>
      <c r="B6" t="str">
        <f ca="1"/>
        <v>2025020788 TOR</v>
      </c>
      <c r="C6">
        <f ca="1"/>
        <v>2025020788</v>
      </c>
      <c r="D6" s="7">
        <f ca="1">_xlfn.XLOOKUP(B6,'2026'!A:A,'2026'!AT:AT)</f>
        <v>3.0753374858732263</v>
      </c>
      <c r="E6" s="7">
        <f ca="1">_xlfn.XLOOKUP(B6,'2026'!A:A,'2026'!Z:Z)</f>
        <v>0.97</v>
      </c>
      <c r="F6" s="39" t="str">
        <f ca="1">_xlfn.XLOOKUP(B6,'2026'!A:A,'2026'!E:E)</f>
        <v>TOR</v>
      </c>
      <c r="G6" s="5">
        <f ca="1">D6/E5</f>
        <v>3.1064015008820469</v>
      </c>
      <c r="H6" s="5">
        <f ca="1">SUMIFS(Goalies!$J:$J,Goalies!$C:$C,Projections!$F6,Goalies!$A:$A,Projections!H$4)</f>
        <v>1.01</v>
      </c>
      <c r="I6" s="5">
        <f ca="1">SUMIFS(Goalies!$J:$J,Goalies!$C:$C,Projections!$F6,Goalies!$A:$A,Projections!I$4)</f>
        <v>0.97</v>
      </c>
      <c r="J6" s="5">
        <f ca="1">SUMIFS(Goalies!$J:$J,Goalies!$C:$C,Projections!$F6,Goalies!$A:$A,Projections!J$4)</f>
        <v>1.01</v>
      </c>
      <c r="K6" s="5">
        <f ca="1">SUMIFS(Goalies!$J:$J,Goalies!$C:$C,Projections!$F6,Goalies!$A:$A,Projections!K$4)</f>
        <v>0.97</v>
      </c>
      <c r="L6" s="5">
        <f ca="1">IFERROR($G6*H5,0)</f>
        <v>3.0753374858732263</v>
      </c>
      <c r="M6" s="5">
        <f ca="1">IFERROR($G6*I5,0)</f>
        <v>3.0753374858732263</v>
      </c>
      <c r="N6" s="5">
        <f ca="1">IFERROR($G6*J5,0)</f>
        <v>3.1374655158908675</v>
      </c>
      <c r="O6" s="5">
        <f ca="1">IFERROR($G6*K5,0)</f>
        <v>3.1374655158908675</v>
      </c>
      <c r="P6" s="2" t="str">
        <f ca="1">_xlfn.XLOOKUP(B6,'2026'!A:A,'2026'!AS:AS)</f>
        <v>Weak</v>
      </c>
      <c r="Q6" s="5" t="str" cm="1">
        <f t="array" aca="1" ref="Q6" ca="1">_xlfn.XLOOKUP(1, (Goalies!C:C=Projections!W6)*(Goalies!A:A=Projections!$Q$4), Goalies!D:D)</f>
        <v>Anthony Stolarz</v>
      </c>
      <c r="R6" s="5" t="str" cm="1">
        <f t="array" aca="1" ref="R6" ca="1">_xlfn.XLOOKUP(1, (Goalies!C:C=Projections!W6)*(Goalies!A:A=Projections!$R$4), Goalies!D:D)</f>
        <v>Joseph Woll</v>
      </c>
      <c r="S6" s="24">
        <v>0</v>
      </c>
      <c r="T6" s="5">
        <f ca="1">IFERROR(L6*S5+(1-S5)*N6,0)</f>
        <v>3.0753374858732263</v>
      </c>
      <c r="U6" s="5"/>
      <c r="V6" s="5"/>
      <c r="W6" s="40" t="str">
        <f t="shared" ca="1" si="0"/>
        <v>TOR</v>
      </c>
      <c r="X6" s="43">
        <f ca="1">'2026'!BJ4</f>
        <v>-116</v>
      </c>
      <c r="Y6" s="43">
        <f ca="1">'2026'!BK4</f>
        <v>125</v>
      </c>
      <c r="Z6" s="43">
        <f ca="1">'2026'!BL4</f>
        <v>-101</v>
      </c>
      <c r="AA6" s="43">
        <f ca="1">'2026'!BM4</f>
        <v>-127</v>
      </c>
    </row>
    <row r="7" spans="1:27" x14ac:dyDescent="0.2">
      <c r="A7" s="34">
        <f ca="1">IF(D7=0,"0",(_xlfn.XLOOKUP(B7,'2026'!A:A,'2026'!C:C)))</f>
        <v>46043</v>
      </c>
      <c r="B7" t="str">
        <f ca="1"/>
        <v>2025020789 ANA</v>
      </c>
      <c r="C7">
        <f ca="1"/>
        <v>2025020789</v>
      </c>
      <c r="D7" s="7">
        <f ca="1">_xlfn.XLOOKUP(B7,'2026'!A:A,'2026'!AT:AT)</f>
        <v>2.5351210470981154</v>
      </c>
      <c r="E7" s="7">
        <f ca="1">_xlfn.XLOOKUP(B7,'2026'!A:A,'2026'!Z:Z)</f>
        <v>0.97</v>
      </c>
      <c r="F7" s="39" t="str">
        <f ca="1">_xlfn.XLOOKUP(B7,'2026'!A:A,'2026'!E:E)</f>
        <v>ANA</v>
      </c>
      <c r="G7" s="5">
        <f ca="1">D7/E8</f>
        <v>2.5607283304021369</v>
      </c>
      <c r="H7" s="5">
        <f ca="1">SUMIFS(Goalies!$J:$J,Goalies!$C:$C,Projections!$F7,Goalies!$A:$A,Projections!H$2)</f>
        <v>0.97</v>
      </c>
      <c r="I7" s="5">
        <f ca="1">SUMIFS(Goalies!$J:$J,Goalies!$C:$C,Projections!$F7,Goalies!$A:$A,Projections!I$2)</f>
        <v>0.97</v>
      </c>
      <c r="J7" s="5">
        <f ca="1">SUMIFS(Goalies!$J:$J,Goalies!$C:$C,Projections!$F7,Goalies!$A:$A,Projections!J$2)</f>
        <v>2.085</v>
      </c>
      <c r="K7" s="5">
        <f ca="1">SUMIFS(Goalies!$J:$J,Goalies!$C:$C,Projections!$F7,Goalies!$A:$A,Projections!K$2)</f>
        <v>2.085</v>
      </c>
      <c r="L7" s="5">
        <f ca="1">IFERROR($G7*H8,0)</f>
        <v>2.5351210470981154</v>
      </c>
      <c r="M7" s="5">
        <f ca="1">IFERROR($G7*I8,0)</f>
        <v>2.5863356137061584</v>
      </c>
      <c r="N7" s="5">
        <f ca="1">IFERROR($G7*J8,0)</f>
        <v>2.5351210470981154</v>
      </c>
      <c r="O7" s="5">
        <f ca="1">IFERROR($G7*K8,0)</f>
        <v>2.5863356137061584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Lukas Dostal</v>
      </c>
      <c r="R7" s="5" t="str" cm="1">
        <f t="array" aca="1" ref="R7" ca="1">_xlfn.XLOOKUP(1, (Goalies!C:C=Projections!W7)*(Goalies!A:A=Projections!$R$4), Goalies!D:D)</f>
        <v>Petr Mrazek</v>
      </c>
      <c r="S7" s="24">
        <v>0</v>
      </c>
      <c r="T7" s="5">
        <f ca="1">IFERROR(L7*S8+(1-S8)*M7,0)</f>
        <v>2.5863356137061584</v>
      </c>
      <c r="U7" s="5"/>
      <c r="V7" s="5"/>
      <c r="W7" t="str">
        <f t="shared" ca="1" si="0"/>
        <v>ANA</v>
      </c>
      <c r="X7" s="2" t="e">
        <f ca="1">'2026'!BJ5</f>
        <v>#N/A</v>
      </c>
      <c r="Y7" s="2" t="e">
        <f ca="1">'2026'!BK5</f>
        <v>#N/A</v>
      </c>
      <c r="Z7" s="2" t="e">
        <f ca="1">'2026'!BL5</f>
        <v>#N/A</v>
      </c>
      <c r="AA7" s="2" t="e">
        <f ca="1">'2026'!BM5</f>
        <v>#N/A</v>
      </c>
    </row>
    <row r="8" spans="1:27" x14ac:dyDescent="0.2">
      <c r="A8" s="34">
        <f ca="1">IF(D8=0,"0",(_xlfn.XLOOKUP(B8,'2026'!A:A,'2026'!C:C)))</f>
        <v>46043</v>
      </c>
      <c r="B8" t="str">
        <f ca="1"/>
        <v>2025020789 COL</v>
      </c>
      <c r="C8">
        <f ca="1"/>
        <v>2025020789</v>
      </c>
      <c r="D8" s="7">
        <f ca="1">_xlfn.XLOOKUP(B8,'2026'!A:A,'2026'!AT:AT)</f>
        <v>4.0744898694983114</v>
      </c>
      <c r="E8" s="7">
        <f ca="1">_xlfn.XLOOKUP(B8,'2026'!A:A,'2026'!Z:Z)</f>
        <v>0.99</v>
      </c>
      <c r="F8" s="39" t="str">
        <f ca="1">_xlfn.XLOOKUP(B8,'2026'!A:A,'2026'!E:E)</f>
        <v>COL</v>
      </c>
      <c r="G8" s="5">
        <f ca="1">D8/E7</f>
        <v>4.2005050201013523</v>
      </c>
      <c r="H8" s="5">
        <f ca="1">SUMIFS(Goalies!$J:$J,Goalies!$C:$C,Projections!$F8,Goalies!$A:$A,Projections!H$4)</f>
        <v>0.99</v>
      </c>
      <c r="I8" s="5">
        <f ca="1">SUMIFS(Goalies!$J:$J,Goalies!$C:$C,Projections!$F8,Goalies!$A:$A,Projections!I$4)</f>
        <v>1.01</v>
      </c>
      <c r="J8" s="5">
        <f ca="1">SUMIFS(Goalies!$J:$J,Goalies!$C:$C,Projections!$F8,Goalies!$A:$A,Projections!J$4)</f>
        <v>0.99</v>
      </c>
      <c r="K8" s="5">
        <f ca="1">SUMIFS(Goalies!$J:$J,Goalies!$C:$C,Projections!$F8,Goalies!$A:$A,Projections!K$4)</f>
        <v>1.01</v>
      </c>
      <c r="L8" s="5">
        <f ca="1">IFERROR($G8*H7,0)</f>
        <v>4.0744898694983114</v>
      </c>
      <c r="M8" s="5">
        <f ca="1">IFERROR($G8*I7,0)</f>
        <v>4.0744898694983114</v>
      </c>
      <c r="N8" s="5">
        <f ca="1">IFERROR($G8*J7,0)</f>
        <v>8.7580529669113201</v>
      </c>
      <c r="O8" s="5">
        <f ca="1">IFERROR($G8*K7,0)</f>
        <v>8.7580529669113201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Mackenzie Blackwood</v>
      </c>
      <c r="R8" s="5" t="str" cm="1">
        <f t="array" aca="1" ref="R8" ca="1">_xlfn.XLOOKUP(1, (Goalies!C:C=Projections!W8)*(Goalies!A:A=Projections!$R$4), Goalies!D:D)</f>
        <v>Scott Wedgewood</v>
      </c>
      <c r="S8" s="24">
        <v>0</v>
      </c>
      <c r="T8" s="5">
        <f ca="1">IFERROR(L8*S7+(1-S7)*N8,0)</f>
        <v>8.7580529669113201</v>
      </c>
      <c r="U8" s="5"/>
      <c r="V8" s="5"/>
      <c r="W8" t="str">
        <f t="shared" ca="1" si="0"/>
        <v>COL</v>
      </c>
      <c r="X8" s="2" t="e">
        <f ca="1">'2026'!BJ6</f>
        <v>#N/A</v>
      </c>
      <c r="Y8" s="2" t="e">
        <f ca="1">'2026'!BK6</f>
        <v>#N/A</v>
      </c>
      <c r="Z8" s="2" t="e">
        <f ca="1">'2026'!BL6</f>
        <v>#N/A</v>
      </c>
      <c r="AA8" s="2" t="e">
        <f ca="1">'2026'!BM6</f>
        <v>#N/A</v>
      </c>
    </row>
    <row r="9" spans="1:27" x14ac:dyDescent="0.2">
      <c r="A9" s="34">
        <f ca="1">IF(D9=0,"0",(_xlfn.XLOOKUP(B9,'2026'!A:A,'2026'!C:C)))</f>
        <v>46043</v>
      </c>
      <c r="B9" t="str">
        <f ca="1"/>
        <v>2025020790 PHI</v>
      </c>
      <c r="C9">
        <f ca="1"/>
        <v>2025020790</v>
      </c>
      <c r="D9" s="7">
        <f ca="1">_xlfn.XLOOKUP(B9,'2026'!A:A,'2026'!AT:AT)</f>
        <v>2.5590968043871531</v>
      </c>
      <c r="E9" s="7">
        <f ca="1">_xlfn.XLOOKUP(B9,'2026'!A:A,'2026'!Z:Z)</f>
        <v>1.04</v>
      </c>
      <c r="F9" s="39" t="str">
        <f ca="1">_xlfn.XLOOKUP(B9,'2026'!A:A,'2026'!E:E)</f>
        <v>PHI</v>
      </c>
      <c r="G9" s="5">
        <f ca="1">D9/E10</f>
        <v>2.6382441282341786</v>
      </c>
      <c r="H9" s="5">
        <f ca="1">SUMIFS(Goalies!$J:$J,Goalies!$C:$C,Projections!$F9,Goalies!$A:$A,Projections!H$2)</f>
        <v>1.04</v>
      </c>
      <c r="I9" s="5">
        <f ca="1">SUMIFS(Goalies!$J:$J,Goalies!$C:$C,Projections!$F9,Goalies!$A:$A,Projections!I$2)</f>
        <v>1.04</v>
      </c>
      <c r="J9" s="5">
        <f ca="1">SUMIFS(Goalies!$J:$J,Goalies!$C:$C,Projections!$F9,Goalies!$A:$A,Projections!J$2)</f>
        <v>2.0350000000000001</v>
      </c>
      <c r="K9" s="5">
        <f ca="1">SUMIFS(Goalies!$J:$J,Goalies!$C:$C,Projections!$F9,Goalies!$A:$A,Projections!K$2)</f>
        <v>2.0350000000000001</v>
      </c>
      <c r="L9" s="5">
        <f ca="1">IFERROR($G9*H10,0)</f>
        <v>2.5590968043871531</v>
      </c>
      <c r="M9" s="5">
        <f ca="1">IFERROR($G9*I10,0)</f>
        <v>2.7701563346458875</v>
      </c>
      <c r="N9" s="5">
        <f ca="1">IFERROR($G9*J10,0)</f>
        <v>2.5590968043871531</v>
      </c>
      <c r="O9" s="5">
        <f ca="1">IFERROR($G9*K10,0)</f>
        <v>2.7701563346458875</v>
      </c>
      <c r="P9" s="2" t="str">
        <f ca="1">_xlfn.XLOOKUP(B9,'2026'!A:A,'2026'!AS:AS)</f>
        <v>Neutral</v>
      </c>
      <c r="Q9" s="5" t="str" cm="1">
        <f t="array" aca="1" ref="Q9" ca="1">_xlfn.XLOOKUP(1, (Goalies!C:C=Projections!W9)*(Goalies!A:A=Projections!$Q$4), Goalies!D:D)</f>
        <v>Samuel Ersson</v>
      </c>
      <c r="R9" s="5" t="str" cm="1">
        <f t="array" aca="1" ref="R9" ca="1">_xlfn.XLOOKUP(1, (Goalies!C:C=Projections!W9)*(Goalies!A:A=Projections!$R$4), Goalies!D:D)</f>
        <v>Dan Vladar</v>
      </c>
      <c r="S9" s="24">
        <v>0</v>
      </c>
      <c r="T9" s="5">
        <f ca="1">IFERROR(L9*S10+(1-S10)*M9,0)</f>
        <v>2.5590968043871531</v>
      </c>
      <c r="U9" s="5"/>
      <c r="V9" s="5"/>
      <c r="W9" s="40" t="str">
        <f t="shared" ca="1" si="0"/>
        <v>PHI</v>
      </c>
      <c r="X9" s="43" t="e">
        <f ca="1">'2026'!BJ7</f>
        <v>#N/A</v>
      </c>
      <c r="Y9" s="43" t="e">
        <f ca="1">'2026'!BK7</f>
        <v>#N/A</v>
      </c>
      <c r="Z9" s="43" t="e">
        <f ca="1">'2026'!BL7</f>
        <v>#N/A</v>
      </c>
      <c r="AA9" s="43" t="e">
        <f ca="1">'2026'!BM7</f>
        <v>#N/A</v>
      </c>
    </row>
    <row r="10" spans="1:27" x14ac:dyDescent="0.2">
      <c r="A10" s="34">
        <f ca="1">IF(D10=0,"0",(_xlfn.XLOOKUP(B10,'2026'!A:A,'2026'!C:C)))</f>
        <v>46043</v>
      </c>
      <c r="B10" t="str">
        <f ca="1"/>
        <v>2025020790 UTA</v>
      </c>
      <c r="C10">
        <f ca="1"/>
        <v>2025020790</v>
      </c>
      <c r="D10" s="7">
        <f ca="1">_xlfn.XLOOKUP(B10,'2026'!A:A,'2026'!AT:AT)</f>
        <v>3.3366369357876722</v>
      </c>
      <c r="E10" s="7">
        <f ca="1">_xlfn.XLOOKUP(B10,'2026'!A:A,'2026'!Z:Z)</f>
        <v>0.97</v>
      </c>
      <c r="F10" s="39" t="str">
        <f ca="1">_xlfn.XLOOKUP(B10,'2026'!A:A,'2026'!E:E)</f>
        <v>UTA</v>
      </c>
      <c r="G10" s="5">
        <f ca="1">D10/E9</f>
        <v>3.2083047459496847</v>
      </c>
      <c r="H10" s="5">
        <f ca="1">SUMIFS(Goalies!$J:$J,Goalies!$C:$C,Projections!$F10,Goalies!$A:$A,Projections!H$4)</f>
        <v>0.97</v>
      </c>
      <c r="I10" s="5">
        <f ca="1">SUMIFS(Goalies!$J:$J,Goalies!$C:$C,Projections!$F10,Goalies!$A:$A,Projections!I$4)</f>
        <v>1.05</v>
      </c>
      <c r="J10" s="5">
        <f ca="1">SUMIFS(Goalies!$J:$J,Goalies!$C:$C,Projections!$F10,Goalies!$A:$A,Projections!J$4)</f>
        <v>0.97</v>
      </c>
      <c r="K10" s="5">
        <f ca="1">SUMIFS(Goalies!$J:$J,Goalies!$C:$C,Projections!$F10,Goalies!$A:$A,Projections!K$4)</f>
        <v>1.05</v>
      </c>
      <c r="L10" s="5">
        <f ca="1">IFERROR($G10*H9,0)</f>
        <v>3.3366369357876722</v>
      </c>
      <c r="M10" s="5">
        <f ca="1">IFERROR($G10*I9,0)</f>
        <v>3.3366369357876722</v>
      </c>
      <c r="N10" s="5">
        <f ca="1">IFERROR($G10*J9,0)</f>
        <v>6.5289001580076089</v>
      </c>
      <c r="O10" s="5">
        <f ca="1">IFERROR($G10*K9,0)</f>
        <v>6.5289001580076089</v>
      </c>
      <c r="P10" s="2" t="str">
        <f ca="1">_xlfn.XLOOKUP(B10,'2026'!A:A,'2026'!AS:AS)</f>
        <v>Neutral</v>
      </c>
      <c r="Q10" s="5" t="str" cm="1">
        <f t="array" aca="1" ref="Q10" ca="1">_xlfn.XLOOKUP(1, (Goalies!C:C=Projections!W10)*(Goalies!A:A=Projections!$Q$4), Goalies!D:D)</f>
        <v>Karel Vejmelka</v>
      </c>
      <c r="R10" s="5" t="str" cm="1">
        <f t="array" aca="1" ref="R10" ca="1">_xlfn.XLOOKUP(1, (Goalies!C:C=Projections!W10)*(Goalies!A:A=Projections!$R$4), Goalies!D:D)</f>
        <v>Vitek Vanecek</v>
      </c>
      <c r="S10" s="24">
        <v>1</v>
      </c>
      <c r="T10" s="5">
        <f ca="1">IFERROR(L10*S9+(1-S9)*N10,0)</f>
        <v>6.5289001580076089</v>
      </c>
      <c r="U10" s="5"/>
      <c r="V10" s="5"/>
      <c r="W10" s="40" t="str">
        <f t="shared" ca="1" si="0"/>
        <v>UTA</v>
      </c>
      <c r="X10" s="43" t="e">
        <f ca="1">'2026'!BJ8</f>
        <v>#N/A</v>
      </c>
      <c r="Y10" s="43" t="e">
        <f ca="1">'2026'!BK8</f>
        <v>#N/A</v>
      </c>
      <c r="Z10" s="43" t="e">
        <f ca="1">'2026'!BL8</f>
        <v>#N/A</v>
      </c>
      <c r="AA10" s="43" t="e">
        <f ca="1">'2026'!BM8</f>
        <v>#N/A</v>
      </c>
    </row>
    <row r="11" spans="1:27" x14ac:dyDescent="0.2">
      <c r="A11" s="34">
        <f ca="1">IF(D11=0,"0",(_xlfn.XLOOKUP(B11,'2026'!A:A,'2026'!C:C)))</f>
        <v>46043</v>
      </c>
      <c r="B11" t="str">
        <f ca="1"/>
        <v>2025020793 NYI</v>
      </c>
      <c r="C11">
        <f ca="1"/>
        <v>2025020793</v>
      </c>
      <c r="D11" s="7">
        <f ca="1">_xlfn.XLOOKUP(B11,'2026'!A:A,'2026'!AT:AT)</f>
        <v>2.7941494796932718</v>
      </c>
      <c r="E11" s="7">
        <f ca="1">_xlfn.XLOOKUP(B11,'2026'!A:A,'2026'!Z:Z)</f>
        <v>0.97</v>
      </c>
      <c r="F11" s="39" t="str">
        <f ca="1">_xlfn.XLOOKUP(B11,'2026'!A:A,'2026'!E:E)</f>
        <v>NYI</v>
      </c>
      <c r="G11" s="5">
        <f ca="1">D11/E12</f>
        <v>2.7941494796932718</v>
      </c>
      <c r="H11" s="5">
        <f ca="1">SUMIFS(Goalies!$J:$J,Goalies!$C:$C,Projections!$F11,Goalies!$A:$A,Projections!H$2)</f>
        <v>0.97</v>
      </c>
      <c r="I11" s="5">
        <f ca="1">SUMIFS(Goalies!$J:$J,Goalies!$C:$C,Projections!$F11,Goalies!$A:$A,Projections!I$2)</f>
        <v>0.97</v>
      </c>
      <c r="J11" s="5">
        <f ca="1">SUMIFS(Goalies!$J:$J,Goalies!$C:$C,Projections!$F11,Goalies!$A:$A,Projections!J$2)</f>
        <v>1.06</v>
      </c>
      <c r="K11" s="5">
        <f ca="1">SUMIFS(Goalies!$J:$J,Goalies!$C:$C,Projections!$F11,Goalies!$A:$A,Projections!K$2)</f>
        <v>1.06</v>
      </c>
      <c r="L11" s="5">
        <f ca="1">IFERROR($G11*H12,0)</f>
        <v>2.7941494796932718</v>
      </c>
      <c r="M11" s="5">
        <f ca="1">IFERROR($G11*I12,0)</f>
        <v>2.7941494796932718</v>
      </c>
      <c r="N11" s="5">
        <f ca="1">IFERROR($G11*J12,0)</f>
        <v>2.7941494796932718</v>
      </c>
      <c r="O11" s="5">
        <f ca="1">IFERROR($G11*K12,0)</f>
        <v>2.7941494796932718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Ilya Sorokin</v>
      </c>
      <c r="R11" s="5" t="str" cm="1">
        <f t="array" aca="1" ref="R11" ca="1">_xlfn.XLOOKUP(1, (Goalies!C:C=Projections!W11)*(Goalies!A:A=Projections!$R$4), Goalies!D:D)</f>
        <v>David Rittich</v>
      </c>
      <c r="S11" s="24">
        <v>0</v>
      </c>
      <c r="T11" s="5">
        <f ca="1">IFERROR(L11*S12+(1-S12)*M11,0)</f>
        <v>2.7941494796932718</v>
      </c>
      <c r="U11" s="5"/>
      <c r="V11" s="5"/>
      <c r="W11" t="str">
        <f t="shared" ca="1" si="0"/>
        <v>NYI</v>
      </c>
      <c r="X11" s="2">
        <f ca="1">'2026'!BJ9</f>
        <v>112</v>
      </c>
      <c r="Y11" s="2">
        <f ca="1">'2026'!BK9</f>
        <v>-107</v>
      </c>
      <c r="Z11" s="2">
        <f ca="1">'2026'!BL9</f>
        <v>120</v>
      </c>
      <c r="AA11" s="2">
        <f ca="1">'2026'!BM9</f>
        <v>148</v>
      </c>
    </row>
    <row r="12" spans="1:27" x14ac:dyDescent="0.2">
      <c r="A12" s="34">
        <f ca="1">IF(D12=0,"0",(_xlfn.XLOOKUP(B12,'2026'!A:A,'2026'!C:C)))</f>
        <v>46043</v>
      </c>
      <c r="B12" t="str">
        <f ca="1"/>
        <v>2025020793 SEA</v>
      </c>
      <c r="C12">
        <f ca="1"/>
        <v>2025020793</v>
      </c>
      <c r="D12" s="7">
        <f ca="1">_xlfn.XLOOKUP(B12,'2026'!A:A,'2026'!AT:AT)</f>
        <v>2.6944035973718594</v>
      </c>
      <c r="E12" s="7">
        <f ca="1">_xlfn.XLOOKUP(B12,'2026'!A:A,'2026'!Z:Z)</f>
        <v>1</v>
      </c>
      <c r="F12" s="39" t="str">
        <f ca="1">_xlfn.XLOOKUP(B12,'2026'!A:A,'2026'!E:E)</f>
        <v>SEA</v>
      </c>
      <c r="G12" s="5">
        <f ca="1">D12/E11</f>
        <v>2.7777356673936695</v>
      </c>
      <c r="H12" s="5">
        <f ca="1">SUMIFS(Goalies!$J:$J,Goalies!$C:$C,Projections!$F12,Goalies!$A:$A,Projections!H$4)</f>
        <v>1</v>
      </c>
      <c r="I12" s="5">
        <f ca="1">SUMIFS(Goalies!$J:$J,Goalies!$C:$C,Projections!$F12,Goalies!$A:$A,Projections!I$4)</f>
        <v>1</v>
      </c>
      <c r="J12" s="5">
        <f ca="1">SUMIFS(Goalies!$J:$J,Goalies!$C:$C,Projections!$F12,Goalies!$A:$A,Projections!J$4)</f>
        <v>1</v>
      </c>
      <c r="K12" s="5">
        <f ca="1">SUMIFS(Goalies!$J:$J,Goalies!$C:$C,Projections!$F12,Goalies!$A:$A,Projections!K$4)</f>
        <v>1</v>
      </c>
      <c r="L12" s="5">
        <f ca="1">IFERROR($G12*H11,0)</f>
        <v>2.6944035973718594</v>
      </c>
      <c r="M12" s="5">
        <f ca="1">IFERROR($G12*I11,0)</f>
        <v>2.6944035973718594</v>
      </c>
      <c r="N12" s="5">
        <f ca="1">IFERROR($G12*J11,0)</f>
        <v>2.9443998074372897</v>
      </c>
      <c r="O12" s="5">
        <f ca="1">IFERROR($G12*K11,0)</f>
        <v>2.9443998074372897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Joey Daccord</v>
      </c>
      <c r="R12" s="5" t="str" cm="1">
        <f t="array" aca="1" ref="R12" ca="1">_xlfn.XLOOKUP(1, (Goalies!C:C=Projections!W12)*(Goalies!A:A=Projections!$R$4), Goalies!D:D)</f>
        <v>Philipp Grubauer</v>
      </c>
      <c r="S12" s="24">
        <v>0</v>
      </c>
      <c r="T12" s="5">
        <f ca="1">IFERROR(L12*S11+(1-S11)*N12,0)</f>
        <v>2.9443998074372897</v>
      </c>
      <c r="U12" s="5"/>
      <c r="V12" s="5"/>
      <c r="W12" t="str">
        <f t="shared" ca="1" si="0"/>
        <v>SEA</v>
      </c>
      <c r="X12" s="2">
        <f ca="1">'2026'!BJ10</f>
        <v>-112</v>
      </c>
      <c r="Y12" s="2">
        <f ca="1">'2026'!BK10</f>
        <v>107</v>
      </c>
      <c r="Z12" s="2">
        <f ca="1">'2026'!BL10</f>
        <v>-120</v>
      </c>
      <c r="AA12" s="2">
        <f ca="1">'2026'!BM10</f>
        <v>-148</v>
      </c>
    </row>
    <row r="13" spans="1:27" x14ac:dyDescent="0.2">
      <c r="A13" s="34">
        <f ca="1">IF(D13=0,"0",(_xlfn.XLOOKUP(B13,'2026'!A:A,'2026'!C:C)))</f>
        <v>46043</v>
      </c>
      <c r="B13" t="str">
        <f ca="1"/>
        <v>2025020791 PIT</v>
      </c>
      <c r="C13">
        <f ca="1"/>
        <v>2025020791</v>
      </c>
      <c r="D13" s="7">
        <f ca="1">_xlfn.XLOOKUP(B13,'2026'!A:A,'2026'!AT:AT)</f>
        <v>3.0992979847424489</v>
      </c>
      <c r="E13" s="7">
        <f ca="1">_xlfn.XLOOKUP(B13,'2026'!A:A,'2026'!Z:Z)</f>
        <v>0.97499999999999998</v>
      </c>
      <c r="F13" s="39" t="str">
        <f ca="1">_xlfn.XLOOKUP(B13,'2026'!A:A,'2026'!E:E)</f>
        <v>PIT</v>
      </c>
      <c r="G13" s="5">
        <f ca="1">D13/E14</f>
        <v>3.1464954159821819</v>
      </c>
      <c r="H13" s="5">
        <f ca="1">SUMIFS(Goalies!$J:$J,Goalies!$C:$C,Projections!$F13,Goalies!$A:$A,Projections!H$2)</f>
        <v>0.97499999999999998</v>
      </c>
      <c r="I13" s="5">
        <f ca="1">SUMIFS(Goalies!$J:$J,Goalies!$C:$C,Projections!$F13,Goalies!$A:$A,Projections!I$2)</f>
        <v>0.97499999999999998</v>
      </c>
      <c r="J13" s="5">
        <f ca="1">SUMIFS(Goalies!$J:$J,Goalies!$C:$C,Projections!$F13,Goalies!$A:$A,Projections!J$2)</f>
        <v>2.0700000000000003</v>
      </c>
      <c r="K13" s="5">
        <f ca="1">SUMIFS(Goalies!$J:$J,Goalies!$C:$C,Projections!$F13,Goalies!$A:$A,Projections!K$2)</f>
        <v>2.0700000000000003</v>
      </c>
      <c r="L13" s="5">
        <f ca="1">IFERROR($G13*H14,0)</f>
        <v>3.0992979847424489</v>
      </c>
      <c r="M13" s="5">
        <f ca="1">IFERROR($G13*I14,0)</f>
        <v>3.2094253243018254</v>
      </c>
      <c r="N13" s="5">
        <f ca="1">IFERROR($G13*J14,0)</f>
        <v>3.0992979847424489</v>
      </c>
      <c r="O13" s="5">
        <f ca="1">IFERROR($G13*K14,0)</f>
        <v>3.2094253243018254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Stuart Skinner</v>
      </c>
      <c r="R13" s="5" t="str" cm="1">
        <f t="array" aca="1" ref="R13" ca="1">_xlfn.XLOOKUP(1, (Goalies!C:C=Projections!W13)*(Goalies!A:A=Projections!$R$4), Goalies!D:D)</f>
        <v>Arturs Silovs</v>
      </c>
      <c r="S13" s="24">
        <v>1</v>
      </c>
      <c r="T13" s="5">
        <f ca="1">IFERROR(L13*S14+(1-S14)*M13,0)</f>
        <v>3.0992979847424489</v>
      </c>
      <c r="U13" s="5"/>
      <c r="V13" s="5"/>
      <c r="W13" s="40" t="str">
        <f t="shared" ref="W13:W54" ca="1" si="1">F13</f>
        <v>PIT</v>
      </c>
      <c r="X13" s="43">
        <f ca="1">'2026'!BJ11</f>
        <v>-105</v>
      </c>
      <c r="Y13" s="43">
        <f ca="1">'2026'!BK11</f>
        <v>-143</v>
      </c>
      <c r="Z13" s="43">
        <f ca="1">'2026'!BL11</f>
        <v>-115</v>
      </c>
      <c r="AA13" s="43">
        <f ca="1">'2026'!BM11</f>
        <v>110</v>
      </c>
    </row>
    <row r="14" spans="1:27" x14ac:dyDescent="0.2">
      <c r="A14" s="34">
        <f ca="1">IF(D14=0,"0",(_xlfn.XLOOKUP(B14,'2026'!A:A,'2026'!C:C)))</f>
        <v>46043</v>
      </c>
      <c r="B14" t="str">
        <f ca="1"/>
        <v>2025020791 CGY</v>
      </c>
      <c r="C14">
        <f ca="1"/>
        <v>2025020791</v>
      </c>
      <c r="D14" s="7">
        <f ca="1">_xlfn.XLOOKUP(B14,'2026'!A:A,'2026'!AT:AT)</f>
        <v>3.0641696265688392</v>
      </c>
      <c r="E14" s="7">
        <f ca="1">_xlfn.XLOOKUP(B14,'2026'!A:A,'2026'!Z:Z)</f>
        <v>0.98499999999999999</v>
      </c>
      <c r="F14" s="39" t="str">
        <f ca="1">_xlfn.XLOOKUP(B14,'2026'!A:A,'2026'!E:E)</f>
        <v>CGY</v>
      </c>
      <c r="G14" s="5">
        <f ca="1">D14/E13</f>
        <v>3.1427380785321426</v>
      </c>
      <c r="H14" s="5">
        <f ca="1">SUMIFS(Goalies!$J:$J,Goalies!$C:$C,Projections!$F14,Goalies!$A:$A,Projections!H$4)</f>
        <v>0.98499999999999999</v>
      </c>
      <c r="I14" s="5">
        <f ca="1">SUMIFS(Goalies!$J:$J,Goalies!$C:$C,Projections!$F14,Goalies!$A:$A,Projections!I$4)</f>
        <v>1.02</v>
      </c>
      <c r="J14" s="5">
        <f ca="1">SUMIFS(Goalies!$J:$J,Goalies!$C:$C,Projections!$F14,Goalies!$A:$A,Projections!J$4)</f>
        <v>0.98499999999999999</v>
      </c>
      <c r="K14" s="5">
        <f ca="1">SUMIFS(Goalies!$J:$J,Goalies!$C:$C,Projections!$F14,Goalies!$A:$A,Projections!K$4)</f>
        <v>1.02</v>
      </c>
      <c r="L14" s="5">
        <f ca="1">IFERROR($G14*H13,0)</f>
        <v>3.0641696265688392</v>
      </c>
      <c r="M14" s="5">
        <f ca="1">IFERROR($G14*I13,0)</f>
        <v>3.0641696265688392</v>
      </c>
      <c r="N14" s="5">
        <f ca="1">IFERROR($G14*J13,0)</f>
        <v>6.5054678225615357</v>
      </c>
      <c r="O14" s="5">
        <f ca="1">IFERROR($G14*K13,0)</f>
        <v>6.5054678225615357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Dustin Wolf</v>
      </c>
      <c r="R14" s="5" t="str" cm="1">
        <f t="array" aca="1" ref="R14" ca="1">_xlfn.XLOOKUP(1, (Goalies!C:C=Projections!W14)*(Goalies!A:A=Projections!$R$4), Goalies!D:D)</f>
        <v>Devin Cooley</v>
      </c>
      <c r="S14" s="24">
        <v>1</v>
      </c>
      <c r="T14" s="5">
        <f ca="1">IFERROR(L14*S13+(1-S13)*N14,0)</f>
        <v>3.0641696265688392</v>
      </c>
      <c r="U14" s="5"/>
      <c r="V14" s="5"/>
      <c r="W14" s="40" t="str">
        <f t="shared" ca="1" si="1"/>
        <v>CGY</v>
      </c>
      <c r="X14" s="43">
        <f ca="1">'2026'!BJ12</f>
        <v>105</v>
      </c>
      <c r="Y14" s="43">
        <f ca="1">'2026'!BK12</f>
        <v>143</v>
      </c>
      <c r="Z14" s="43">
        <f ca="1">'2026'!BL12</f>
        <v>115</v>
      </c>
      <c r="AA14" s="43">
        <f ca="1">'2026'!BM12</f>
        <v>-110</v>
      </c>
    </row>
    <row r="15" spans="1:27" x14ac:dyDescent="0.2">
      <c r="A15" s="34">
        <f ca="1">IF(D15=0,"0",(_xlfn.XLOOKUP(B15,'2026'!A:A,'2026'!C:C)))</f>
        <v>46043</v>
      </c>
      <c r="B15" t="str">
        <f ca="1"/>
        <v>2025020792 WSH</v>
      </c>
      <c r="C15">
        <f ca="1"/>
        <v>2025020792</v>
      </c>
      <c r="D15" s="7">
        <f ca="1">_xlfn.XLOOKUP(B15,'2026'!A:A,'2026'!AT:AT)</f>
        <v>3.2782607984434864</v>
      </c>
      <c r="E15" s="7">
        <f ca="1">_xlfn.XLOOKUP(B15,'2026'!A:A,'2026'!Z:Z)</f>
        <v>0.97499999999999998</v>
      </c>
      <c r="F15" s="39" t="str">
        <f ca="1">_xlfn.XLOOKUP(B15,'2026'!A:A,'2026'!E:E)</f>
        <v>WSH</v>
      </c>
      <c r="G15" s="5">
        <f ca="1">D15/E16</f>
        <v>3.182777474216977</v>
      </c>
      <c r="H15" s="5">
        <f ca="1">SUMIFS(Goalies!$J:$J,Goalies!$C:$C,Projections!$F15,Goalies!$A:$A,Projections!H$2)</f>
        <v>0.97499999999999998</v>
      </c>
      <c r="I15" s="5">
        <f ca="1">SUMIFS(Goalies!$J:$J,Goalies!$C:$C,Projections!$F15,Goalies!$A:$A,Projections!I$2)</f>
        <v>0.97499999999999998</v>
      </c>
      <c r="J15" s="5">
        <f ca="1">SUMIFS(Goalies!$J:$J,Goalies!$C:$C,Projections!$F15,Goalies!$A:$A,Projections!J$2)</f>
        <v>1.04</v>
      </c>
      <c r="K15" s="5">
        <f ca="1">SUMIFS(Goalies!$J:$J,Goalies!$C:$C,Projections!$F15,Goalies!$A:$A,Projections!K$2)</f>
        <v>1.04</v>
      </c>
      <c r="L15" s="5">
        <f ca="1">IFERROR($G15*H16,0)</f>
        <v>3.1032080373615525</v>
      </c>
      <c r="M15" s="5">
        <f ca="1">IFERROR($G15*I16,0)</f>
        <v>6.7156604705978227</v>
      </c>
      <c r="N15" s="5">
        <f ca="1">IFERROR($G15*J16,0)</f>
        <v>3.1032080373615525</v>
      </c>
      <c r="O15" s="5">
        <f ca="1">IFERROR($G15*K16,0)</f>
        <v>6.7156604705978227</v>
      </c>
      <c r="P15" s="2" t="str">
        <f ca="1">_xlfn.XLOOKUP(B15,'2026'!A:A,'2026'!AS:AS)</f>
        <v>Strong</v>
      </c>
      <c r="Q15" s="5" t="str" cm="1">
        <f t="array" aca="1" ref="Q15" ca="1">_xlfn.XLOOKUP(1, (Goalies!C:C=Projections!W15)*(Goalies!A:A=Projections!$Q$4), Goalies!D:D)</f>
        <v>Logan Thompson</v>
      </c>
      <c r="R15" s="5" t="str" cm="1">
        <f t="array" aca="1" ref="R15" ca="1">_xlfn.XLOOKUP(1, (Goalies!C:C=Projections!W15)*(Goalies!A:A=Projections!$R$4), Goalies!D:D)</f>
        <v>Charlie Lindgren</v>
      </c>
      <c r="S15" s="24">
        <v>1</v>
      </c>
      <c r="T15" s="5">
        <f ca="1">IFERROR(L15*S16+(1-S16)*M15,0)</f>
        <v>3.1032080373615525</v>
      </c>
      <c r="U15" s="5"/>
      <c r="V15" s="5"/>
      <c r="W15" t="str">
        <f t="shared" ca="1" si="1"/>
        <v>WSH</v>
      </c>
      <c r="X15" s="2">
        <f ca="1">'2026'!BJ13</f>
        <v>-133</v>
      </c>
      <c r="Y15" s="2">
        <f ca="1">'2026'!BK13</f>
        <v>-111</v>
      </c>
      <c r="Z15" s="2">
        <f ca="1">'2026'!BL13</f>
        <v>115</v>
      </c>
      <c r="AA15" s="2">
        <f ca="1">'2026'!BM13</f>
        <v>143</v>
      </c>
    </row>
    <row r="16" spans="1:27" x14ac:dyDescent="0.2">
      <c r="A16" s="34">
        <f ca="1">IF(D16=0,"0",(_xlfn.XLOOKUP(B16,'2026'!A:A,'2026'!C:C)))</f>
        <v>46043</v>
      </c>
      <c r="B16" t="str">
        <f ca="1"/>
        <v>2025020792 VAN</v>
      </c>
      <c r="C16">
        <f ca="1"/>
        <v>2025020792</v>
      </c>
      <c r="D16" s="7">
        <f ca="1">_xlfn.XLOOKUP(B16,'2026'!A:A,'2026'!AT:AT)</f>
        <v>2.6739227385564428</v>
      </c>
      <c r="E16" s="7">
        <f ca="1">_xlfn.XLOOKUP(B16,'2026'!A:A,'2026'!Z:Z)</f>
        <v>1.03</v>
      </c>
      <c r="F16" s="39" t="str">
        <f ca="1">_xlfn.XLOOKUP(B16,'2026'!A:A,'2026'!E:E)</f>
        <v>VAN</v>
      </c>
      <c r="G16" s="5">
        <f ca="1">D16/E15</f>
        <v>2.7424848600578899</v>
      </c>
      <c r="H16" s="5">
        <f ca="1">SUMIFS(Goalies!$J:$J,Goalies!$C:$C,Projections!$F16,Goalies!$A:$A,Projections!H$4)</f>
        <v>0.97499999999999998</v>
      </c>
      <c r="I16" s="5">
        <f ca="1">SUMIFS(Goalies!$J:$J,Goalies!$C:$C,Projections!$F16,Goalies!$A:$A,Projections!I$4)</f>
        <v>2.1100000000000003</v>
      </c>
      <c r="J16" s="5">
        <f ca="1">SUMIFS(Goalies!$J:$J,Goalies!$C:$C,Projections!$F16,Goalies!$A:$A,Projections!J$4)</f>
        <v>0.97499999999999998</v>
      </c>
      <c r="K16" s="5">
        <f ca="1">SUMIFS(Goalies!$J:$J,Goalies!$C:$C,Projections!$F16,Goalies!$A:$A,Projections!K$4)</f>
        <v>2.1100000000000003</v>
      </c>
      <c r="L16" s="5">
        <f ca="1">IFERROR($G16*H15,0)</f>
        <v>2.6739227385564428</v>
      </c>
      <c r="M16" s="5">
        <f ca="1">IFERROR($G16*I15,0)</f>
        <v>2.6739227385564428</v>
      </c>
      <c r="N16" s="5">
        <f ca="1">IFERROR($G16*J15,0)</f>
        <v>2.8521842544602056</v>
      </c>
      <c r="O16" s="5">
        <f ca="1">IFERROR($G16*K15,0)</f>
        <v>2.8521842544602056</v>
      </c>
      <c r="P16" s="2" t="str">
        <f ca="1">_xlfn.XLOOKUP(B16,'2026'!A:A,'2026'!AS:AS)</f>
        <v>Strong</v>
      </c>
      <c r="Q16" s="5" t="str" cm="1">
        <f t="array" aca="1" ref="Q16" ca="1">_xlfn.XLOOKUP(1, (Goalies!C:C=Projections!W16)*(Goalies!A:A=Projections!$Q$4), Goalies!D:D)</f>
        <v>Thatcher Demko</v>
      </c>
      <c r="R16" s="5" t="str" cm="1">
        <f t="array" aca="1" ref="R16" ca="1">_xlfn.XLOOKUP(1, (Goalies!C:C=Projections!W16)*(Goalies!A:A=Projections!$R$4), Goalies!D:D)</f>
        <v>Kevin Lankinen</v>
      </c>
      <c r="S16" s="24">
        <v>1</v>
      </c>
      <c r="T16" s="5">
        <f ca="1">IFERROR(L16*S15+(1-S15)*N16,0)</f>
        <v>2.6739227385564428</v>
      </c>
      <c r="U16" s="5"/>
      <c r="V16" s="5"/>
      <c r="W16" t="str">
        <f t="shared" ca="1" si="1"/>
        <v>VAN</v>
      </c>
      <c r="X16" s="2">
        <f ca="1">'2026'!BJ14</f>
        <v>133</v>
      </c>
      <c r="Y16" s="2">
        <f ca="1">'2026'!BK14</f>
        <v>111</v>
      </c>
      <c r="Z16" s="2">
        <f ca="1">'2026'!BL14</f>
        <v>-115</v>
      </c>
      <c r="AA16" s="2">
        <f ca="1">'2026'!BM14</f>
        <v>-143</v>
      </c>
    </row>
    <row r="17" spans="1:27" x14ac:dyDescent="0.2">
      <c r="A17" s="34">
        <f ca="1">IF(D17=0,"0",(_xlfn.XLOOKUP(B17,'2026'!A:A,'2026'!C:C)))</f>
        <v>46044</v>
      </c>
      <c r="B17" t="str">
        <f ca="1"/>
        <v>2025020795 BUF</v>
      </c>
      <c r="C17">
        <f ca="1"/>
        <v>2025020795</v>
      </c>
      <c r="D17" s="7">
        <f ca="1">_xlfn.XLOOKUP(B17,'2026'!A:A,'2026'!AT:AT)</f>
        <v>2.9477538627951958</v>
      </c>
      <c r="E17" s="7">
        <f ca="1">_xlfn.XLOOKUP(B17,'2026'!A:A,'2026'!Z:Z)</f>
        <v>0.99</v>
      </c>
      <c r="F17" s="39" t="str">
        <f ca="1">_xlfn.XLOOKUP(B17,'2026'!A:A,'2026'!E:E)</f>
        <v>BUF</v>
      </c>
      <c r="G17" s="5">
        <f ca="1">D17/E18</f>
        <v>2.9477538627951958</v>
      </c>
      <c r="H17" s="5">
        <f ca="1">SUMIFS(Goalies!$J:$J,Goalies!$C:$C,Projections!$F17,Goalies!$A:$A,Projections!H$2)</f>
        <v>1.0149999999999999</v>
      </c>
      <c r="I17" s="5">
        <f ca="1">SUMIFS(Goalies!$J:$J,Goalies!$C:$C,Projections!$F17,Goalies!$A:$A,Projections!I$2)</f>
        <v>1.0149999999999999</v>
      </c>
      <c r="J17" s="5">
        <f ca="1">SUMIFS(Goalies!$J:$J,Goalies!$C:$C,Projections!$F17,Goalies!$A:$A,Projections!J$2)</f>
        <v>0.99</v>
      </c>
      <c r="K17" s="5">
        <f ca="1">SUMIFS(Goalies!$J:$J,Goalies!$C:$C,Projections!$F17,Goalies!$A:$A,Projections!K$2)</f>
        <v>0.99</v>
      </c>
      <c r="L17" s="5">
        <f ca="1">IFERROR($G17*H18,0)</f>
        <v>2.9477538627951958</v>
      </c>
      <c r="M17" s="5">
        <f ca="1">IFERROR($G17*I18,0)</f>
        <v>5.9102464949043672</v>
      </c>
      <c r="N17" s="5">
        <f ca="1">IFERROR($G17*J18,0)</f>
        <v>2.9477538627951958</v>
      </c>
      <c r="O17" s="5">
        <f ca="1">IFERROR($G17*K18,0)</f>
        <v>5.9102464949043672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Ukko-Pekka Luukkonen</v>
      </c>
      <c r="R17" s="5" t="str" cm="1">
        <f t="array" aca="1" ref="R17" ca="1">_xlfn.XLOOKUP(1, (Goalies!C:C=Projections!W17)*(Goalies!A:A=Projections!$R$4), Goalies!D:D)</f>
        <v>Alex Lyon</v>
      </c>
      <c r="S17" s="24">
        <v>1</v>
      </c>
      <c r="T17" s="5">
        <f ca="1">IFERROR(L17*S18+(1-S18)*M17,0)</f>
        <v>2.9477538627951958</v>
      </c>
      <c r="U17" s="5"/>
      <c r="V17" s="5"/>
      <c r="W17" s="40" t="str">
        <f t="shared" ca="1" si="1"/>
        <v>BUF</v>
      </c>
      <c r="X17" s="43">
        <f ca="1">'2026'!BJ15</f>
        <v>127</v>
      </c>
      <c r="Y17" s="43">
        <f ca="1">'2026'!BK15</f>
        <v>-152</v>
      </c>
      <c r="Z17" s="43">
        <f ca="1">'2026'!BL15</f>
        <v>-124</v>
      </c>
      <c r="AA17" s="43">
        <f ca="1">'2026'!BM15</f>
        <v>103</v>
      </c>
    </row>
    <row r="18" spans="1:27" x14ac:dyDescent="0.2">
      <c r="A18" s="34">
        <f ca="1">IF(D18=0,"0",(_xlfn.XLOOKUP(B18,'2026'!A:A,'2026'!C:C)))</f>
        <v>46044</v>
      </c>
      <c r="B18" t="str">
        <f ca="1"/>
        <v>2025020795 MTL</v>
      </c>
      <c r="C18">
        <f ca="1"/>
        <v>2025020795</v>
      </c>
      <c r="D18" s="7">
        <f ca="1">_xlfn.XLOOKUP(B18,'2026'!A:A,'2026'!AT:AT)</f>
        <v>3.2268200903667212</v>
      </c>
      <c r="E18" s="7">
        <f ca="1">_xlfn.XLOOKUP(B18,'2026'!A:A,'2026'!Z:Z)</f>
        <v>1</v>
      </c>
      <c r="F18" s="39" t="str">
        <f ca="1">_xlfn.XLOOKUP(B18,'2026'!A:A,'2026'!E:E)</f>
        <v>MTL</v>
      </c>
      <c r="G18" s="5">
        <f ca="1">D18/E17</f>
        <v>3.2594142326936577</v>
      </c>
      <c r="H18" s="5">
        <f ca="1">SUMIFS(Goalies!$J:$J,Goalies!$C:$C,Projections!$F18,Goalies!$A:$A,Projections!H$4)</f>
        <v>1</v>
      </c>
      <c r="I18" s="5">
        <f ca="1">SUMIFS(Goalies!$J:$J,Goalies!$C:$C,Projections!$F18,Goalies!$A:$A,Projections!I$4)</f>
        <v>2.0049999999999999</v>
      </c>
      <c r="J18" s="5">
        <f ca="1">SUMIFS(Goalies!$J:$J,Goalies!$C:$C,Projections!$F18,Goalies!$A:$A,Projections!J$4)</f>
        <v>1</v>
      </c>
      <c r="K18" s="5">
        <f ca="1">SUMIFS(Goalies!$J:$J,Goalies!$C:$C,Projections!$F18,Goalies!$A:$A,Projections!K$4)</f>
        <v>2.0049999999999999</v>
      </c>
      <c r="L18" s="5">
        <f ca="1">IFERROR($G18*H17,0)</f>
        <v>3.3083054461840624</v>
      </c>
      <c r="M18" s="5">
        <f ca="1">IFERROR($G18*I17,0)</f>
        <v>3.3083054461840624</v>
      </c>
      <c r="N18" s="5">
        <f ca="1">IFERROR($G18*J17,0)</f>
        <v>3.2268200903667212</v>
      </c>
      <c r="O18" s="5">
        <f ca="1">IFERROR($G18*K17,0)</f>
        <v>3.2268200903667212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Sam Montembeault</v>
      </c>
      <c r="R18" s="5" t="str" cm="1">
        <f t="array" aca="1" ref="R18" ca="1">_xlfn.XLOOKUP(1, (Goalies!C:C=Projections!W18)*(Goalies!A:A=Projections!$R$4), Goalies!D:D)</f>
        <v>Jakub Dobes</v>
      </c>
      <c r="S18" s="24">
        <v>1</v>
      </c>
      <c r="T18" s="5">
        <f ca="1">IFERROR(L18*S17+(1-S17)*N18,0)</f>
        <v>3.3083054461840624</v>
      </c>
      <c r="U18" s="5"/>
      <c r="V18" s="5"/>
      <c r="W18" s="40" t="str">
        <f t="shared" ca="1" si="1"/>
        <v>MTL</v>
      </c>
      <c r="X18" s="43">
        <f ca="1">'2026'!BJ16</f>
        <v>-127</v>
      </c>
      <c r="Y18" s="43">
        <f ca="1">'2026'!BK16</f>
        <v>152</v>
      </c>
      <c r="Z18" s="43">
        <f ca="1">'2026'!BL16</f>
        <v>124</v>
      </c>
      <c r="AA18" s="43">
        <f ca="1">'2026'!BM16</f>
        <v>-103</v>
      </c>
    </row>
    <row r="19" spans="1:27" x14ac:dyDescent="0.2">
      <c r="A19" s="34">
        <f ca="1">IF(D19=0,"0",(_xlfn.XLOOKUP(B19,'2026'!A:A,'2026'!C:C)))</f>
        <v>46044</v>
      </c>
      <c r="B19" t="str">
        <f ca="1"/>
        <v>2025020796 CHI</v>
      </c>
      <c r="C19">
        <f ca="1"/>
        <v>2025020796</v>
      </c>
      <c r="D19" s="7">
        <f ca="1">_xlfn.XLOOKUP(B19,'2026'!A:A,'2026'!AT:AT)</f>
        <v>2.3792312311217136</v>
      </c>
      <c r="E19" s="7">
        <f ca="1">_xlfn.XLOOKUP(B19,'2026'!A:A,'2026'!Z:Z)</f>
        <v>0.96</v>
      </c>
      <c r="F19" s="39" t="str">
        <f ca="1">_xlfn.XLOOKUP(B19,'2026'!A:A,'2026'!E:E)</f>
        <v>CHI</v>
      </c>
      <c r="G19" s="5">
        <f ca="1">D19/E20</f>
        <v>2.2767762977241279</v>
      </c>
      <c r="H19" s="5">
        <f ca="1">SUMIFS(Goalies!$J:$J,Goalies!$C:$C,Projections!$F19,Goalies!$A:$A,Projections!H$2)</f>
        <v>0.96</v>
      </c>
      <c r="I19" s="5">
        <f ca="1">SUMIFS(Goalies!$J:$J,Goalies!$C:$C,Projections!$F19,Goalies!$A:$A,Projections!I$2)</f>
        <v>0.96</v>
      </c>
      <c r="J19" s="5">
        <f ca="1">SUMIFS(Goalies!$J:$J,Goalies!$C:$C,Projections!$F19,Goalies!$A:$A,Projections!J$2)</f>
        <v>1.06</v>
      </c>
      <c r="K19" s="5">
        <f ca="1">SUMIFS(Goalies!$J:$J,Goalies!$C:$C,Projections!$F19,Goalies!$A:$A,Projections!K$2)</f>
        <v>1.06</v>
      </c>
      <c r="L19" s="5">
        <f ca="1">IFERROR($G19*H20,0)</f>
        <v>2.3792312311217136</v>
      </c>
      <c r="M19" s="5">
        <f ca="1">IFERROR($G19*I20,0)</f>
        <v>2.2995440607013693</v>
      </c>
      <c r="N19" s="5">
        <f ca="1">IFERROR($G19*J20,0)</f>
        <v>2.3792312311217136</v>
      </c>
      <c r="O19" s="5">
        <f ca="1">IFERROR($G19*K20,0)</f>
        <v>2.2995440607013693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Spencer Knight</v>
      </c>
      <c r="R19" s="5" t="str" cm="1">
        <f t="array" aca="1" ref="R19" ca="1">_xlfn.XLOOKUP(1, (Goalies!C:C=Projections!W19)*(Goalies!A:A=Projections!$R$4), Goalies!D:D)</f>
        <v>Arvid Soderblom</v>
      </c>
      <c r="S19" s="24">
        <v>1</v>
      </c>
      <c r="T19" s="5">
        <f ca="1">IFERROR(L19*S20+(1-S20)*M19,0)</f>
        <v>2.3792312311217136</v>
      </c>
      <c r="U19" s="5"/>
      <c r="V19" s="5"/>
      <c r="W19" t="str">
        <f t="shared" ca="1" si="1"/>
        <v>CHI</v>
      </c>
      <c r="X19" s="2">
        <f ca="1">'2026'!BJ17</f>
        <v>253</v>
      </c>
      <c r="Y19" s="2">
        <f ca="1">'2026'!BK17</f>
        <v>-148</v>
      </c>
      <c r="Z19" s="2">
        <f ca="1">'2026'!BL17</f>
        <v>-118</v>
      </c>
      <c r="AA19" s="2">
        <f ca="1">'2026'!BM17</f>
        <v>110</v>
      </c>
    </row>
    <row r="20" spans="1:27" x14ac:dyDescent="0.2">
      <c r="A20" s="34">
        <f ca="1">IF(D20=0,"0",(_xlfn.XLOOKUP(B20,'2026'!A:A,'2026'!C:C)))</f>
        <v>46044</v>
      </c>
      <c r="B20" t="str">
        <f ca="1"/>
        <v>2025020796 CAR</v>
      </c>
      <c r="C20">
        <f ca="1"/>
        <v>2025020796</v>
      </c>
      <c r="D20" s="7">
        <f ca="1">_xlfn.XLOOKUP(B20,'2026'!A:A,'2026'!AT:AT)</f>
        <v>3.8455291783765815</v>
      </c>
      <c r="E20" s="7">
        <f ca="1">_xlfn.XLOOKUP(B20,'2026'!A:A,'2026'!Z:Z)</f>
        <v>1.0449999999999999</v>
      </c>
      <c r="F20" s="39" t="str">
        <f ca="1">_xlfn.XLOOKUP(B20,'2026'!A:A,'2026'!E:E)</f>
        <v>CAR</v>
      </c>
      <c r="G20" s="5">
        <f ca="1">D20/E19</f>
        <v>4.0057595608089391</v>
      </c>
      <c r="H20" s="5">
        <f ca="1">SUMIFS(Goalies!$J:$J,Goalies!$C:$C,Projections!$F20,Goalies!$A:$A,Projections!H$4)</f>
        <v>1.0449999999999999</v>
      </c>
      <c r="I20" s="5">
        <f ca="1">SUMIFS(Goalies!$J:$J,Goalies!$C:$C,Projections!$F20,Goalies!$A:$A,Projections!I$4)</f>
        <v>1.01</v>
      </c>
      <c r="J20" s="5">
        <f ca="1">SUMIFS(Goalies!$J:$J,Goalies!$C:$C,Projections!$F20,Goalies!$A:$A,Projections!J$4)</f>
        <v>1.0449999999999999</v>
      </c>
      <c r="K20" s="5">
        <f ca="1">SUMIFS(Goalies!$J:$J,Goalies!$C:$C,Projections!$F20,Goalies!$A:$A,Projections!K$4)</f>
        <v>1.01</v>
      </c>
      <c r="L20" s="5">
        <f ca="1">IFERROR($G20*H19,0)</f>
        <v>3.8455291783765815</v>
      </c>
      <c r="M20" s="5">
        <f ca="1">IFERROR($G20*I19,0)</f>
        <v>3.8455291783765815</v>
      </c>
      <c r="N20" s="5">
        <f ca="1">IFERROR($G20*J19,0)</f>
        <v>4.2461051344574754</v>
      </c>
      <c r="O20" s="5">
        <f ca="1">IFERROR($G20*K19,0)</f>
        <v>4.2461051344574754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Frederik Andersen</v>
      </c>
      <c r="R20" s="5" t="str" cm="1">
        <f t="array" aca="1" ref="R20" ca="1">_xlfn.XLOOKUP(1, (Goalies!C:C=Projections!W20)*(Goalies!A:A=Projections!$R$4), Goalies!D:D)</f>
        <v>Pyotr Kochetkov</v>
      </c>
      <c r="S20" s="24">
        <v>1</v>
      </c>
      <c r="T20" s="5">
        <f ca="1">IFERROR(L20*S19+(1-S19)*N20,0)</f>
        <v>3.8455291783765815</v>
      </c>
      <c r="U20" s="5"/>
      <c r="V20" s="5"/>
      <c r="W20" t="str">
        <f t="shared" ca="1" si="1"/>
        <v>CAR</v>
      </c>
      <c r="X20" s="2">
        <f ca="1">'2026'!BJ18</f>
        <v>-253</v>
      </c>
      <c r="Y20" s="2">
        <f ca="1">'2026'!BK18</f>
        <v>148</v>
      </c>
      <c r="Z20" s="2">
        <f ca="1">'2026'!BL18</f>
        <v>118</v>
      </c>
      <c r="AA20" s="2">
        <f ca="1">'2026'!BM18</f>
        <v>-110</v>
      </c>
    </row>
    <row r="21" spans="1:27" x14ac:dyDescent="0.2">
      <c r="A21" s="34">
        <f ca="1">IF(D21=0,"0",(_xlfn.XLOOKUP(B21,'2026'!A:A,'2026'!C:C)))</f>
        <v>46044</v>
      </c>
      <c r="B21" t="str">
        <f ca="1"/>
        <v>2025020797 DAL</v>
      </c>
      <c r="C21">
        <f ca="1"/>
        <v>2025020797</v>
      </c>
      <c r="D21" s="7">
        <f ca="1">_xlfn.XLOOKUP(B21,'2026'!A:A,'2026'!AT:AT)</f>
        <v>3.035174410309637</v>
      </c>
      <c r="E21" s="7">
        <f ca="1">_xlfn.XLOOKUP(B21,'2026'!A:A,'2026'!Z:Z)</f>
        <v>0.995</v>
      </c>
      <c r="F21" s="39" t="str">
        <f ca="1">_xlfn.XLOOKUP(B21,'2026'!A:A,'2026'!E:E)</f>
        <v>DAL</v>
      </c>
      <c r="G21" s="5">
        <f ca="1">D21/E22</f>
        <v>3.1129993951893713</v>
      </c>
      <c r="H21" s="5">
        <f ca="1">SUMIFS(Goalies!$J:$J,Goalies!$C:$C,Projections!$F21,Goalies!$A:$A,Projections!H$2)</f>
        <v>0.995</v>
      </c>
      <c r="I21" s="5">
        <f ca="1">SUMIFS(Goalies!$J:$J,Goalies!$C:$C,Projections!$F21,Goalies!$A:$A,Projections!I$2)</f>
        <v>0.995</v>
      </c>
      <c r="J21" s="5">
        <f ca="1">SUMIFS(Goalies!$J:$J,Goalies!$C:$C,Projections!$F21,Goalies!$A:$A,Projections!J$2)</f>
        <v>1.0049999999999999</v>
      </c>
      <c r="K21" s="5">
        <f ca="1">SUMIFS(Goalies!$J:$J,Goalies!$C:$C,Projections!$F21,Goalies!$A:$A,Projections!K$2)</f>
        <v>1.0049999999999999</v>
      </c>
      <c r="L21" s="5">
        <f ca="1">IFERROR($G21*H22,0)</f>
        <v>3.035174410309637</v>
      </c>
      <c r="M21" s="5">
        <f ca="1">IFERROR($G21*I22,0)</f>
        <v>3.26864936494884</v>
      </c>
      <c r="N21" s="5">
        <f ca="1">IFERROR($G21*J22,0)</f>
        <v>3.035174410309637</v>
      </c>
      <c r="O21" s="5">
        <f ca="1">IFERROR($G21*K22,0)</f>
        <v>3.26864936494884</v>
      </c>
      <c r="P21" s="2" t="str">
        <f ca="1">_xlfn.XLOOKUP(B21,'2026'!A:A,'2026'!AS:AS)</f>
        <v>Weak</v>
      </c>
      <c r="Q21" s="5" t="str" cm="1">
        <f t="array" aca="1" ref="Q21" ca="1">_xlfn.XLOOKUP(1, (Goalies!C:C=Projections!W21)*(Goalies!A:A=Projections!$Q$4), Goalies!D:D)</f>
        <v>Jake Oettinger</v>
      </c>
      <c r="R21" s="5" t="str" cm="1">
        <f t="array" aca="1" ref="R21" ca="1">_xlfn.XLOOKUP(1, (Goalies!C:C=Projections!W21)*(Goalies!A:A=Projections!$R$4), Goalies!D:D)</f>
        <v>Casey DeSmith</v>
      </c>
      <c r="S21" s="24">
        <v>1</v>
      </c>
      <c r="T21" s="5">
        <f ca="1">IFERROR(L21*S22+(1-S22)*M21,0)</f>
        <v>3.26864936494884</v>
      </c>
      <c r="U21" s="5"/>
      <c r="V21" s="5"/>
      <c r="W21" s="40" t="str">
        <f t="shared" ca="1" si="1"/>
        <v>DAL</v>
      </c>
      <c r="X21" s="43">
        <f ca="1">'2026'!BJ19</f>
        <v>-126</v>
      </c>
      <c r="Y21" s="43">
        <f ca="1">'2026'!BK19</f>
        <v>-147</v>
      </c>
      <c r="Z21" s="43">
        <f ca="1">'2026'!BL19</f>
        <v>-119</v>
      </c>
      <c r="AA21" s="43">
        <f ca="1">'2026'!BM19</f>
        <v>108</v>
      </c>
    </row>
    <row r="22" spans="1:27" x14ac:dyDescent="0.2">
      <c r="A22" s="34">
        <f ca="1">IF(D22=0,"0",(_xlfn.XLOOKUP(B22,'2026'!A:A,'2026'!C:C)))</f>
        <v>46044</v>
      </c>
      <c r="B22" t="str">
        <f ca="1"/>
        <v>2025020797 CBJ</v>
      </c>
      <c r="C22">
        <f ca="1"/>
        <v>2025020797</v>
      </c>
      <c r="D22" s="7">
        <f ca="1">_xlfn.XLOOKUP(B22,'2026'!A:A,'2026'!AT:AT)</f>
        <v>2.9274087842272878</v>
      </c>
      <c r="E22" s="7">
        <f ca="1">_xlfn.XLOOKUP(B22,'2026'!A:A,'2026'!Z:Z)</f>
        <v>0.97499999999999998</v>
      </c>
      <c r="F22" s="39" t="str">
        <f ca="1">_xlfn.XLOOKUP(B22,'2026'!A:A,'2026'!E:E)</f>
        <v>CBJ</v>
      </c>
      <c r="G22" s="5">
        <f ca="1">D22/E21</f>
        <v>2.9421193811329527</v>
      </c>
      <c r="H22" s="5">
        <f ca="1">SUMIFS(Goalies!$J:$J,Goalies!$C:$C,Projections!$F22,Goalies!$A:$A,Projections!H$4)</f>
        <v>0.97499999999999998</v>
      </c>
      <c r="I22" s="5">
        <f ca="1">SUMIFS(Goalies!$J:$J,Goalies!$C:$C,Projections!$F22,Goalies!$A:$A,Projections!I$4)</f>
        <v>1.05</v>
      </c>
      <c r="J22" s="5">
        <f ca="1">SUMIFS(Goalies!$J:$J,Goalies!$C:$C,Projections!$F22,Goalies!$A:$A,Projections!J$4)</f>
        <v>0.97499999999999998</v>
      </c>
      <c r="K22" s="5">
        <f ca="1">SUMIFS(Goalies!$J:$J,Goalies!$C:$C,Projections!$F22,Goalies!$A:$A,Projections!K$4)</f>
        <v>1.05</v>
      </c>
      <c r="L22" s="5">
        <f ca="1">IFERROR($G22*H21,0)</f>
        <v>2.9274087842272878</v>
      </c>
      <c r="M22" s="5">
        <f ca="1">IFERROR($G22*I21,0)</f>
        <v>2.9274087842272878</v>
      </c>
      <c r="N22" s="5">
        <f ca="1">IFERROR($G22*J21,0)</f>
        <v>2.9568299780386171</v>
      </c>
      <c r="O22" s="5">
        <f ca="1">IFERROR($G22*K21,0)</f>
        <v>2.9568299780386171</v>
      </c>
      <c r="P22" s="2" t="str">
        <f ca="1">_xlfn.XLOOKUP(B22,'2026'!A:A,'2026'!AS:AS)</f>
        <v>Weak</v>
      </c>
      <c r="Q22" s="5" t="str" cm="1">
        <f t="array" aca="1" ref="Q22" ca="1">_xlfn.XLOOKUP(1, (Goalies!C:C=Projections!W22)*(Goalies!A:A=Projections!$Q$4), Goalies!D:D)</f>
        <v>Jet Greaves</v>
      </c>
      <c r="R22" s="5" t="str" cm="1">
        <f t="array" aca="1" ref="R22" ca="1">_xlfn.XLOOKUP(1, (Goalies!C:C=Projections!W22)*(Goalies!A:A=Projections!$R$4), Goalies!D:D)</f>
        <v>Elvis Merzlikins</v>
      </c>
      <c r="S22" s="24">
        <v>0</v>
      </c>
      <c r="T22" s="5">
        <f ca="1">IFERROR(L22*S21+(1-S21)*N22,0)</f>
        <v>2.9274087842272878</v>
      </c>
      <c r="U22" s="5"/>
      <c r="V22" s="5"/>
      <c r="W22" s="40" t="str">
        <f t="shared" ca="1" si="1"/>
        <v>CBJ</v>
      </c>
      <c r="X22" s="43">
        <f ca="1">'2026'!BJ20</f>
        <v>126</v>
      </c>
      <c r="Y22" s="43">
        <f ca="1">'2026'!BK20</f>
        <v>147</v>
      </c>
      <c r="Z22" s="43">
        <f ca="1">'2026'!BL20</f>
        <v>119</v>
      </c>
      <c r="AA22" s="43">
        <f ca="1">'2026'!BM20</f>
        <v>-108</v>
      </c>
    </row>
    <row r="23" spans="1:27" x14ac:dyDescent="0.2">
      <c r="A23" s="34">
        <f ca="1">IF(D23=0,"0",(_xlfn.XLOOKUP(B23,'2026'!A:A,'2026'!C:C)))</f>
        <v>46044</v>
      </c>
      <c r="B23" t="str">
        <f ca="1"/>
        <v>2025020794 VGK</v>
      </c>
      <c r="C23">
        <f ca="1"/>
        <v>2025020794</v>
      </c>
      <c r="D23" s="7">
        <f ca="1">_xlfn.XLOOKUP(B23,'2026'!A:A,'2026'!AT:AT)</f>
        <v>3.0246511350596332</v>
      </c>
      <c r="E23" s="7">
        <f ca="1">_xlfn.XLOOKUP(B23,'2026'!A:A,'2026'!Z:Z)</f>
        <v>1</v>
      </c>
      <c r="F23" s="39" t="str">
        <f ca="1">_xlfn.XLOOKUP(B23,'2026'!A:A,'2026'!E:E)</f>
        <v>VGK</v>
      </c>
      <c r="G23" s="5">
        <f ca="1">D23/E24</f>
        <v>3.1022062923688547</v>
      </c>
      <c r="H23" s="5">
        <f ca="1">SUMIFS(Goalies!$J:$J,Goalies!$C:$C,Projections!$F23,Goalies!$A:$A,Projections!H$2)</f>
        <v>1</v>
      </c>
      <c r="I23" s="5">
        <f ca="1">SUMIFS(Goalies!$J:$J,Goalies!$C:$C,Projections!$F23,Goalies!$A:$A,Projections!I$2)</f>
        <v>1</v>
      </c>
      <c r="J23" s="5">
        <f ca="1">SUMIFS(Goalies!$J:$J,Goalies!$C:$C,Projections!$F23,Goalies!$A:$A,Projections!J$2)</f>
        <v>2.04</v>
      </c>
      <c r="K23" s="5">
        <f ca="1">SUMIFS(Goalies!$J:$J,Goalies!$C:$C,Projections!$F23,Goalies!$A:$A,Projections!K$2)</f>
        <v>2.04</v>
      </c>
      <c r="L23" s="5">
        <f ca="1">IFERROR($G23*H24,0)</f>
        <v>3.0246511350596332</v>
      </c>
      <c r="M23" s="5">
        <f ca="1">IFERROR($G23*I24,0)</f>
        <v>3.226294544063609</v>
      </c>
      <c r="N23" s="5">
        <f ca="1">IFERROR($G23*J24,0)</f>
        <v>3.0246511350596332</v>
      </c>
      <c r="O23" s="5">
        <f ca="1">IFERROR($G23*K24,0)</f>
        <v>3.226294544063609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Adin Hill</v>
      </c>
      <c r="R23" s="5" t="str" cm="1">
        <f t="array" aca="1" ref="R23" ca="1">_xlfn.XLOOKUP(1, (Goalies!C:C=Projections!W23)*(Goalies!A:A=Projections!$R$4), Goalies!D:D)</f>
        <v>Akira Schmid</v>
      </c>
      <c r="S23" s="24">
        <v>1</v>
      </c>
      <c r="T23" s="5">
        <f ca="1">IFERROR(L23*S24+(1-S24)*M23,0)</f>
        <v>3.0246511350596332</v>
      </c>
      <c r="U23" s="5"/>
      <c r="V23" s="5"/>
      <c r="W23" t="str">
        <f t="shared" ca="1" si="1"/>
        <v>VGK</v>
      </c>
      <c r="X23" s="2">
        <f ca="1">'2026'!BJ21</f>
        <v>-111</v>
      </c>
      <c r="Y23" s="2">
        <f ca="1">'2026'!BK21</f>
        <v>-121</v>
      </c>
      <c r="Z23" s="2">
        <f ca="1">'2026'!BL21</f>
        <v>104</v>
      </c>
      <c r="AA23" s="2">
        <f ca="1">'2026'!BM21</f>
        <v>130</v>
      </c>
    </row>
    <row r="24" spans="1:27" x14ac:dyDescent="0.2">
      <c r="A24" s="34">
        <f ca="1">IF(D24=0,"0",(_xlfn.XLOOKUP(B24,'2026'!A:A,'2026'!C:C)))</f>
        <v>46044</v>
      </c>
      <c r="B24" t="str">
        <f ca="1"/>
        <v>2025020794 BOS</v>
      </c>
      <c r="C24">
        <f ca="1"/>
        <v>2025020794</v>
      </c>
      <c r="D24" s="7">
        <f ca="1">_xlfn.XLOOKUP(B24,'2026'!A:A,'2026'!AT:AT)</f>
        <v>2.8883425824185349</v>
      </c>
      <c r="E24" s="7">
        <f ca="1">_xlfn.XLOOKUP(B24,'2026'!A:A,'2026'!Z:Z)</f>
        <v>0.97499999999999998</v>
      </c>
      <c r="F24" s="39" t="str">
        <f ca="1">_xlfn.XLOOKUP(B24,'2026'!A:A,'2026'!E:E)</f>
        <v>BOS</v>
      </c>
      <c r="G24" s="5">
        <f ca="1">D24/E23</f>
        <v>2.8883425824185349</v>
      </c>
      <c r="H24" s="5">
        <f ca="1">SUMIFS(Goalies!$J:$J,Goalies!$C:$C,Projections!$F24,Goalies!$A:$A,Projections!H$4)</f>
        <v>0.97499999999999998</v>
      </c>
      <c r="I24" s="5">
        <f ca="1">SUMIFS(Goalies!$J:$J,Goalies!$C:$C,Projections!$F24,Goalies!$A:$A,Projections!I$4)</f>
        <v>1.04</v>
      </c>
      <c r="J24" s="5">
        <f ca="1">SUMIFS(Goalies!$J:$J,Goalies!$C:$C,Projections!$F24,Goalies!$A:$A,Projections!J$4)</f>
        <v>0.97499999999999998</v>
      </c>
      <c r="K24" s="5">
        <f ca="1">SUMIFS(Goalies!$J:$J,Goalies!$C:$C,Projections!$F24,Goalies!$A:$A,Projections!K$4)</f>
        <v>1.04</v>
      </c>
      <c r="L24" s="5">
        <f ca="1">IFERROR($G24*H23,0)</f>
        <v>2.8883425824185349</v>
      </c>
      <c r="M24" s="5">
        <f ca="1">IFERROR($G24*I23,0)</f>
        <v>2.8883425824185349</v>
      </c>
      <c r="N24" s="5">
        <f ca="1">IFERROR($G24*J23,0)</f>
        <v>5.8922188681338117</v>
      </c>
      <c r="O24" s="5">
        <f ca="1">IFERROR($G24*K23,0)</f>
        <v>5.8922188681338117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Jeremy Swayman</v>
      </c>
      <c r="R24" s="5" t="str" cm="1">
        <f t="array" aca="1" ref="R24" ca="1">_xlfn.XLOOKUP(1, (Goalies!C:C=Projections!W24)*(Goalies!A:A=Projections!$R$4), Goalies!D:D)</f>
        <v>Joonas Korpisalo</v>
      </c>
      <c r="S24" s="24">
        <v>1</v>
      </c>
      <c r="T24" s="5">
        <f ca="1">IFERROR(L24*S23+(1-S23)*N24,0)</f>
        <v>2.8883425824185349</v>
      </c>
      <c r="U24" s="5"/>
      <c r="V24" s="5"/>
      <c r="W24" t="str">
        <f t="shared" ca="1" si="1"/>
        <v>BOS</v>
      </c>
      <c r="X24" s="2">
        <f ca="1">'2026'!BJ22</f>
        <v>111</v>
      </c>
      <c r="Y24" s="2">
        <f ca="1">'2026'!BK22</f>
        <v>121</v>
      </c>
      <c r="Z24" s="2">
        <f ca="1">'2026'!BL22</f>
        <v>-104</v>
      </c>
      <c r="AA24" s="2">
        <f ca="1">'2026'!BM22</f>
        <v>-130</v>
      </c>
    </row>
    <row r="25" spans="1:27" x14ac:dyDescent="0.2">
      <c r="A25" s="34">
        <f ca="1">IF(D25=0,"0",(_xlfn.XLOOKUP(B25,'2026'!A:A,'2026'!C:C)))</f>
        <v>46044</v>
      </c>
      <c r="B25" t="str">
        <f ca="1"/>
        <v>2025020799 FLA</v>
      </c>
      <c r="C25">
        <f ca="1"/>
        <v>2025020799</v>
      </c>
      <c r="D25" s="7">
        <f ca="1">_xlfn.XLOOKUP(B25,'2026'!A:A,'2026'!AT:AT)</f>
        <v>2.9633973363116914</v>
      </c>
      <c r="E25" s="7">
        <f ca="1">_xlfn.XLOOKUP(B25,'2026'!A:A,'2026'!Z:Z)</f>
        <v>0.995</v>
      </c>
      <c r="F25" s="39" t="str">
        <f ca="1">_xlfn.XLOOKUP(B25,'2026'!A:A,'2026'!E:E)</f>
        <v>FLA</v>
      </c>
      <c r="G25" s="5">
        <f ca="1">D25/E26</f>
        <v>3.0708780687167789</v>
      </c>
      <c r="H25" s="5">
        <f ca="1">SUMIFS(Goalies!$J:$J,Goalies!$C:$C,Projections!$F25,Goalies!$A:$A,Projections!H$2)</f>
        <v>0.995</v>
      </c>
      <c r="I25" s="5">
        <f ca="1">SUMIFS(Goalies!$J:$J,Goalies!$C:$C,Projections!$F25,Goalies!$A:$A,Projections!I$2)</f>
        <v>0.995</v>
      </c>
      <c r="J25" s="5">
        <f ca="1">SUMIFS(Goalies!$J:$J,Goalies!$C:$C,Projections!$F25,Goalies!$A:$A,Projections!J$2)</f>
        <v>1.0049999999999999</v>
      </c>
      <c r="K25" s="5">
        <f ca="1">SUMIFS(Goalies!$J:$J,Goalies!$C:$C,Projections!$F25,Goalies!$A:$A,Projections!K$2)</f>
        <v>1.0049999999999999</v>
      </c>
      <c r="L25" s="5">
        <f ca="1">IFERROR($G25*H26,0)</f>
        <v>2.9633973363116914</v>
      </c>
      <c r="M25" s="5">
        <f ca="1">IFERROR($G25*I26,0)</f>
        <v>3.2551307528397859</v>
      </c>
      <c r="N25" s="5">
        <f ca="1">IFERROR($G25*J26,0)</f>
        <v>2.9633973363116914</v>
      </c>
      <c r="O25" s="5">
        <f ca="1">IFERROR($G25*K26,0)</f>
        <v>3.2551307528397859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Sergei Bobrovsky</v>
      </c>
      <c r="R25" s="5" t="str" cm="1">
        <f t="array" aca="1" ref="R25" ca="1">_xlfn.XLOOKUP(1, (Goalies!C:C=Projections!W25)*(Goalies!A:A=Projections!$R$4), Goalies!D:D)</f>
        <v>Daniil Tarasov</v>
      </c>
      <c r="S25" s="24">
        <v>1</v>
      </c>
      <c r="T25" s="5">
        <f ca="1">IFERROR(L25*S26+(1-S26)*M25,0)</f>
        <v>2.9633973363116914</v>
      </c>
      <c r="U25" s="5"/>
      <c r="V25" s="5"/>
      <c r="W25" s="40" t="str">
        <f t="shared" ca="1" si="1"/>
        <v>FLA</v>
      </c>
      <c r="X25" s="43">
        <f ca="1">'2026'!BJ23</f>
        <v>-105</v>
      </c>
      <c r="Y25" s="43">
        <f ca="1">'2026'!BK23</f>
        <v>-119</v>
      </c>
      <c r="Z25" s="43">
        <f ca="1">'2026'!BL23</f>
        <v>106</v>
      </c>
      <c r="AA25" s="43">
        <f ca="1">'2026'!BM23</f>
        <v>133</v>
      </c>
    </row>
    <row r="26" spans="1:27" x14ac:dyDescent="0.2">
      <c r="A26" s="34">
        <f ca="1">IF(D26=0,"0",(_xlfn.XLOOKUP(B26,'2026'!A:A,'2026'!C:C)))</f>
        <v>46044</v>
      </c>
      <c r="B26" t="str">
        <f ca="1"/>
        <v>2025020799 WPG</v>
      </c>
      <c r="C26">
        <f ca="1"/>
        <v>2025020799</v>
      </c>
      <c r="D26" s="7">
        <f ca="1">_xlfn.XLOOKUP(B26,'2026'!A:A,'2026'!AT:AT)</f>
        <v>2.9201995958827949</v>
      </c>
      <c r="E26" s="7">
        <f ca="1">_xlfn.XLOOKUP(B26,'2026'!A:A,'2026'!Z:Z)</f>
        <v>0.96499999999999997</v>
      </c>
      <c r="F26" s="39" t="str">
        <f ca="1">_xlfn.XLOOKUP(B26,'2026'!A:A,'2026'!E:E)</f>
        <v>WPG</v>
      </c>
      <c r="G26" s="5">
        <f ca="1">D26/E25</f>
        <v>2.9348739657113518</v>
      </c>
      <c r="H26" s="5">
        <f ca="1">SUMIFS(Goalies!$J:$J,Goalies!$C:$C,Projections!$F26,Goalies!$A:$A,Projections!H$4)</f>
        <v>0.96499999999999997</v>
      </c>
      <c r="I26" s="5">
        <f ca="1">SUMIFS(Goalies!$J:$J,Goalies!$C:$C,Projections!$F26,Goalies!$A:$A,Projections!I$4)</f>
        <v>1.06</v>
      </c>
      <c r="J26" s="5">
        <f ca="1">SUMIFS(Goalies!$J:$J,Goalies!$C:$C,Projections!$F26,Goalies!$A:$A,Projections!J$4)</f>
        <v>0.96499999999999997</v>
      </c>
      <c r="K26" s="5">
        <f ca="1">SUMIFS(Goalies!$J:$J,Goalies!$C:$C,Projections!$F26,Goalies!$A:$A,Projections!K$4)</f>
        <v>1.06</v>
      </c>
      <c r="L26" s="5">
        <f ca="1">IFERROR($G26*H25,0)</f>
        <v>2.9201995958827949</v>
      </c>
      <c r="M26" s="5">
        <f ca="1">IFERROR($G26*I25,0)</f>
        <v>2.9201995958827949</v>
      </c>
      <c r="N26" s="5">
        <f ca="1">IFERROR($G26*J25,0)</f>
        <v>2.9495483355399084</v>
      </c>
      <c r="O26" s="5">
        <f ca="1">IFERROR($G26*K25,0)</f>
        <v>2.9495483355399084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Connor Hellebuyck</v>
      </c>
      <c r="R26" s="5" t="str" cm="1">
        <f t="array" aca="1" ref="R26" ca="1">_xlfn.XLOOKUP(1, (Goalies!C:C=Projections!W26)*(Goalies!A:A=Projections!$R$4), Goalies!D:D)</f>
        <v>Eric Comrie</v>
      </c>
      <c r="S26" s="24">
        <v>1</v>
      </c>
      <c r="T26" s="5">
        <f ca="1">IFERROR(L26*S25+(1-S25)*N26,0)</f>
        <v>2.9201995958827949</v>
      </c>
      <c r="U26" s="5"/>
      <c r="V26" s="5"/>
      <c r="W26" s="40" t="str">
        <f t="shared" ca="1" si="1"/>
        <v>WPG</v>
      </c>
      <c r="X26" s="43">
        <f ca="1">'2026'!BJ24</f>
        <v>105</v>
      </c>
      <c r="Y26" s="43">
        <f ca="1">'2026'!BK24</f>
        <v>119</v>
      </c>
      <c r="Z26" s="43">
        <f ca="1">'2026'!BL24</f>
        <v>-106</v>
      </c>
      <c r="AA26" s="43">
        <f ca="1">'2026'!BM24</f>
        <v>-133</v>
      </c>
    </row>
    <row r="27" spans="1:27" x14ac:dyDescent="0.2">
      <c r="A27" s="34">
        <f ca="1">IF(D27=0,"0",(_xlfn.XLOOKUP(B27,'2026'!A:A,'2026'!C:C)))</f>
        <v>46044</v>
      </c>
      <c r="B27" t="str">
        <f ca="1"/>
        <v>2025020798 OTT</v>
      </c>
      <c r="C27">
        <f ca="1"/>
        <v>2025020798</v>
      </c>
      <c r="D27" s="7">
        <f ca="1">_xlfn.XLOOKUP(B27,'2026'!A:A,'2026'!AT:AT)</f>
        <v>3.0518222580063985</v>
      </c>
      <c r="E27" s="7">
        <f ca="1">_xlfn.XLOOKUP(B27,'2026'!A:A,'2026'!Z:Z)</f>
        <v>1.02</v>
      </c>
      <c r="F27" s="39" t="str">
        <f ca="1">_xlfn.XLOOKUP(B27,'2026'!A:A,'2026'!E:E)</f>
        <v>OTT</v>
      </c>
      <c r="G27" s="5">
        <f ca="1">D27/E28</f>
        <v>3.0797206838994216</v>
      </c>
      <c r="H27" s="5">
        <f ca="1">SUMIFS(Goalies!$J:$J,Goalies!$C:$C,Projections!$F27,Goalies!$A:$A,Projections!H$2)</f>
        <v>0.99</v>
      </c>
      <c r="I27" s="5">
        <f ca="1">SUMIFS(Goalies!$J:$J,Goalies!$C:$C,Projections!$F27,Goalies!$A:$A,Projections!I$2)</f>
        <v>0.99</v>
      </c>
      <c r="J27" s="5">
        <f ca="1">SUMIFS(Goalies!$J:$J,Goalies!$C:$C,Projections!$F27,Goalies!$A:$A,Projections!J$2)</f>
        <v>1.03</v>
      </c>
      <c r="K27" s="5">
        <f ca="1">SUMIFS(Goalies!$J:$J,Goalies!$C:$C,Projections!$F27,Goalies!$A:$A,Projections!K$2)</f>
        <v>1.03</v>
      </c>
      <c r="L27" s="5">
        <f ca="1">IFERROR($G27*H28,0)</f>
        <v>3.0518222580063985</v>
      </c>
      <c r="M27" s="5">
        <f ca="1">IFERROR($G27*I28,0)</f>
        <v>3.1413150975774102</v>
      </c>
      <c r="N27" s="5">
        <f ca="1">IFERROR($G27*J28,0)</f>
        <v>3.0518222580063985</v>
      </c>
      <c r="O27" s="5">
        <f ca="1">IFERROR($G27*K28,0)</f>
        <v>3.1413150975774102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Linus Ullmark</v>
      </c>
      <c r="R27" s="5" t="str" cm="1">
        <f t="array" aca="1" ref="R27" ca="1">_xlfn.XLOOKUP(1, (Goalies!C:C=Projections!W27)*(Goalies!A:A=Projections!$R$4), Goalies!D:D)</f>
        <v>Leevi Merilainen</v>
      </c>
      <c r="S27" s="24">
        <v>1</v>
      </c>
      <c r="T27" s="5">
        <f ca="1">IFERROR(L27*S28+(1-S28)*M27,0)</f>
        <v>3.0518222580063985</v>
      </c>
      <c r="U27" s="5"/>
      <c r="V27" s="5"/>
      <c r="W27" t="str">
        <f t="shared" ca="1" si="1"/>
        <v>OTT</v>
      </c>
      <c r="X27" s="2">
        <f ca="1">'2026'!BJ25</f>
        <v>105</v>
      </c>
      <c r="Y27" s="2">
        <f ca="1">'2026'!BK25</f>
        <v>-140</v>
      </c>
      <c r="Z27" s="2">
        <f ca="1">'2026'!BL25</f>
        <v>-113</v>
      </c>
      <c r="AA27" s="2">
        <f ca="1">'2026'!BM25</f>
        <v>113</v>
      </c>
    </row>
    <row r="28" spans="1:27" x14ac:dyDescent="0.2">
      <c r="A28" s="34">
        <f ca="1">IF(D28=0,"0",(_xlfn.XLOOKUP(B28,'2026'!A:A,'2026'!C:C)))</f>
        <v>46044</v>
      </c>
      <c r="B28" t="str">
        <f ca="1"/>
        <v>2025020798 NSH</v>
      </c>
      <c r="C28">
        <f ca="1"/>
        <v>2025020798</v>
      </c>
      <c r="D28" s="7">
        <f ca="1">_xlfn.XLOOKUP(B28,'2026'!A:A,'2026'!AT:AT)</f>
        <v>3.1767255493628324</v>
      </c>
      <c r="E28" s="7">
        <f ca="1">_xlfn.XLOOKUP(B28,'2026'!A:A,'2026'!Z:Z)</f>
        <v>0.99094124800379646</v>
      </c>
      <c r="F28" s="39" t="str">
        <f ca="1">_xlfn.XLOOKUP(B28,'2026'!A:A,'2026'!E:E)</f>
        <v>NSH</v>
      </c>
      <c r="G28" s="5">
        <f ca="1">D28/E27</f>
        <v>3.114436813100816</v>
      </c>
      <c r="H28" s="5">
        <f ca="1">SUMIFS(Goalies!$J:$J,Goalies!$C:$C,Projections!$F28,Goalies!$A:$A,Projections!H$4)</f>
        <v>0.99094124800379646</v>
      </c>
      <c r="I28" s="5">
        <f ca="1">SUMIFS(Goalies!$J:$J,Goalies!$C:$C,Projections!$F28,Goalies!$A:$A,Projections!I$4)</f>
        <v>1.02</v>
      </c>
      <c r="J28" s="5">
        <f ca="1">SUMIFS(Goalies!$J:$J,Goalies!$C:$C,Projections!$F28,Goalies!$A:$A,Projections!J$4)</f>
        <v>0.99094124800379646</v>
      </c>
      <c r="K28" s="5">
        <f ca="1">SUMIFS(Goalies!$J:$J,Goalies!$C:$C,Projections!$F28,Goalies!$A:$A,Projections!K$4)</f>
        <v>1.02</v>
      </c>
      <c r="L28" s="5">
        <f ca="1">IFERROR($G28*H27,0)</f>
        <v>3.0832924449698078</v>
      </c>
      <c r="M28" s="5">
        <f ca="1">IFERROR($G28*I27,0)</f>
        <v>3.0832924449698078</v>
      </c>
      <c r="N28" s="5">
        <f ca="1">IFERROR($G28*J27,0)</f>
        <v>3.2078699174938405</v>
      </c>
      <c r="O28" s="5">
        <f ca="1">IFERROR($G28*K27,0)</f>
        <v>3.2078699174938405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Juuse Saros</v>
      </c>
      <c r="R28" s="5" t="str" cm="1">
        <f t="array" aca="1" ref="R28" ca="1">_xlfn.XLOOKUP(1, (Goalies!C:C=Projections!W28)*(Goalies!A:A=Projections!$R$4), Goalies!D:D)</f>
        <v>Justus Annunen</v>
      </c>
      <c r="S28" s="24">
        <v>1</v>
      </c>
      <c r="T28" s="5">
        <f ca="1">IFERROR(L28*S27+(1-S27)*N28,0)</f>
        <v>3.0832924449698078</v>
      </c>
      <c r="U28" s="5"/>
      <c r="V28" s="5"/>
      <c r="W28" t="str">
        <f t="shared" ca="1" si="1"/>
        <v>NSH</v>
      </c>
      <c r="X28" s="2">
        <f ca="1">'2026'!BJ26</f>
        <v>-105</v>
      </c>
      <c r="Y28" s="2">
        <f ca="1">'2026'!BK26</f>
        <v>140</v>
      </c>
      <c r="Z28" s="2">
        <f ca="1">'2026'!BL26</f>
        <v>113</v>
      </c>
      <c r="AA28" s="2">
        <f ca="1">'2026'!BM26</f>
        <v>-113</v>
      </c>
    </row>
    <row r="29" spans="1:27" x14ac:dyDescent="0.2">
      <c r="A29" s="34">
        <f ca="1">IF(D29=0,"0",(_xlfn.XLOOKUP(B29,'2026'!A:A,'2026'!C:C)))</f>
        <v>46044</v>
      </c>
      <c r="B29" t="str">
        <f ca="1"/>
        <v>2025020800 PIT</v>
      </c>
      <c r="C29">
        <f ca="1"/>
        <v>2025020800</v>
      </c>
      <c r="D29" s="7">
        <f ca="1">_xlfn.XLOOKUP(B29,'2026'!A:A,'2026'!AT:AT)</f>
        <v>2.8482915373296827</v>
      </c>
      <c r="E29" s="7">
        <f ca="1">_xlfn.XLOOKUP(B29,'2026'!A:A,'2026'!Z:Z)</f>
        <v>1.03</v>
      </c>
      <c r="F29" s="39" t="str">
        <f ca="1">_xlfn.XLOOKUP(B29,'2026'!A:A,'2026'!E:E)</f>
        <v>PIT</v>
      </c>
      <c r="G29" s="5">
        <f ca="1">D29/E30</f>
        <v>2.9213246536714697</v>
      </c>
      <c r="H29" s="5">
        <f ca="1">SUMIFS(Goalies!$J:$J,Goalies!$C:$C,Projections!$F29,Goalies!$A:$A,Projections!H$2)</f>
        <v>0.97499999999999998</v>
      </c>
      <c r="I29" s="5">
        <f ca="1">SUMIFS(Goalies!$J:$J,Goalies!$C:$C,Projections!$F29,Goalies!$A:$A,Projections!I$2)</f>
        <v>0.97499999999999998</v>
      </c>
      <c r="J29" s="5">
        <f ca="1">SUMIFS(Goalies!$J:$J,Goalies!$C:$C,Projections!$F29,Goalies!$A:$A,Projections!J$2)</f>
        <v>2.0700000000000003</v>
      </c>
      <c r="K29" s="5">
        <f ca="1">SUMIFS(Goalies!$J:$J,Goalies!$C:$C,Projections!$F29,Goalies!$A:$A,Projections!K$2)</f>
        <v>2.0700000000000003</v>
      </c>
      <c r="L29" s="5">
        <f ca="1">IFERROR($G29*H30,0)</f>
        <v>2.8482915373296827</v>
      </c>
      <c r="M29" s="5">
        <f ca="1">IFERROR($G29*I30,0)</f>
        <v>3.0089643932816137</v>
      </c>
      <c r="N29" s="5">
        <f ca="1">IFERROR($G29*J30,0)</f>
        <v>2.8482915373296827</v>
      </c>
      <c r="O29" s="5">
        <f ca="1">IFERROR($G29*K30,0)</f>
        <v>3.0089643932816137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Stuart Skinner</v>
      </c>
      <c r="R29" s="5" t="str" cm="1">
        <f t="array" aca="1" ref="R29" ca="1">_xlfn.XLOOKUP(1, (Goalies!C:C=Projections!W29)*(Goalies!A:A=Projections!$R$4), Goalies!D:D)</f>
        <v>Arturs Silovs</v>
      </c>
      <c r="S29" s="24">
        <v>1</v>
      </c>
      <c r="T29" s="5">
        <f ca="1">IFERROR(L29*S28+(1-S28)*N29,0)</f>
        <v>2.8482915373296827</v>
      </c>
      <c r="U29" s="5"/>
      <c r="V29" s="5"/>
      <c r="W29" s="40" t="str">
        <f t="shared" ca="1" si="1"/>
        <v>PIT</v>
      </c>
      <c r="X29" s="43">
        <f ca="1">'2026'!BJ27</f>
        <v>163</v>
      </c>
      <c r="Y29" s="43">
        <f ca="1">'2026'!BK27</f>
        <v>-174</v>
      </c>
      <c r="Z29" s="43">
        <f ca="1">'2026'!BL27</f>
        <v>-143</v>
      </c>
      <c r="AA29" s="43">
        <f ca="1">'2026'!BM27</f>
        <v>-109</v>
      </c>
    </row>
    <row r="30" spans="1:27" x14ac:dyDescent="0.2">
      <c r="A30" s="34">
        <f ca="1">IF(D30=0,"0",(_xlfn.XLOOKUP(B30,'2026'!A:A,'2026'!C:C)))</f>
        <v>46044</v>
      </c>
      <c r="B30" t="str">
        <f ca="1"/>
        <v>2025020800 EDM</v>
      </c>
      <c r="C30">
        <f ca="1"/>
        <v>2025020800</v>
      </c>
      <c r="D30" s="7">
        <f ca="1">_xlfn.XLOOKUP(B30,'2026'!A:A,'2026'!AT:AT)</f>
        <v>3.8307444709734844</v>
      </c>
      <c r="E30" s="7">
        <f ca="1">_xlfn.XLOOKUP(B30,'2026'!A:A,'2026'!Z:Z)</f>
        <v>0.97499999999999998</v>
      </c>
      <c r="F30" s="39" t="str">
        <f ca="1">_xlfn.XLOOKUP(B30,'2026'!A:A,'2026'!E:E)</f>
        <v>EDM</v>
      </c>
      <c r="G30" s="5">
        <f ca="1">D30/E29</f>
        <v>3.7191693892946449</v>
      </c>
      <c r="H30" s="5">
        <f ca="1">SUMIFS(Goalies!$J:$J,Goalies!$C:$C,Projections!$F30,Goalies!$A:$A,Projections!H$4)</f>
        <v>0.97499999999999998</v>
      </c>
      <c r="I30" s="5">
        <f ca="1">SUMIFS(Goalies!$J:$J,Goalies!$C:$C,Projections!$F30,Goalies!$A:$A,Projections!I$4)</f>
        <v>1.03</v>
      </c>
      <c r="J30" s="5">
        <f ca="1">SUMIFS(Goalies!$J:$J,Goalies!$C:$C,Projections!$F30,Goalies!$A:$A,Projections!J$4)</f>
        <v>0.97499999999999998</v>
      </c>
      <c r="K30" s="5">
        <f ca="1">SUMIFS(Goalies!$J:$J,Goalies!$C:$C,Projections!$F30,Goalies!$A:$A,Projections!K$4)</f>
        <v>1.03</v>
      </c>
      <c r="L30" s="5">
        <f ca="1">IFERROR($G30*H29,0)</f>
        <v>3.6261901545622788</v>
      </c>
      <c r="M30" s="5">
        <f ca="1">IFERROR($G30*I29,0)</f>
        <v>3.6261901545622788</v>
      </c>
      <c r="N30" s="5">
        <f ca="1">IFERROR($G30*J29,0)</f>
        <v>7.6986806358399162</v>
      </c>
      <c r="O30" s="5">
        <f ca="1">IFERROR($G30*K29,0)</f>
        <v>7.6986806358399162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Tristan Jarry</v>
      </c>
      <c r="R30" s="5" t="str" cm="1">
        <f t="array" aca="1" ref="R30" ca="1">_xlfn.XLOOKUP(1, (Goalies!C:C=Projections!W30)*(Goalies!A:A=Projections!$R$4), Goalies!D:D)</f>
        <v>Calvin Pickard</v>
      </c>
      <c r="S30" s="24">
        <v>1</v>
      </c>
      <c r="T30" s="5">
        <f ca="1">IFERROR(L30*S29+(1-S29)*N30,0)</f>
        <v>3.6261901545622788</v>
      </c>
      <c r="U30" s="5"/>
      <c r="V30" s="5"/>
      <c r="W30" s="40" t="str">
        <f t="shared" ca="1" si="1"/>
        <v>EDM</v>
      </c>
      <c r="X30" s="43">
        <f ca="1">'2026'!BJ28</f>
        <v>-163</v>
      </c>
      <c r="Y30" s="43">
        <f ca="1">'2026'!BK28</f>
        <v>174</v>
      </c>
      <c r="Z30" s="43">
        <f ca="1">'2026'!BL28</f>
        <v>143</v>
      </c>
      <c r="AA30" s="43">
        <f ca="1">'2026'!BM28</f>
        <v>109</v>
      </c>
    </row>
    <row r="31" spans="1:27" x14ac:dyDescent="0.2">
      <c r="A31" s="34">
        <f ca="1">IF(D31=0,"0",(_xlfn.XLOOKUP(B31,'2026'!A:A,'2026'!C:C)))</f>
        <v>46044</v>
      </c>
      <c r="B31" t="str">
        <f ca="1"/>
        <v>2025020801 DET</v>
      </c>
      <c r="C31">
        <f ca="1"/>
        <v>2025020801</v>
      </c>
      <c r="D31" s="7">
        <f ca="1">_xlfn.XLOOKUP(B31,'2026'!A:A,'2026'!AT:AT)</f>
        <v>2.7563634761452098</v>
      </c>
      <c r="E31" s="7">
        <f ca="1">_xlfn.XLOOKUP(B31,'2026'!A:A,'2026'!Z:Z)</f>
        <v>1.01</v>
      </c>
      <c r="F31" s="39" t="str">
        <f ca="1">_xlfn.XLOOKUP(B31,'2026'!A:A,'2026'!E:E)</f>
        <v>DET</v>
      </c>
      <c r="G31" s="5">
        <f ca="1">D31/E32</f>
        <v>2.7842055314598078</v>
      </c>
      <c r="H31" s="5">
        <f ca="1">SUMIFS(Goalies!$J:$J,Goalies!$C:$C,Projections!$F31,Goalies!$A:$A,Projections!H$2)</f>
        <v>0.99</v>
      </c>
      <c r="I31" s="5">
        <f ca="1">SUMIFS(Goalies!$J:$J,Goalies!$C:$C,Projections!$F31,Goalies!$A:$A,Projections!I$2)</f>
        <v>0.99</v>
      </c>
      <c r="J31" s="5">
        <f ca="1">SUMIFS(Goalies!$J:$J,Goalies!$C:$C,Projections!$F31,Goalies!$A:$A,Projections!J$2)</f>
        <v>1.01</v>
      </c>
      <c r="K31" s="5">
        <f ca="1">SUMIFS(Goalies!$J:$J,Goalies!$C:$C,Projections!$F31,Goalies!$A:$A,Projections!K$2)</f>
        <v>1.01</v>
      </c>
      <c r="L31" s="5">
        <f ca="1">IFERROR($G31*H32,0)</f>
        <v>2.7563634761452098</v>
      </c>
      <c r="M31" s="5">
        <f ca="1">IFERROR($G31*I32,0)</f>
        <v>2.8259686144317047</v>
      </c>
      <c r="N31" s="5">
        <f ca="1">IFERROR($G31*J32,0)</f>
        <v>2.7563634761452098</v>
      </c>
      <c r="O31" s="5">
        <f ca="1">IFERROR($G31*K32,0)</f>
        <v>2.8259686144317047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John Gibson</v>
      </c>
      <c r="R31" s="5" t="str" cm="1">
        <f t="array" aca="1" ref="R31" ca="1">_xlfn.XLOOKUP(1, (Goalies!C:C=Projections!W31)*(Goalies!A:A=Projections!$R$4), Goalies!D:D)</f>
        <v>Cam Talbot</v>
      </c>
      <c r="S31" s="24">
        <v>0</v>
      </c>
      <c r="T31" s="5">
        <f ca="1">IFERROR(L31*S32+(1-S32)*M31,0)</f>
        <v>2.7563634761452098</v>
      </c>
      <c r="U31" s="5"/>
      <c r="V31" s="5"/>
      <c r="W31" t="str">
        <f t="shared" ca="1" si="1"/>
        <v>DET</v>
      </c>
      <c r="X31" s="2">
        <f ca="1">'2026'!BJ29</f>
        <v>143</v>
      </c>
      <c r="Y31" s="2">
        <f ca="1">'2026'!BK29</f>
        <v>-133</v>
      </c>
      <c r="Z31" s="2">
        <f ca="1">'2026'!BL29</f>
        <v>-106</v>
      </c>
      <c r="AA31" s="2">
        <f ca="1">'2026'!BM29</f>
        <v>119</v>
      </c>
    </row>
    <row r="32" spans="1:27" x14ac:dyDescent="0.2">
      <c r="A32" s="34">
        <f ca="1">IF(D32=0,"0",(_xlfn.XLOOKUP(B32,'2026'!A:A,'2026'!C:C)))</f>
        <v>46044</v>
      </c>
      <c r="B32" t="str">
        <f ca="1"/>
        <v>2025020801 MIN</v>
      </c>
      <c r="C32">
        <f ca="1"/>
        <v>2025020801</v>
      </c>
      <c r="D32" s="7">
        <f ca="1">_xlfn.XLOOKUP(B32,'2026'!A:A,'2026'!AT:AT)</f>
        <v>3.3118373173422975</v>
      </c>
      <c r="E32" s="7">
        <f ca="1">_xlfn.XLOOKUP(B32,'2026'!A:A,'2026'!Z:Z)</f>
        <v>0.99</v>
      </c>
      <c r="F32" s="39" t="str">
        <f ca="1">_xlfn.XLOOKUP(B32,'2026'!A:A,'2026'!E:E)</f>
        <v>MIN</v>
      </c>
      <c r="G32" s="5">
        <f ca="1">D32/E31</f>
        <v>3.2790468488537599</v>
      </c>
      <c r="H32" s="5">
        <f ca="1">SUMIFS(Goalies!$J:$J,Goalies!$C:$C,Projections!$F32,Goalies!$A:$A,Projections!H$4)</f>
        <v>0.99</v>
      </c>
      <c r="I32" s="5">
        <f ca="1">SUMIFS(Goalies!$J:$J,Goalies!$C:$C,Projections!$F32,Goalies!$A:$A,Projections!I$4)</f>
        <v>1.0149999999999999</v>
      </c>
      <c r="J32" s="5">
        <f ca="1">SUMIFS(Goalies!$J:$J,Goalies!$C:$C,Projections!$F32,Goalies!$A:$A,Projections!J$4)</f>
        <v>0.99</v>
      </c>
      <c r="K32" s="5">
        <f ca="1">SUMIFS(Goalies!$J:$J,Goalies!$C:$C,Projections!$F32,Goalies!$A:$A,Projections!K$4)</f>
        <v>1.0149999999999999</v>
      </c>
      <c r="L32" s="5">
        <f ca="1">IFERROR($G32*H31,0)</f>
        <v>3.2462563803652222</v>
      </c>
      <c r="M32" s="5">
        <f ca="1">IFERROR($G32*I31,0)</f>
        <v>3.2462563803652222</v>
      </c>
      <c r="N32" s="5">
        <f ca="1">IFERROR($G32*J31,0)</f>
        <v>3.3118373173422975</v>
      </c>
      <c r="O32" s="5">
        <f ca="1">IFERROR($G32*K31,0)</f>
        <v>3.3118373173422975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Filip Gustavsson</v>
      </c>
      <c r="R32" s="5" t="str" cm="1">
        <f t="array" aca="1" ref="R32" ca="1">_xlfn.XLOOKUP(1, (Goalies!C:C=Projections!W32)*(Goalies!A:A=Projections!$R$4), Goalies!D:D)</f>
        <v>Jesper Wallstedt</v>
      </c>
      <c r="S32" s="24">
        <v>1</v>
      </c>
      <c r="T32" s="5">
        <f ca="1">IFERROR(L32*S31+(1-S31)*N32,0)</f>
        <v>3.3118373173422975</v>
      </c>
      <c r="U32" s="5"/>
      <c r="V32" s="5"/>
      <c r="W32" t="str">
        <f t="shared" ca="1" si="1"/>
        <v>MIN</v>
      </c>
      <c r="X32" s="2">
        <f ca="1">'2026'!BJ30</f>
        <v>-143</v>
      </c>
      <c r="Y32" s="2">
        <f ca="1">'2026'!BK30</f>
        <v>133</v>
      </c>
      <c r="Z32" s="2">
        <f ca="1">'2026'!BL30</f>
        <v>106</v>
      </c>
      <c r="AA32" s="2">
        <f ca="1">'2026'!BM30</f>
        <v>-119</v>
      </c>
    </row>
    <row r="33" spans="1:27" x14ac:dyDescent="0.2">
      <c r="A33" s="34" t="str">
        <f>IF(D33=0,"0",(_xlfn.XLOOKUP(B33,'2026'!A:A,'2026'!C:C)))</f>
        <v>0</v>
      </c>
      <c r="D33" s="7">
        <f>_xlfn.XLOOKUP(B33,'2026'!A:A,'2026'!AT:AT)</f>
        <v>0</v>
      </c>
      <c r="E33" s="7">
        <f>_xlfn.XLOOKUP(B33,'2026'!A:A,'2026'!Z:Z)</f>
        <v>0</v>
      </c>
      <c r="F33" s="39">
        <f>_xlfn.XLOOKUP(B33,'2026'!A:A,'2026'!E:E)</f>
        <v>0</v>
      </c>
      <c r="G33" s="5" t="e">
        <f>D33/E34</f>
        <v>#DIV/0!</v>
      </c>
      <c r="H33" s="5">
        <f>SUMIFS(Goalies!$J:$J,Goalies!$C:$C,Projections!$F33,Goalies!$A:$A,Projections!H$2)</f>
        <v>0</v>
      </c>
      <c r="I33" s="5">
        <f>SUMIFS(Goalies!$J:$J,Goalies!$C:$C,Projections!$F33,Goalies!$A:$A,Projections!I$2)</f>
        <v>0</v>
      </c>
      <c r="J33" s="5">
        <f>SUMIFS(Goalies!$J:$J,Goalies!$C:$C,Projections!$F33,Goalies!$A:$A,Projections!J$2)</f>
        <v>0</v>
      </c>
      <c r="K33" s="5">
        <f>SUMIFS(Goalies!$J:$J,Goalies!$C:$C,Projections!$F33,Goalies!$A:$A,Projections!K$2)</f>
        <v>0</v>
      </c>
      <c r="L33" s="5">
        <f>IFERROR($G33*H34,0)</f>
        <v>0</v>
      </c>
      <c r="M33" s="5">
        <f>IFERROR($G33*I34,0)</f>
        <v>0</v>
      </c>
      <c r="N33" s="5">
        <f>IFERROR($G33*J34,0)</f>
        <v>0</v>
      </c>
      <c r="O33" s="5">
        <f>IFERROR($G33*K34,0)</f>
        <v>0</v>
      </c>
      <c r="P33" s="2">
        <f>_xlfn.XLOOKUP(B33,'2026'!A:A,'2026'!AS:AS)</f>
        <v>0</v>
      </c>
      <c r="Q33" s="5" t="e" cm="1">
        <f t="array" ref="Q33">_xlfn.XLOOKUP(1, (Goalies!C:C=Projections!W33)*(Goalies!A:A=Projections!$Q$4), Goalies!D:D)</f>
        <v>#N/A</v>
      </c>
      <c r="R33" s="5" t="e" cm="1">
        <f t="array" ref="R33">_xlfn.XLOOKUP(1, (Goalies!C:C=Projections!W33)*(Goalies!A:A=Projections!$R$4), Goalies!D:D)</f>
        <v>#N/A</v>
      </c>
      <c r="S33" s="24">
        <v>0</v>
      </c>
      <c r="T33" s="5">
        <f>IFERROR(L33*S34+(1-S34)*M33,0)</f>
        <v>0</v>
      </c>
      <c r="U33" s="5"/>
      <c r="V33" s="5"/>
      <c r="W33" s="40">
        <f t="shared" si="1"/>
        <v>0</v>
      </c>
      <c r="X33" s="43" t="e">
        <f>'2026'!BJ31</f>
        <v>#N/A</v>
      </c>
      <c r="Y33" s="43" t="e">
        <f>'2026'!BK31</f>
        <v>#N/A</v>
      </c>
      <c r="Z33" s="43" t="e">
        <f>'2026'!BL31</f>
        <v>#N/A</v>
      </c>
      <c r="AA33" s="43" t="e">
        <f>'2026'!BM31</f>
        <v>#N/A</v>
      </c>
    </row>
    <row r="34" spans="1:27" x14ac:dyDescent="0.2">
      <c r="A34" s="34" t="str">
        <f>IF(D34=0,"0",(_xlfn.XLOOKUP(B34,'2026'!A:A,'2026'!C:C)))</f>
        <v>0</v>
      </c>
      <c r="D34" s="7">
        <f>_xlfn.XLOOKUP(B34,'2026'!A:A,'2026'!AT:AT)</f>
        <v>0</v>
      </c>
      <c r="E34" s="7">
        <f>_xlfn.XLOOKUP(B34,'2026'!A:A,'2026'!Z:Z)</f>
        <v>0</v>
      </c>
      <c r="F34" s="39">
        <f>_xlfn.XLOOKUP(B34,'2026'!A:A,'2026'!E:E)</f>
        <v>0</v>
      </c>
      <c r="G34" s="5" t="e">
        <f>D34/E33</f>
        <v>#DIV/0!</v>
      </c>
      <c r="H34" s="5">
        <f>SUMIFS(Goalies!$J:$J,Goalies!$C:$C,Projections!$F34,Goalies!$A:$A,Projections!H$4)</f>
        <v>0</v>
      </c>
      <c r="I34" s="5">
        <f>SUMIFS(Goalies!$J:$J,Goalies!$C:$C,Projections!$F34,Goalies!$A:$A,Projections!I$4)</f>
        <v>0</v>
      </c>
      <c r="J34" s="5">
        <f>SUMIFS(Goalies!$J:$J,Goalies!$C:$C,Projections!$F34,Goalies!$A:$A,Projections!J$4)</f>
        <v>0</v>
      </c>
      <c r="K34" s="5">
        <f>SUMIFS(Goalies!$J:$J,Goalies!$C:$C,Projections!$F34,Goalies!$A:$A,Projections!K$4)</f>
        <v>0</v>
      </c>
      <c r="L34" s="5">
        <f>IFERROR($G34*H33,0)</f>
        <v>0</v>
      </c>
      <c r="M34" s="5">
        <f>IFERROR($G34*I33,0)</f>
        <v>0</v>
      </c>
      <c r="N34" s="5">
        <f>IFERROR($G34*J33,0)</f>
        <v>0</v>
      </c>
      <c r="O34" s="5">
        <f>IFERROR($G34*K33,0)</f>
        <v>0</v>
      </c>
      <c r="P34" s="2">
        <f>_xlfn.XLOOKUP(B34,'2026'!A:A,'2026'!AS:AS)</f>
        <v>0</v>
      </c>
      <c r="Q34" s="5" t="e" cm="1">
        <f t="array" ref="Q34">_xlfn.XLOOKUP(1, (Goalies!C:C=Projections!W34)*(Goalies!A:A=Projections!$Q$4), Goalies!D:D)</f>
        <v>#N/A</v>
      </c>
      <c r="R34" s="5" t="e" cm="1">
        <f t="array" ref="R34">_xlfn.XLOOKUP(1, (Goalies!C:C=Projections!W34)*(Goalies!A:A=Projections!$R$4), Goalies!D:D)</f>
        <v>#N/A</v>
      </c>
      <c r="S34" s="24">
        <v>1</v>
      </c>
      <c r="T34" s="5">
        <f>IFERROR(L34*S33+(1-S33)*N34,0)</f>
        <v>0</v>
      </c>
      <c r="U34" s="5"/>
      <c r="V34" s="5"/>
      <c r="W34" s="40">
        <f t="shared" si="1"/>
        <v>0</v>
      </c>
      <c r="X34" s="43" t="e">
        <f>'2026'!BJ32</f>
        <v>#N/A</v>
      </c>
      <c r="Y34" s="43" t="e">
        <f>'2026'!BK32</f>
        <v>#N/A</v>
      </c>
      <c r="Z34" s="43" t="e">
        <f>'2026'!BL32</f>
        <v>#N/A</v>
      </c>
      <c r="AA34" s="43" t="e">
        <f>'2026'!BM32</f>
        <v>#N/A</v>
      </c>
    </row>
    <row r="35" spans="1:27" x14ac:dyDescent="0.2">
      <c r="A35" s="34" t="str">
        <f>IF(D35=0,"0",(_xlfn.XLOOKUP(B35,'2026'!A:A,'2026'!C:C)))</f>
        <v>0</v>
      </c>
      <c r="D35" s="7">
        <f>_xlfn.XLOOKUP(B35,'2026'!A:A,'2026'!AT:AT)</f>
        <v>0</v>
      </c>
      <c r="E35" s="7">
        <f>_xlfn.XLOOKUP(B35,'2026'!A:A,'2026'!Z:Z)</f>
        <v>0</v>
      </c>
      <c r="F35" s="39">
        <f>_xlfn.XLOOKUP(B35,'2026'!A:A,'2026'!E:E)</f>
        <v>0</v>
      </c>
      <c r="G35" s="5" t="e">
        <f>D35/E36</f>
        <v>#DIV/0!</v>
      </c>
      <c r="H35" s="5">
        <f>SUMIFS(Goalies!$J:$J,Goalies!$C:$C,Projections!$F35,Goalies!$A:$A,Projections!H$2)</f>
        <v>0</v>
      </c>
      <c r="I35" s="5">
        <f>SUMIFS(Goalies!$J:$J,Goalies!$C:$C,Projections!$F35,Goalies!$A:$A,Projections!I$2)</f>
        <v>0</v>
      </c>
      <c r="J35" s="5">
        <f>SUMIFS(Goalies!$J:$J,Goalies!$C:$C,Projections!$F35,Goalies!$A:$A,Projections!J$2)</f>
        <v>0</v>
      </c>
      <c r="K35" s="5">
        <f>SUMIFS(Goalies!$J:$J,Goalies!$C:$C,Projections!$F35,Goalies!$A:$A,Projections!K$2)</f>
        <v>0</v>
      </c>
      <c r="L35" s="5">
        <f>IFERROR($G35*H36,0)</f>
        <v>0</v>
      </c>
      <c r="M35" s="5">
        <f>IFERROR($G35*I36,0)</f>
        <v>0</v>
      </c>
      <c r="N35" s="5">
        <f>IFERROR($G35*J36,0)</f>
        <v>0</v>
      </c>
      <c r="O35" s="5">
        <f>IFERROR($G35*K36,0)</f>
        <v>0</v>
      </c>
      <c r="P35" s="2">
        <f>_xlfn.XLOOKUP(B35,'2026'!A:A,'2026'!AS:AS)</f>
        <v>0</v>
      </c>
      <c r="Q35" s="5" t="e" cm="1">
        <f t="array" ref="Q35">_xlfn.XLOOKUP(1, (Goalies!C:C=Projections!W35)*(Goalies!A:A=Projections!$Q$4), Goalies!D:D)</f>
        <v>#N/A</v>
      </c>
      <c r="R35" s="5" t="e" cm="1">
        <f t="array" ref="R35">_xlfn.XLOOKUP(1, (Goalies!C:C=Projections!W35)*(Goalies!A:A=Projections!$R$4), Goalies!D:D)</f>
        <v>#N/A</v>
      </c>
      <c r="S35" s="24">
        <v>1</v>
      </c>
      <c r="T35" s="5">
        <f>IFERROR(L35*S36+(1-S36)*M35,0)</f>
        <v>0</v>
      </c>
      <c r="U35" s="5"/>
      <c r="V35" s="5"/>
      <c r="W35">
        <f t="shared" si="1"/>
        <v>0</v>
      </c>
      <c r="X35" s="2" t="e">
        <f>'2026'!BJ33</f>
        <v>#N/A</v>
      </c>
      <c r="Y35" s="2" t="e">
        <f>'2026'!BK33</f>
        <v>#N/A</v>
      </c>
      <c r="Z35" s="2" t="e">
        <f>'2026'!BL33</f>
        <v>#N/A</v>
      </c>
      <c r="AA35" s="2" t="e">
        <f>'2026'!BM33</f>
        <v>#N/A</v>
      </c>
    </row>
    <row r="36" spans="1:27" x14ac:dyDescent="0.2">
      <c r="A36" s="34" t="str">
        <f>IF(D36=0,"0",(_xlfn.XLOOKUP(B36,'2026'!A:A,'2026'!C:C)))</f>
        <v>0</v>
      </c>
      <c r="D36" s="7">
        <f>_xlfn.XLOOKUP(B36,'2026'!A:A,'2026'!AT:AT)</f>
        <v>0</v>
      </c>
      <c r="E36" s="7">
        <f>_xlfn.XLOOKUP(B36,'2026'!A:A,'2026'!Z:Z)</f>
        <v>0</v>
      </c>
      <c r="F36" s="39">
        <f>_xlfn.XLOOKUP(B36,'2026'!A:A,'2026'!E:E)</f>
        <v>0</v>
      </c>
      <c r="G36" s="5" t="e">
        <f>D36/E35</f>
        <v>#DIV/0!</v>
      </c>
      <c r="H36" s="5">
        <f>SUMIFS(Goalies!$J:$J,Goalies!$C:$C,Projections!$F36,Goalies!$A:$A,Projections!H$4)</f>
        <v>0</v>
      </c>
      <c r="I36" s="5">
        <f>SUMIFS(Goalies!$J:$J,Goalies!$C:$C,Projections!$F36,Goalies!$A:$A,Projections!I$4)</f>
        <v>0</v>
      </c>
      <c r="J36" s="5">
        <f>SUMIFS(Goalies!$J:$J,Goalies!$C:$C,Projections!$F36,Goalies!$A:$A,Projections!J$4)</f>
        <v>0</v>
      </c>
      <c r="K36" s="5">
        <f>SUMIFS(Goalies!$J:$J,Goalies!$C:$C,Projections!$F36,Goalies!$A:$A,Projections!K$4)</f>
        <v>0</v>
      </c>
      <c r="L36" s="5">
        <f>IFERROR($G36*H35,0)</f>
        <v>0</v>
      </c>
      <c r="M36" s="5">
        <f>IFERROR($G36*I35,0)</f>
        <v>0</v>
      </c>
      <c r="N36" s="5">
        <f>IFERROR($G36*J35,0)</f>
        <v>0</v>
      </c>
      <c r="O36" s="5">
        <f>IFERROR($G36*K35,0)</f>
        <v>0</v>
      </c>
      <c r="P36" s="2">
        <f>_xlfn.XLOOKUP(B36,'2026'!A:A,'2026'!AS:AS)</f>
        <v>0</v>
      </c>
      <c r="Q36" s="5" t="e" cm="1">
        <f t="array" ref="Q36">_xlfn.XLOOKUP(1, (Goalies!C:C=Projections!W36)*(Goalies!A:A=Projections!$Q$4), Goalies!D:D)</f>
        <v>#N/A</v>
      </c>
      <c r="R36" s="5" t="e" cm="1">
        <f t="array" ref="R36">_xlfn.XLOOKUP(1, (Goalies!C:C=Projections!W36)*(Goalies!A:A=Projections!$R$4), Goalies!D:D)</f>
        <v>#N/A</v>
      </c>
      <c r="S36" s="24">
        <v>1</v>
      </c>
      <c r="T36" s="5">
        <f>IFERROR(L36*S35+(1-S35)*N36,0)</f>
        <v>0</v>
      </c>
      <c r="U36" s="5"/>
      <c r="V36" s="5"/>
      <c r="W36">
        <f t="shared" si="1"/>
        <v>0</v>
      </c>
      <c r="X36" s="2" t="e">
        <f>'2026'!BJ34</f>
        <v>#N/A</v>
      </c>
      <c r="Y36" s="2" t="e">
        <f>'2026'!BK34</f>
        <v>#N/A</v>
      </c>
      <c r="Z36" s="2" t="e">
        <f>'2026'!BL34</f>
        <v>#N/A</v>
      </c>
      <c r="AA36" s="2" t="e">
        <f>'2026'!BM34</f>
        <v>#N/A</v>
      </c>
    </row>
    <row r="37" spans="1:27" x14ac:dyDescent="0.2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2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1591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1592</v>
      </c>
    </row>
    <row r="1307" spans="16:16" x14ac:dyDescent="0.2">
      <c r="P1307" s="96" t="s">
        <v>1592</v>
      </c>
    </row>
    <row r="1308" spans="16:16" x14ac:dyDescent="0.2">
      <c r="P1308" s="96" t="s">
        <v>1593</v>
      </c>
    </row>
    <row r="1309" spans="16:16" x14ac:dyDescent="0.2">
      <c r="P1309" s="96" t="s">
        <v>1593</v>
      </c>
    </row>
    <row r="1310" spans="16:16" x14ac:dyDescent="0.2">
      <c r="P1310" s="96" t="s">
        <v>1594</v>
      </c>
    </row>
    <row r="1311" spans="16:16" x14ac:dyDescent="0.2">
      <c r="P1311" s="96" t="s">
        <v>1594</v>
      </c>
    </row>
    <row r="1312" spans="16:16" x14ac:dyDescent="0.2">
      <c r="P1312" s="96" t="s">
        <v>1593</v>
      </c>
    </row>
    <row r="1313" spans="16:16" x14ac:dyDescent="0.2">
      <c r="P1313" s="96" t="s">
        <v>1593</v>
      </c>
    </row>
    <row r="1314" spans="16:16" x14ac:dyDescent="0.2">
      <c r="P1314" s="96" t="s">
        <v>1592</v>
      </c>
    </row>
    <row r="1315" spans="16:16" x14ac:dyDescent="0.2">
      <c r="P1315" s="96" t="s">
        <v>1592</v>
      </c>
    </row>
    <row r="1316" spans="16:16" x14ac:dyDescent="0.2">
      <c r="P1316" s="96" t="s">
        <v>1593</v>
      </c>
    </row>
    <row r="1317" spans="16:16" x14ac:dyDescent="0.2">
      <c r="P1317" s="96" t="s">
        <v>1593</v>
      </c>
    </row>
    <row r="1318" spans="16:16" x14ac:dyDescent="0.2">
      <c r="P1318" s="96" t="s">
        <v>1594</v>
      </c>
    </row>
    <row r="1319" spans="16:16" x14ac:dyDescent="0.2">
      <c r="P1319" s="96" t="s">
        <v>1594</v>
      </c>
    </row>
    <row r="1320" spans="16:16" x14ac:dyDescent="0.2">
      <c r="P1320" s="96" t="s">
        <v>1592</v>
      </c>
    </row>
    <row r="1321" spans="16:16" x14ac:dyDescent="0.2">
      <c r="P1321" s="96" t="s">
        <v>1592</v>
      </c>
    </row>
    <row r="1322" spans="16:16" x14ac:dyDescent="0.2">
      <c r="P1322" s="96" t="s">
        <v>1592</v>
      </c>
    </row>
    <row r="1323" spans="16:16" x14ac:dyDescent="0.2">
      <c r="P1323" s="96" t="s">
        <v>1592</v>
      </c>
    </row>
    <row r="1324" spans="16:16" x14ac:dyDescent="0.2">
      <c r="P1324" s="96" t="s">
        <v>1592</v>
      </c>
    </row>
    <row r="1325" spans="16:16" x14ac:dyDescent="0.2">
      <c r="P1325" s="96" t="s">
        <v>1592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BH1644" activePane="bottomRight" state="frozen"/>
      <selection activeCell="J43" sqref="J43"/>
      <selection pane="topRight" activeCell="J43" sqref="J43"/>
      <selection pane="bottomLeft" activeCell="J43" sqref="J43"/>
      <selection pane="bottomRight" activeCell="J1654" sqref="J1654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5" x14ac:dyDescent="0.2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5" x14ac:dyDescent="0.2">
      <c r="AV3" s="5">
        <f ca="1">Projections!T5</f>
        <v>2.8765085104592849</v>
      </c>
      <c r="BJ3" s="21">
        <f t="shared" ca="1" si="0"/>
        <v>116</v>
      </c>
      <c r="BK3" s="21">
        <f t="shared" ca="1" si="0"/>
        <v>-125</v>
      </c>
      <c r="BL3" s="21">
        <f t="shared" ca="1" si="0"/>
        <v>101</v>
      </c>
      <c r="BM3" s="21">
        <f t="shared" ca="1" si="0"/>
        <v>127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0.46278409085778716</v>
      </c>
      <c r="BO3" s="22">
        <f ca="1">1-BO4</f>
        <v>0.55478482216757974</v>
      </c>
      <c r="BP3" s="22">
        <f ca="1">1-BP4</f>
        <v>0.49706657748077454</v>
      </c>
      <c r="BQ3" s="22">
        <f ca="1">1-BQ4</f>
        <v>0.44001339310163057</v>
      </c>
    </row>
    <row r="4" spans="48:69" ht="15" x14ac:dyDescent="0.2">
      <c r="AV4" s="5">
        <f ca="1">Projections!T6</f>
        <v>3.0753374858732263</v>
      </c>
      <c r="BJ4" s="21">
        <f t="shared" ca="1" si="0"/>
        <v>-116</v>
      </c>
      <c r="BK4" s="21">
        <f t="shared" ca="1" si="0"/>
        <v>125</v>
      </c>
      <c r="BL4" s="21">
        <f t="shared" ca="1" si="0"/>
        <v>-101</v>
      </c>
      <c r="BM4" s="21">
        <f t="shared" ca="1" si="0"/>
        <v>-127</v>
      </c>
      <c r="BN4" s="22">
        <f ca="1">1-BN3</f>
        <v>0.53721590914221284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0.44521517783242021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0.50293342251922546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0.55998660689836943</v>
      </c>
    </row>
    <row r="5" spans="48:69" ht="15" x14ac:dyDescent="0.2">
      <c r="AV5" s="5">
        <f ca="1">Projections!T7</f>
        <v>2.5863356137061584</v>
      </c>
      <c r="BJ5" s="21" t="e">
        <f t="shared" ca="1" si="0"/>
        <v>#N/A</v>
      </c>
      <c r="BK5" s="21" t="e">
        <f t="shared" ca="1" si="0"/>
        <v>#N/A</v>
      </c>
      <c r="BL5" s="21" t="e">
        <f t="shared" ca="1" si="0"/>
        <v>#N/A</v>
      </c>
      <c r="BM5" s="21" t="e">
        <f t="shared" ca="1" si="0"/>
        <v>#N/A</v>
      </c>
      <c r="BN5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#N/A</v>
      </c>
      <c r="BO5" s="22" t="e">
        <f ca="1">1-BO6</f>
        <v>#N/A</v>
      </c>
      <c r="BP5" s="22" t="e">
        <f ca="1">1-BP6</f>
        <v>#N/A</v>
      </c>
      <c r="BQ5" s="22" t="e">
        <f ca="1">1-BQ6</f>
        <v>#N/A</v>
      </c>
    </row>
    <row r="6" spans="48:69" ht="15" x14ac:dyDescent="0.2">
      <c r="AV6" s="5">
        <f ca="1">Projections!T8</f>
        <v>8.7580529669113201</v>
      </c>
      <c r="BJ6" s="21" t="e">
        <f t="shared" ref="BJ6:BJ18" ca="1" si="1">IF(BN6=0.5,100,IF(BN6&gt;0.5,-ROUND(100*BN6/(1-BN6),0),ROUND(100*(1-BN6)/BN6,0)))</f>
        <v>#N/A</v>
      </c>
      <c r="BK6" s="21" t="e">
        <f t="shared" ref="BK6:BK18" ca="1" si="2">IF(BO6=0.5,100,IF(BO6&gt;0.5,-ROUND(100*BO6/(1-BO6),0),ROUND(100*(1-BO6)/BO6,0)))</f>
        <v>#N/A</v>
      </c>
      <c r="BL6" s="21" t="e">
        <f t="shared" ref="BL6:BL18" ca="1" si="3">IF(BP6=0.5,100,IF(BP6&gt;0.5,-ROUND(100*BP6/(1-BP6),0),ROUND(100*(1-BP6)/BP6,0)))</f>
        <v>#N/A</v>
      </c>
      <c r="BM6" s="21" t="e">
        <f t="shared" ref="BM6:BM18" ca="1" si="4">IF(BQ6=0.5,100,IF(BQ6&gt;0.5,-ROUND(100*BQ6/(1-BQ6),0),ROUND(100*(1-BQ6)/BQ6,0)))</f>
        <v>#N/A</v>
      </c>
      <c r="BN6" s="22" t="e">
        <f ca="1">1-BN5</f>
        <v>#N/A</v>
      </c>
      <c r="BO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6" s="22" t="e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7" spans="48:69" ht="15" x14ac:dyDescent="0.2">
      <c r="AV7" s="5">
        <f ca="1">Projections!T9</f>
        <v>2.5590968043871531</v>
      </c>
      <c r="BJ7" s="21" t="e">
        <f t="shared" ca="1" si="1"/>
        <v>#N/A</v>
      </c>
      <c r="BK7" s="21" t="e">
        <f t="shared" ca="1" si="2"/>
        <v>#N/A</v>
      </c>
      <c r="BL7" s="21" t="e">
        <f t="shared" ca="1" si="3"/>
        <v>#N/A</v>
      </c>
      <c r="BM7" s="21" t="e">
        <f t="shared" ca="1" si="4"/>
        <v>#N/A</v>
      </c>
      <c r="BN7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#N/A</v>
      </c>
      <c r="BO7" s="22" t="e">
        <f ca="1">1-BO8</f>
        <v>#N/A</v>
      </c>
      <c r="BP7" s="22" t="e">
        <f ca="1">1-BP8</f>
        <v>#N/A</v>
      </c>
      <c r="BQ7" s="22" t="e">
        <f ca="1">1-BQ8</f>
        <v>#N/A</v>
      </c>
    </row>
    <row r="8" spans="48:69" ht="15" x14ac:dyDescent="0.2">
      <c r="AV8" s="5">
        <f ca="1">Projections!T10</f>
        <v>6.5289001580076089</v>
      </c>
      <c r="BJ8" s="21" t="e">
        <f t="shared" ca="1" si="1"/>
        <v>#N/A</v>
      </c>
      <c r="BK8" s="21" t="e">
        <f t="shared" ca="1" si="2"/>
        <v>#N/A</v>
      </c>
      <c r="BL8" s="21" t="e">
        <f t="shared" ca="1" si="3"/>
        <v>#N/A</v>
      </c>
      <c r="BM8" s="21" t="e">
        <f t="shared" ca="1" si="4"/>
        <v>#N/A</v>
      </c>
      <c r="BN8" s="22" t="e">
        <f ca="1">1-BN7</f>
        <v>#N/A</v>
      </c>
      <c r="BO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8" s="22" t="e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9" spans="48:69" ht="15" x14ac:dyDescent="0.2">
      <c r="AV9" s="5">
        <f ca="1">Projections!T11</f>
        <v>2.7941494796932718</v>
      </c>
      <c r="BJ9" s="21">
        <f t="shared" ca="1" si="1"/>
        <v>112</v>
      </c>
      <c r="BK9" s="21">
        <f t="shared" ca="1" si="2"/>
        <v>-107</v>
      </c>
      <c r="BL9" s="21">
        <f t="shared" ca="1" si="3"/>
        <v>120</v>
      </c>
      <c r="BM9" s="21">
        <f t="shared" ca="1" si="4"/>
        <v>148</v>
      </c>
      <c r="BN9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0.47187044042338133</v>
      </c>
      <c r="BO9" s="22">
        <f ca="1">1-BO10</f>
        <v>0.51766718435908055</v>
      </c>
      <c r="BP9" s="22">
        <f ca="1">1-BP10</f>
        <v>0.45541508684833909</v>
      </c>
      <c r="BQ9" s="22">
        <f ca="1">1-BQ10</f>
        <v>0.40335271691607122</v>
      </c>
    </row>
    <row r="10" spans="48:69" ht="15" x14ac:dyDescent="0.2">
      <c r="AV10" s="5">
        <f ca="1">Projections!T12</f>
        <v>2.9443998074372897</v>
      </c>
      <c r="BJ10" s="21">
        <f t="shared" ca="1" si="1"/>
        <v>-112</v>
      </c>
      <c r="BK10" s="21">
        <f t="shared" ca="1" si="2"/>
        <v>107</v>
      </c>
      <c r="BL10" s="21">
        <f t="shared" ca="1" si="3"/>
        <v>-120</v>
      </c>
      <c r="BM10" s="21">
        <f t="shared" ca="1" si="4"/>
        <v>-148</v>
      </c>
      <c r="BN10" s="22">
        <f ca="1">1-BN9</f>
        <v>0.52812955957661867</v>
      </c>
      <c r="BO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0.48233281564091951</v>
      </c>
      <c r="BP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0.54458491315166091</v>
      </c>
      <c r="BQ10" s="22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0.59664728308392878</v>
      </c>
    </row>
    <row r="11" spans="48:69" ht="15" x14ac:dyDescent="0.2">
      <c r="AV11" s="5">
        <f ca="1">Projections!T13</f>
        <v>3.0992979847424489</v>
      </c>
      <c r="BJ11" s="21">
        <f t="shared" ca="1" si="1"/>
        <v>-105</v>
      </c>
      <c r="BK11" s="21">
        <f t="shared" ca="1" si="2"/>
        <v>-143</v>
      </c>
      <c r="BL11" s="21">
        <f t="shared" ca="1" si="3"/>
        <v>-115</v>
      </c>
      <c r="BM11" s="21">
        <f t="shared" ca="1" si="4"/>
        <v>110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0.51218071840663071</v>
      </c>
      <c r="BO11" s="22">
        <f ca="1">1-BO12</f>
        <v>0.58787051902416865</v>
      </c>
      <c r="BP11" s="22">
        <f ca="1">1-BP12</f>
        <v>0.53553589462693696</v>
      </c>
      <c r="BQ11" s="22">
        <f ca="1">1-BQ12</f>
        <v>0.47518894247002041</v>
      </c>
    </row>
    <row r="12" spans="48:69" ht="15" x14ac:dyDescent="0.2">
      <c r="AV12" s="5">
        <f ca="1">Projections!T14</f>
        <v>3.0641696265688392</v>
      </c>
      <c r="BJ12" s="21">
        <f t="shared" ca="1" si="1"/>
        <v>105</v>
      </c>
      <c r="BK12" s="21">
        <f t="shared" ca="1" si="2"/>
        <v>143</v>
      </c>
      <c r="BL12" s="21">
        <f t="shared" ca="1" si="3"/>
        <v>115</v>
      </c>
      <c r="BM12" s="21">
        <f t="shared" ca="1" si="4"/>
        <v>-110</v>
      </c>
      <c r="BN12" s="22">
        <f ca="1">1-BN11</f>
        <v>0.48781928159336929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0.4121294809758313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0.46446410537306304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0.52481105752997959</v>
      </c>
    </row>
    <row r="13" spans="48:69" ht="15" x14ac:dyDescent="0.2">
      <c r="AV13" s="5">
        <f ca="1">Projections!T15</f>
        <v>3.1032080373615525</v>
      </c>
      <c r="BJ13" s="21">
        <f t="shared" ca="1" si="1"/>
        <v>-133</v>
      </c>
      <c r="BK13" s="21">
        <f t="shared" ca="1" si="2"/>
        <v>-111</v>
      </c>
      <c r="BL13" s="21">
        <f t="shared" ca="1" si="3"/>
        <v>115</v>
      </c>
      <c r="BM13" s="21">
        <f t="shared" ca="1" si="4"/>
        <v>143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0.5715455949989805</v>
      </c>
      <c r="BO13" s="22">
        <f ca="1">1-BO14</f>
        <v>0.52573217026493002</v>
      </c>
      <c r="BP13" s="22">
        <f ca="1">1-BP14</f>
        <v>0.46506367976368079</v>
      </c>
      <c r="BQ13" s="22">
        <f ca="1">1-BQ14</f>
        <v>0.41231879821689965</v>
      </c>
    </row>
    <row r="14" spans="48:69" ht="15" x14ac:dyDescent="0.2">
      <c r="AV14" s="5">
        <f ca="1">Projections!T16</f>
        <v>2.6739227385564428</v>
      </c>
      <c r="BJ14" s="21">
        <f t="shared" ca="1" si="1"/>
        <v>133</v>
      </c>
      <c r="BK14" s="21">
        <f t="shared" ca="1" si="2"/>
        <v>111</v>
      </c>
      <c r="BL14" s="21">
        <f t="shared" ca="1" si="3"/>
        <v>-115</v>
      </c>
      <c r="BM14" s="21">
        <f t="shared" ca="1" si="4"/>
        <v>-143</v>
      </c>
      <c r="BN14" s="22">
        <f ca="1">1-BN13</f>
        <v>0.4284544050010195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0.47426782973507003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0.53493632023631921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0.58768120178310035</v>
      </c>
    </row>
    <row r="15" spans="48:69" ht="15" x14ac:dyDescent="0.2">
      <c r="AV15" s="5">
        <f ca="1">Projections!T17</f>
        <v>2.9477538627951958</v>
      </c>
      <c r="BJ15" s="21">
        <f t="shared" ca="1" si="1"/>
        <v>127</v>
      </c>
      <c r="BK15" s="21">
        <f t="shared" ca="1" si="2"/>
        <v>-152</v>
      </c>
      <c r="BL15" s="21">
        <f t="shared" ca="1" si="3"/>
        <v>-124</v>
      </c>
      <c r="BM15" s="21">
        <f t="shared" ca="1" si="4"/>
        <v>103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0.44046899863567679</v>
      </c>
      <c r="BO15" s="22">
        <f ca="1">1-BO16</f>
        <v>0.60327655512441192</v>
      </c>
      <c r="BP15" s="22">
        <f ca="1">1-BP16</f>
        <v>0.55364270807430993</v>
      </c>
      <c r="BQ15" s="22">
        <f ca="1">1-BQ16</f>
        <v>0.49207628737886788</v>
      </c>
    </row>
    <row r="16" spans="48:69" ht="15" x14ac:dyDescent="0.2">
      <c r="AV16" s="5">
        <f ca="1">Projections!T18</f>
        <v>3.3083054461840624</v>
      </c>
      <c r="BJ16" s="21">
        <f t="shared" ca="1" si="1"/>
        <v>-127</v>
      </c>
      <c r="BK16" s="21">
        <f t="shared" ca="1" si="2"/>
        <v>152</v>
      </c>
      <c r="BL16" s="21">
        <f t="shared" ca="1" si="3"/>
        <v>124</v>
      </c>
      <c r="BM16" s="21">
        <f t="shared" ca="1" si="4"/>
        <v>-103</v>
      </c>
      <c r="BN16" s="22">
        <f ca="1">1-BN15</f>
        <v>0.55953100136432321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0.39672344487558808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0.44635729192569007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0.50792371262113212</v>
      </c>
    </row>
    <row r="17" spans="48:69" ht="15" x14ac:dyDescent="0.2">
      <c r="AV17" s="5">
        <f ca="1">Projections!T19</f>
        <v>2.3792312311217136</v>
      </c>
      <c r="BJ17" s="21">
        <f t="shared" ca="1" si="1"/>
        <v>253</v>
      </c>
      <c r="BK17" s="21">
        <f t="shared" ca="1" si="2"/>
        <v>-148</v>
      </c>
      <c r="BL17" s="21">
        <f t="shared" ca="1" si="3"/>
        <v>-118</v>
      </c>
      <c r="BM17" s="21">
        <f t="shared" ca="1" si="4"/>
        <v>110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0.28352106434351043</v>
      </c>
      <c r="BO17" s="22">
        <f ca="1">1-BO18</f>
        <v>0.59646116361684376</v>
      </c>
      <c r="BP17" s="22">
        <f ca="1">1-BP18</f>
        <v>0.54160305897474392</v>
      </c>
      <c r="BQ17" s="22">
        <f ca="1">1-BQ18</f>
        <v>0.47679271501121323</v>
      </c>
    </row>
    <row r="18" spans="48:69" ht="15" x14ac:dyDescent="0.2">
      <c r="AV18" s="5">
        <f ca="1">Projections!T20</f>
        <v>3.8455291783765815</v>
      </c>
      <c r="BJ18" s="21">
        <f t="shared" ca="1" si="1"/>
        <v>-253</v>
      </c>
      <c r="BK18" s="21">
        <f t="shared" ca="1" si="2"/>
        <v>148</v>
      </c>
      <c r="BL18" s="21">
        <f t="shared" ca="1" si="3"/>
        <v>118</v>
      </c>
      <c r="BM18" s="21">
        <f t="shared" ca="1" si="4"/>
        <v>-110</v>
      </c>
      <c r="BN18" s="22">
        <f ca="1">1-BN17</f>
        <v>0.71647893565648957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0.40353883638315624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0.45839694102525608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0.52320728498878677</v>
      </c>
    </row>
    <row r="19" spans="48:69" ht="15" x14ac:dyDescent="0.2">
      <c r="AV19" s="5">
        <f ca="1">Projections!T21</f>
        <v>3.26864936494884</v>
      </c>
      <c r="BJ19" s="21">
        <f t="shared" ref="BJ19:BJ56" ca="1" si="5">IF(BN19=0.5,100,IF(BN19&gt;0.5,-ROUND(100*BN19/(1-BN19),0),ROUND(100*(1-BN19)/BN19,0)))</f>
        <v>-126</v>
      </c>
      <c r="BK19" s="21">
        <f t="shared" ref="BK19:BK56" ca="1" si="6">IF(BO19=0.5,100,IF(BO19&gt;0.5,-ROUND(100*BO19/(1-BO19),0),ROUND(100*(1-BO19)/BO19,0)))</f>
        <v>-147</v>
      </c>
      <c r="BL19" s="21">
        <f t="shared" ref="BL19:BL56" ca="1" si="7">IF(BP19=0.5,100,IF(BP19&gt;0.5,-ROUND(100*BP19/(1-BP19),0),ROUND(100*(1-BP19)/BP19,0)))</f>
        <v>-119</v>
      </c>
      <c r="BM19" s="21">
        <f t="shared" ref="BM19:BM56" ca="1" si="8">IF(BQ19=0.5,100,IF(BQ19&gt;0.5,-ROUND(100*BQ19/(1-BQ19),0),ROUND(100*(1-BQ19)/BQ19,0)))</f>
        <v>108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0.5571011335351318</v>
      </c>
      <c r="BO19" s="22">
        <f ca="1">1-BO20</f>
        <v>0.59461030618287081</v>
      </c>
      <c r="BP19" s="22">
        <f ca="1">1-BP20</f>
        <v>0.54279323085322184</v>
      </c>
      <c r="BQ19" s="22">
        <f ca="1">1-BQ20</f>
        <v>0.48129213165099782</v>
      </c>
    </row>
    <row r="20" spans="48:69" ht="15" x14ac:dyDescent="0.2">
      <c r="AV20" s="5">
        <f ca="1">Projections!T22</f>
        <v>2.9274087842272878</v>
      </c>
      <c r="BJ20" s="21">
        <f t="shared" ca="1" si="5"/>
        <v>126</v>
      </c>
      <c r="BK20" s="21">
        <f t="shared" ca="1" si="6"/>
        <v>147</v>
      </c>
      <c r="BL20" s="21">
        <f t="shared" ca="1" si="7"/>
        <v>119</v>
      </c>
      <c r="BM20" s="21">
        <f t="shared" ca="1" si="8"/>
        <v>-108</v>
      </c>
      <c r="BN20" s="22">
        <f ca="1">1-BN19</f>
        <v>0.4428988664648682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0.40538969381712919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0.45720676914677816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0.51870786834900218</v>
      </c>
    </row>
    <row r="21" spans="48:69" ht="15" x14ac:dyDescent="0.2">
      <c r="AV21" s="5">
        <f ca="1">Projections!T23</f>
        <v>3.0246511350596332</v>
      </c>
      <c r="BJ21" s="21">
        <f t="shared" ca="1" si="5"/>
        <v>-111</v>
      </c>
      <c r="BK21" s="21">
        <f t="shared" ca="1" si="6"/>
        <v>-121</v>
      </c>
      <c r="BL21" s="21">
        <f t="shared" ca="1" si="7"/>
        <v>104</v>
      </c>
      <c r="BM21" s="21">
        <f t="shared" ca="1" si="8"/>
        <v>130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0.52681397465071111</v>
      </c>
      <c r="BO21" s="22">
        <f ca="1">1-BO22</f>
        <v>0.54790332707370193</v>
      </c>
      <c r="BP21" s="22">
        <f ca="1">1-BP22</f>
        <v>0.4898524688878263</v>
      </c>
      <c r="BQ21" s="22">
        <f ca="1">1-BQ22</f>
        <v>0.434105557835191</v>
      </c>
    </row>
    <row r="22" spans="48:69" ht="15" x14ac:dyDescent="0.2">
      <c r="AV22" s="5">
        <f ca="1">Projections!T24</f>
        <v>2.8883425824185349</v>
      </c>
      <c r="BJ22" s="21">
        <f t="shared" ca="1" si="5"/>
        <v>111</v>
      </c>
      <c r="BK22" s="21">
        <f t="shared" ca="1" si="6"/>
        <v>121</v>
      </c>
      <c r="BL22" s="21">
        <f t="shared" ca="1" si="7"/>
        <v>-104</v>
      </c>
      <c r="BM22" s="21">
        <f t="shared" ca="1" si="8"/>
        <v>-130</v>
      </c>
      <c r="BN22" s="22">
        <f ca="1">1-BN21</f>
        <v>0.47318602534928889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0.45209667292629813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0.5101475311121737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0.565894442164809</v>
      </c>
    </row>
    <row r="23" spans="48:69" ht="15" x14ac:dyDescent="0.2">
      <c r="AV23" s="5">
        <f ca="1">Projections!T25</f>
        <v>2.9633973363116914</v>
      </c>
      <c r="BJ23" s="21">
        <f t="shared" ca="1" si="5"/>
        <v>-105</v>
      </c>
      <c r="BK23" s="21">
        <f t="shared" ca="1" si="6"/>
        <v>-119</v>
      </c>
      <c r="BL23" s="21">
        <f t="shared" ca="1" si="7"/>
        <v>106</v>
      </c>
      <c r="BM23" s="21">
        <f t="shared" ca="1" si="8"/>
        <v>133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0.51200721224790602</v>
      </c>
      <c r="BO23" s="22">
        <f ca="1">1-BO24</f>
        <v>0.54289140048026141</v>
      </c>
      <c r="BP23" s="22">
        <f ca="1">1-BP24</f>
        <v>0.48470434306746424</v>
      </c>
      <c r="BQ23" s="22">
        <f ca="1">1-BQ24</f>
        <v>0.42998360440898309</v>
      </c>
    </row>
    <row r="24" spans="48:69" ht="15" x14ac:dyDescent="0.2">
      <c r="AV24" s="5">
        <f ca="1">Projections!T26</f>
        <v>2.9201995958827949</v>
      </c>
      <c r="BJ24" s="21">
        <f t="shared" ca="1" si="5"/>
        <v>105</v>
      </c>
      <c r="BK24" s="21">
        <f t="shared" ca="1" si="6"/>
        <v>119</v>
      </c>
      <c r="BL24" s="21">
        <f t="shared" ca="1" si="7"/>
        <v>-106</v>
      </c>
      <c r="BM24" s="21">
        <f t="shared" ca="1" si="8"/>
        <v>-133</v>
      </c>
      <c r="BN24" s="22">
        <f ca="1">1-BN23</f>
        <v>0.48799278775209398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0.45710859951973859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0.51529565693253576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0.57001639559101691</v>
      </c>
    </row>
    <row r="25" spans="48:69" ht="15" x14ac:dyDescent="0.2">
      <c r="AV25" s="5">
        <f ca="1">Projections!T27</f>
        <v>3.0518222580063985</v>
      </c>
      <c r="BJ25" s="21">
        <f t="shared" ca="1" si="5"/>
        <v>105</v>
      </c>
      <c r="BK25" s="21">
        <f t="shared" ca="1" si="6"/>
        <v>-140</v>
      </c>
      <c r="BL25" s="21">
        <f t="shared" ca="1" si="7"/>
        <v>-113</v>
      </c>
      <c r="BM25" s="21">
        <f t="shared" ca="1" si="8"/>
        <v>113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0.48864710284962243</v>
      </c>
      <c r="BO25" s="22">
        <f ca="1">1-BO26</f>
        <v>0.58298280278753056</v>
      </c>
      <c r="BP25" s="22">
        <f ca="1">1-BP26</f>
        <v>0.53007927295835366</v>
      </c>
      <c r="BQ25" s="22">
        <f ca="1">1-BQ26</f>
        <v>0.47040548126255988</v>
      </c>
    </row>
    <row r="26" spans="48:69" ht="15" x14ac:dyDescent="0.2">
      <c r="AV26" s="5">
        <f ca="1">Projections!T28</f>
        <v>3.0832924449698078</v>
      </c>
      <c r="BJ26" s="21">
        <f t="shared" ca="1" si="5"/>
        <v>-105</v>
      </c>
      <c r="BK26" s="21">
        <f t="shared" ca="1" si="6"/>
        <v>140</v>
      </c>
      <c r="BL26" s="21">
        <f t="shared" ca="1" si="7"/>
        <v>113</v>
      </c>
      <c r="BM26" s="21">
        <f t="shared" ca="1" si="8"/>
        <v>-113</v>
      </c>
      <c r="BN26" s="22">
        <f ca="1">1-BN25</f>
        <v>0.51135289715037757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0.41701719721246949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0.46992072704164634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0.52959451873744012</v>
      </c>
    </row>
    <row r="27" spans="48:69" ht="15" x14ac:dyDescent="0.2">
      <c r="AV27" s="5">
        <f ca="1">Projections!T29</f>
        <v>2.8482915373296827</v>
      </c>
      <c r="BJ27" s="21">
        <f t="shared" ca="1" si="5"/>
        <v>163</v>
      </c>
      <c r="BK27" s="21">
        <f t="shared" ca="1" si="6"/>
        <v>-174</v>
      </c>
      <c r="BL27" s="21">
        <f t="shared" ca="1" si="7"/>
        <v>-143</v>
      </c>
      <c r="BM27" s="21">
        <f t="shared" ca="1" si="8"/>
        <v>-109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0.38071234719389346</v>
      </c>
      <c r="BO27" s="22">
        <f ca="1">1-BO28</f>
        <v>0.63442975561866166</v>
      </c>
      <c r="BP27" s="22">
        <f ca="1">1-BP28</f>
        <v>0.58836552396725716</v>
      </c>
      <c r="BQ27" s="22">
        <f ca="1">1-BQ28</f>
        <v>0.52253406379858336</v>
      </c>
    </row>
    <row r="28" spans="48:69" ht="15" x14ac:dyDescent="0.2">
      <c r="AV28" s="5">
        <f ca="1">Projections!T30</f>
        <v>3.6261901545622788</v>
      </c>
      <c r="BJ28" s="21">
        <f t="shared" ca="1" si="5"/>
        <v>-163</v>
      </c>
      <c r="BK28" s="21">
        <f t="shared" ca="1" si="6"/>
        <v>174</v>
      </c>
      <c r="BL28" s="21">
        <f t="shared" ca="1" si="7"/>
        <v>143</v>
      </c>
      <c r="BM28" s="21">
        <f t="shared" ca="1" si="8"/>
        <v>109</v>
      </c>
      <c r="BN28" s="22">
        <f ca="1">1-BN27</f>
        <v>0.61928765280610654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0.36557024438133834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0.41163447603274284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0.47746593620141659</v>
      </c>
    </row>
    <row r="29" spans="48:69" ht="15" x14ac:dyDescent="0.2">
      <c r="AV29" s="5">
        <f ca="1">Projections!T31</f>
        <v>2.7563634761452098</v>
      </c>
      <c r="BJ29" s="21">
        <f t="shared" ca="1" si="5"/>
        <v>143</v>
      </c>
      <c r="BK29" s="21">
        <f t="shared" ca="1" si="6"/>
        <v>-133</v>
      </c>
      <c r="BL29" s="21">
        <f t="shared" ca="1" si="7"/>
        <v>-106</v>
      </c>
      <c r="BM29" s="21">
        <f t="shared" ca="1" si="8"/>
        <v>119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0.41078465570166695</v>
      </c>
      <c r="BO29" s="22">
        <f ca="1">1-BO30</f>
        <v>0.57043291435082066</v>
      </c>
      <c r="BP29" s="22">
        <f ca="1">1-BP30</f>
        <v>0.51542027503267196</v>
      </c>
      <c r="BQ29" s="22">
        <f ca="1">1-BQ30</f>
        <v>0.45689278323163729</v>
      </c>
    </row>
    <row r="30" spans="48:69" ht="15" x14ac:dyDescent="0.2">
      <c r="AV30" s="5">
        <f ca="1">Projections!T32</f>
        <v>3.3118373173422975</v>
      </c>
      <c r="BJ30" s="21">
        <f t="shared" ca="1" si="5"/>
        <v>-143</v>
      </c>
      <c r="BK30" s="21">
        <f t="shared" ca="1" si="6"/>
        <v>133</v>
      </c>
      <c r="BL30" s="21">
        <f t="shared" ca="1" si="7"/>
        <v>106</v>
      </c>
      <c r="BM30" s="21">
        <f t="shared" ca="1" si="8"/>
        <v>-119</v>
      </c>
      <c r="BN30" s="22">
        <f ca="1">1-BN29</f>
        <v>0.589215344298333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0.42956708564917928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0.48457972496732798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0.54310721676836271</v>
      </c>
    </row>
    <row r="31" spans="48:69" ht="15" x14ac:dyDescent="0.2">
      <c r="AV31" s="5">
        <f>Projections!T33</f>
        <v>0</v>
      </c>
      <c r="BJ31" s="21" t="e">
        <f t="shared" si="5"/>
        <v>#N/A</v>
      </c>
      <c r="BK31" s="21" t="e">
        <f t="shared" si="6"/>
        <v>#N/A</v>
      </c>
      <c r="BL31" s="21" t="e">
        <f t="shared" si="7"/>
        <v>#N/A</v>
      </c>
      <c r="BM31" s="21" t="e">
        <f t="shared" si="8"/>
        <v>#N/A</v>
      </c>
      <c r="BN31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#N/A</v>
      </c>
      <c r="BO31" s="22" t="e">
        <f>1-BO32</f>
        <v>#N/A</v>
      </c>
      <c r="BP31" s="22" t="e">
        <f>1-BP32</f>
        <v>#N/A</v>
      </c>
      <c r="BQ31" s="22" t="e">
        <f>1-BQ32</f>
        <v>#N/A</v>
      </c>
    </row>
    <row r="32" spans="48:69" ht="15" x14ac:dyDescent="0.2">
      <c r="AV32" s="5">
        <f>Projections!T34</f>
        <v>0</v>
      </c>
      <c r="BJ32" s="21" t="e">
        <f t="shared" si="5"/>
        <v>#N/A</v>
      </c>
      <c r="BK32" s="21" t="e">
        <f t="shared" si="6"/>
        <v>#N/A</v>
      </c>
      <c r="BL32" s="21" t="e">
        <f t="shared" si="7"/>
        <v>#N/A</v>
      </c>
      <c r="BM32" s="21" t="e">
        <f t="shared" si="8"/>
        <v>#N/A</v>
      </c>
      <c r="BN32" s="22" t="e">
        <f>1-BN31</f>
        <v>#N/A</v>
      </c>
      <c r="BO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2" s="22" t="e">
        <f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3" spans="48:69" ht="15" x14ac:dyDescent="0.2">
      <c r="AV33" s="5">
        <f>Projections!T35</f>
        <v>0</v>
      </c>
      <c r="BJ33" s="21" t="e">
        <f t="shared" si="5"/>
        <v>#N/A</v>
      </c>
      <c r="BK33" s="21" t="e">
        <f t="shared" si="6"/>
        <v>#N/A</v>
      </c>
      <c r="BL33" s="21" t="e">
        <f t="shared" si="7"/>
        <v>#N/A</v>
      </c>
      <c r="BM33" s="21" t="e">
        <f t="shared" si="8"/>
        <v>#N/A</v>
      </c>
      <c r="BN33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#N/A</v>
      </c>
      <c r="BO33" s="22" t="e">
        <f>1-BO34</f>
        <v>#N/A</v>
      </c>
      <c r="BP33" s="22" t="e">
        <f>1-BP34</f>
        <v>#N/A</v>
      </c>
      <c r="BQ33" s="22" t="e">
        <f>1-BQ34</f>
        <v>#N/A</v>
      </c>
    </row>
    <row r="34" spans="48:69" ht="15" x14ac:dyDescent="0.2">
      <c r="AV34" s="5">
        <f>Projections!T36</f>
        <v>0</v>
      </c>
      <c r="BJ34" s="21" t="e">
        <f t="shared" si="5"/>
        <v>#N/A</v>
      </c>
      <c r="BK34" s="21" t="e">
        <f t="shared" si="6"/>
        <v>#N/A</v>
      </c>
      <c r="BL34" s="21" t="e">
        <f t="shared" si="7"/>
        <v>#N/A</v>
      </c>
      <c r="BM34" s="21" t="e">
        <f t="shared" si="8"/>
        <v>#N/A</v>
      </c>
      <c r="BN34" s="22" t="e">
        <f>1-BN33</f>
        <v>#N/A</v>
      </c>
      <c r="BO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4" s="22" t="e">
        <f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5" spans="48:69" ht="15" x14ac:dyDescent="0.2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5" x14ac:dyDescent="0.2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1773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1365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1365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1365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1365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905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906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907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908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909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910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911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912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913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914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915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916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917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918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919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920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921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922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923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924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925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926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927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928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929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930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931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932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933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934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935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936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937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938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939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941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942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943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944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945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946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947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948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949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950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951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952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953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954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955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920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956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957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958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959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960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961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962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963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964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965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966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967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968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969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970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931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971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972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973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974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975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976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977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978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979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980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981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982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983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984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920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985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986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987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988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989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990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931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991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992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993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994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995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996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997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998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999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1000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1001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1002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1003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1004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1005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1006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1007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1008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1009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1010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1011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1012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1013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1014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1015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1016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1017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1018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1019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1020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1021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1022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1023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1024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1025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1026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1027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1028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1029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1030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1031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1032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1033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1034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1035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931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1036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1037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1038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1039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1040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1041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1042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1043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1044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1045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1046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1047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1048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1049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1050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1051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1052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1053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1054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1055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1056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1057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1058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1059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1060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1061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1062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1063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1064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1065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1066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1067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1068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1069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1070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1071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1072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1074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1075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1076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1077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1078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1079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1080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1081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1082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1083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1084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1085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1086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1087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1088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931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1089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1090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1091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1092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1093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1094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1095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1096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1097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1098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1099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1100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1101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1102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959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1103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1104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1105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1106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1107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1108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1109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1110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1111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1112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1113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1114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1115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1116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1117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1118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1365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1119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1120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1121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1122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959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1123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1124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931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1125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1126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1127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1128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1129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1130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1131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1132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1133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1134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1135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1136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1137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1138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1139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1140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1141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1142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1143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1144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1145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1146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1147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1148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1149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1150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1151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1152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1153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1154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1155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1156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1157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1158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1159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1160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1161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1162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1163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1170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1171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1172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1173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1174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1175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1176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1177</v>
      </c>
      <c r="J880" s="46" t="s">
        <v>1165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1178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1179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1180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1181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1182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1183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1184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1185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1186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1187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1188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1189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931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1190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1191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1192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1193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1194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1195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1196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1197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1198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1199</v>
      </c>
      <c r="J901" s="46" t="s">
        <v>1164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1200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1201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1202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1203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1204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920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1205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1206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1207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1208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1209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1177</v>
      </c>
      <c r="J911" s="46" t="s">
        <v>1165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1210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1211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1213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1214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1215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1216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1217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1218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1219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1220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1365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1221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1222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1223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1224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1225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931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1226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1227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1228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1229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1230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1231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1232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1233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1234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1235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1236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1237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1238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1239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1240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1241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1242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1177</v>
      </c>
      <c r="J943" s="46" t="s">
        <v>1165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1243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1244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1245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1246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1247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1248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1249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1250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1251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1252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1253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1254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1255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1256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1257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1258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1259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1260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1261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1262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1263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1264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959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1265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1266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1267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1268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1269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1270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1271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1272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1273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1274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1275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1276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1277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1278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1279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1199</v>
      </c>
      <c r="J980" s="46" t="s">
        <v>1164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1280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1281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1282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1177</v>
      </c>
      <c r="J983" s="46" t="s">
        <v>1165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1283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1284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1285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1286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1287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1288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1289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1290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1291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1292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1307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1177</v>
      </c>
      <c r="J994" s="46" t="s">
        <v>1165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1308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1309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1310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1311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1312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1313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1314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1315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1199</v>
      </c>
      <c r="J1002" s="46" t="s">
        <v>1164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1316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1317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1318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1319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1320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1321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1322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1323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920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1324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1325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1326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1327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1328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1329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1330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1331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1332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1333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1334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1335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1177</v>
      </c>
      <c r="J1022" s="46" t="s">
        <v>1165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1336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1337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1338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1339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1340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1341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1342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1343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1344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1345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1346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1347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1348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1349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1350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1351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1352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1353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1354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1355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1356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1357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1358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1359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1360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1361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1362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1363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1364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1367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1368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1369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1365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1370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1371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1372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1373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1374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1375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1376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1377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1378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1379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1380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1381</v>
      </c>
      <c r="J1064" s="46" t="s">
        <v>1306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1382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1383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1199</v>
      </c>
      <c r="J1066" s="46" t="s">
        <v>1164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1384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1385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1386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1387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1388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1389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1390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1391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1392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1393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1394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1395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1396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1397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1398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1399</v>
      </c>
      <c r="J1081" s="46" t="s">
        <v>1295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1400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1401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1402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1403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1404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1405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1406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1407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1408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1409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1410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1411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1412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1413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1414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1415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1416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1417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1418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1177</v>
      </c>
      <c r="J1100" s="46" t="s">
        <v>1165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1419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1420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1421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931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1422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1423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1424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1425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1381</v>
      </c>
      <c r="J1107" s="46" t="s">
        <v>1306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1426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1427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1428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1429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1430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1378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1431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1432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1433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1434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1435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1436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1437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1438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1444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1445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1446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1447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1448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1449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1450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1451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1452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1453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1199</v>
      </c>
      <c r="J1129" s="46" t="s">
        <v>1164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1454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1455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1456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1378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1457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1458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1459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1460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1461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1462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1463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1464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1465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1466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1467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1468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1469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1470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1471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1472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1473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1474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1475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1476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1477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1478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1479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1480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1481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1482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1483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1484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1485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1486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1487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1488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1489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1365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1490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1491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1492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1493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1494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1495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1496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1497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1498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1432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1499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1381</v>
      </c>
      <c r="J1175" s="46" t="s">
        <v>1306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1500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931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1501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1502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1503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1504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1505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1506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1507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1508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1509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1510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1511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1512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1513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1514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1515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1516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1517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1518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1519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1520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1521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1522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1523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1524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1525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1526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1199</v>
      </c>
      <c r="J1202" s="46" t="s">
        <v>1164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1527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1529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1530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1531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1532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1533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1534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1535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1536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1537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1432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1538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931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1539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1540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1541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1542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1543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1544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1545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1381</v>
      </c>
      <c r="J1220" s="46" t="s">
        <v>1306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1546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1547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1548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1549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1550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1551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1552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1553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1554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1555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1556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1557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1558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1559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1560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1199</v>
      </c>
      <c r="J1235" s="46" t="s">
        <v>1164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1561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1562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1563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1564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1565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1566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1567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1568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1569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1570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1571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1572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931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1573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1574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1575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1576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1577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1578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1579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1580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1581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1582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1583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1584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1199</v>
      </c>
      <c r="J1259" s="46" t="s">
        <v>1164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1585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1586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1587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1588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1607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1381</v>
      </c>
      <c r="J1264" s="46" t="s">
        <v>1306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1608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1609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1610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1611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1432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1612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1613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1614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1615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1616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1617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1618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1619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1620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1621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1622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1623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1624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1625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1626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1627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1628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1629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1630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1631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1632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1633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1634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1199</v>
      </c>
      <c r="J1291" s="46" t="s">
        <v>1164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1635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1636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1637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1638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1639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1594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1640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1432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1594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1641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1594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1642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1594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1643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1594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1644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931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1594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1645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1594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1646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1594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1647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1594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1648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1594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1649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1592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1650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1592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1651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1593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1652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1593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1653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1594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1654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1594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1655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1593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1656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1593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1657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1592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1658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1592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1659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1593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1660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1593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1661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1594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1662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1594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1663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1592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1664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1592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1665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1592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1666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1592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1667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1592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1668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1592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1669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1593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1670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1365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1593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1671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1593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1672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1593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1673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1592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1674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1592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1675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1592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1676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1592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1677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1592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1678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1592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1679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1593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1680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931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1593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1681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1592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1682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1592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1683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1594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1684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1594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1685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1199</v>
      </c>
      <c r="J1342" s="46" t="s">
        <v>1164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1593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1686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1593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1687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1593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1688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1593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1689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1594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1690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1594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1691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1593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1692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1593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1693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1432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1594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1694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1594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1695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1594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1696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1594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1697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1594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1698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1594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1699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1594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1700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1594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1701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1381</v>
      </c>
      <c r="J1358" s="46" t="s">
        <v>1306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1594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1702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1594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1703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1594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1704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1594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1705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1594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1706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1594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1707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1594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1708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1594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1709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1594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1710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1594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1711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931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1594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1712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1594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1713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1594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1714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1365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1594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1715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1594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1716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1594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1717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1594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1718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1594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1719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1594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1720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1594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1721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1594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1722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1594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1723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1594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1724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1594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1725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1594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1726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1594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1727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1594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1728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1594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1729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1593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1730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1593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1731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1594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1732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1594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1733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1594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1734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1365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1594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1735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1592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1736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1592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1737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1594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1738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1594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1742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1594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1743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1594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1744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1593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1745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1593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1746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1594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1747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1594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1748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1592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1749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1592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1750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1593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1751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931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1593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1752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1592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1753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1592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1754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1199</v>
      </c>
      <c r="J1408" s="46" t="s">
        <v>1164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1592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1755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1592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1756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1594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1757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1758</v>
      </c>
      <c r="J1411" s="46" t="s">
        <v>1595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1594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1759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1594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1760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1594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1761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1593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1762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1593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1763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1592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1764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1592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1765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1592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1766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1381</v>
      </c>
      <c r="J1419" s="46" t="s">
        <v>1306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1592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1767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1365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1594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1768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1594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1769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1594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1770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1594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1771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1594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1772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1594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1796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1177</v>
      </c>
      <c r="J1426" s="46" t="s">
        <v>1165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1594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1797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1594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1798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920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1594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1799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1594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1800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1594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1801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1594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1802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1593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1803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1593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1804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1593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1805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1432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1593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1806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931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1593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1807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1593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1808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1593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1809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1593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1810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1594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1811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1594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1812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1593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1813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1593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1814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1365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1594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1815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1594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1816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1594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1817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1199</v>
      </c>
      <c r="J1447" s="46" t="s">
        <v>1164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1594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1818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1594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1819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1594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1820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1594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1821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1594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1822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1594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1823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1824</v>
      </c>
      <c r="J1453" s="46" t="s">
        <v>1774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1594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1825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1594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1826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1594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1827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1594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1828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1594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1829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1594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1830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1594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1831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1594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1832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1594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1833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1594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1834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1594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1835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1594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1836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1594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1837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1594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1838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1381</v>
      </c>
      <c r="J1467" s="46" t="s">
        <v>1306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1594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1839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1593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1840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1365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1593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1841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1594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1842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1594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1843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1593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1844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1593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1845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1593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1846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931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1593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1847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1824</v>
      </c>
      <c r="J1476" s="46" t="s">
        <v>1774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1593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1848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1593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1849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1594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1850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1594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1851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1593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1852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1593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1853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1594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1854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1594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1855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1594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1856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1594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1857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1432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1593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1858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1593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1859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1594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1860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1594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1861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1594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1862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1594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1863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1594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1864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1594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1865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1594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1866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1594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1867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1594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1868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920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1594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1869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1594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1870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1594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1871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1594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1872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1594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1873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1594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1874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1594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1875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1594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1876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1594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1877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1594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1878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1594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1879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1594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1880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1594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1881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931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1594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1882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1594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1883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1594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1884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1594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1885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1594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1886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1594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1887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1594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1888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1432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1594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1889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1594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1890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1365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1594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1891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1594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1892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1594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1893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1594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1894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1594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1895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1594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1896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1594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1897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1594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1898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1594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1899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1594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1900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1594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1901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1594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1902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1594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1903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1594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1904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1594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1905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1365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1594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1906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1594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1907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1594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1908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1594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1909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1593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1910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1593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1911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1381</v>
      </c>
      <c r="J1540" s="46" t="s">
        <v>1306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1592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1912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920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1592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1913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1593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1914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1432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1593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1915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1593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1916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1593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1917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1593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1918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1593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1919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1593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1920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1593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1921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1594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1922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1594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1923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1594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1924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1594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1925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1594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1926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1594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1927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1593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1928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1593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1929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931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1593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1930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1593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1931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1593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1932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1593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1933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1593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1934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1593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1935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1594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1936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1594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1937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1593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1938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1593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1939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1593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1940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1593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ht="16.75" customHeight="1" x14ac:dyDescent="0.2">
      <c r="A1570" t="str">
        <f t="shared" ref="A1570:A1599" si="11">B1570&amp;" "&amp;E1570</f>
        <v>2025020754 MIN</v>
      </c>
      <c r="B1570">
        <v>2025020754</v>
      </c>
      <c r="C1570" s="1">
        <v>46039</v>
      </c>
      <c r="D1570" s="2" t="s">
        <v>6</v>
      </c>
      <c r="E1570" t="s">
        <v>33</v>
      </c>
      <c r="F1570" s="2">
        <v>1</v>
      </c>
      <c r="G1570" s="2">
        <v>1</v>
      </c>
      <c r="H1570" t="s">
        <v>46</v>
      </c>
      <c r="I1570" t="str">
        <f t="shared" ref="I1570:I1578" si="12">E1570&amp;" "&amp;J1570</f>
        <v>MIN Filip Gustavsson</v>
      </c>
      <c r="J1570" s="33" t="s">
        <v>169</v>
      </c>
      <c r="K1570" s="14">
        <v>2.96</v>
      </c>
      <c r="L1570" s="13">
        <v>0.15</v>
      </c>
      <c r="M1570" s="28">
        <v>0.1</v>
      </c>
      <c r="N1570">
        <f>IFERROR(_xlfn.XLOOKUP(A1570,Params!A:A,Params!D:D),0)</f>
        <v>2.9999999999999898</v>
      </c>
      <c r="O1570">
        <f t="shared" ref="O1570" si="13">N1571</f>
        <v>3.0999999999999899</v>
      </c>
      <c r="P1570" s="68">
        <f t="shared" ref="P1570:P1595" si="14">N1570</f>
        <v>2.9999999999999898</v>
      </c>
      <c r="Q1570">
        <f t="shared" ref="Q1570" si="15">P1571</f>
        <v>3.0999999999999899</v>
      </c>
      <c r="R1570" s="5">
        <f t="shared" ref="R1570" si="16">N1570/W1570/X1570/Z1571/AB1571/AA1570</f>
        <v>3.1953224617274278</v>
      </c>
      <c r="S1570" s="5">
        <f t="shared" ref="S1570" si="17">O1570/W1571/Y1570/Z1570/AA1571/AB1570</f>
        <v>2.7871408483131046</v>
      </c>
      <c r="T1570" s="5">
        <f t="shared" ref="T1570" si="18">P1570/W1570/X1570/Z1571/AB1571</f>
        <v>3.003603114023782</v>
      </c>
      <c r="U1570" s="5">
        <f t="shared" ref="U1570" si="19">Q1570/W1571/Y1570/Z1570/AA1571</f>
        <v>2.8986264822456289</v>
      </c>
      <c r="V1570" s="5">
        <f>_xlfn.XLOOKUP(H1570,'Rest - Home'!A:A,'Rest - Home'!B:B)</f>
        <v>0.95</v>
      </c>
      <c r="W1570" s="5">
        <f>_xlfn.XLOOKUP(H1570,'Rest - Home'!A:A,'Rest - Home'!C:C)</f>
        <v>0.95302926576458757</v>
      </c>
      <c r="X1570" s="5">
        <f t="shared" ref="X1570" si="20">AM1571/K1570</f>
        <v>1.0223157591223735</v>
      </c>
      <c r="Y1570" s="5">
        <f t="shared" ref="Y1570" si="21">AK1571/K1570</f>
        <v>1.0506756756756757</v>
      </c>
      <c r="Z1570" s="5">
        <f>IF(J1570="",1,(_xlfn.XLOOKUP(I1570,Goalies!B:B,Goalies!J:J)))</f>
        <v>0.99</v>
      </c>
      <c r="AA1570" s="23">
        <v>0.94</v>
      </c>
      <c r="AB1570" s="23">
        <v>1.04</v>
      </c>
      <c r="AC1570" s="23">
        <f>_xlfn.XLOOKUP(E1570,'Game Adjustments'!A:A,'Game Adjustments'!B:B)</f>
        <v>1</v>
      </c>
      <c r="AD1570" s="23">
        <f>_xlfn.XLOOKUP(E1570,'Game Adjustments'!A:A,'Game Adjustments'!C:C)</f>
        <v>1</v>
      </c>
      <c r="AE1570" s="23">
        <f>IF(D1570="A",_xlfn.XLOOKUP(E1570,'Rest - Home'!F:F,'Rest - Home'!J:J),_xlfn.XLOOKUP(E1570,'Rest - Home'!F:F,'Rest - Home'!I:I))</f>
        <v>1</v>
      </c>
      <c r="AF1570" s="23">
        <f>IF(D1570="A",_xlfn.XLOOKUP(E1570,'Rest - Home'!F:F,'Rest - Home'!L:L),_xlfn.XLOOKUP(E1570,'Rest - Home'!F:F,'Rest - Home'!K:K))</f>
        <v>1</v>
      </c>
      <c r="AG1570" s="26">
        <v>1</v>
      </c>
      <c r="AH1570" s="26">
        <v>1</v>
      </c>
      <c r="AI1570" s="53" cm="1">
        <f t="array" ref="AI1570">MAX(IF($E$63:E1569=E1570,ROW($E$63:E1569)-MIN(ROW($E$63:E1569))+1))</f>
        <v>1489</v>
      </c>
      <c r="AJ1570" s="53" cm="1">
        <f t="array" ref="AJ1570">MAX(IF($I$105:I1569=I1570,ROW($I$105:I1569)-MIN(ROW($I$105:I1569))+1))</f>
        <v>1375</v>
      </c>
      <c r="AK1570" s="23">
        <f>IF(AI1570=0,_xlfn.XLOOKUP(E1570,'Starting GF'!A:A,'Starting GF'!B:B),INDEX($AL$63:$AL1570,AI1570))</f>
        <v>3.11</v>
      </c>
      <c r="AL1570" s="23">
        <v>3.13</v>
      </c>
      <c r="AM1570" s="23">
        <f>IF(AI1570=0,_xlfn.XLOOKUP(E1570,'Starting GF'!A:A,'Starting GF'!C:C),INDEX($AN$63:$AN1570,AI1570))</f>
        <v>2.88</v>
      </c>
      <c r="AN1570" s="23">
        <f t="shared" ref="AN1570:AN1595" si="22">IF(S1570=0,AM1570,S1570*L1570+AM1570*(1-L1570))</f>
        <v>2.8660711272469657</v>
      </c>
      <c r="AO1570" s="23">
        <f>IF(AJ1570=0,_xlfn.XLOOKUP(I1570,Goalies!B:B,Goalies!I:I),INDEX($AP$105:$AP1570,AJ1570))</f>
        <v>2.8821267061368081</v>
      </c>
      <c r="AP1570" s="23">
        <f t="shared" ref="AP1570:AP1595" si="23">IF(S1570=0,AO1570,S1570*L1570*Z1570+AO1570*(1-L1570))</f>
        <v>2.8636981161907831</v>
      </c>
      <c r="AQ1570" s="23">
        <f t="shared" ref="AQ1570:AQ1595" si="24">AM1570*Z1570</f>
        <v>2.8512</v>
      </c>
      <c r="AR1570" s="66">
        <v>-0.02</v>
      </c>
      <c r="AS1570" s="96" t="s">
        <v>1592</v>
      </c>
      <c r="AT1570" s="20">
        <f t="shared" ref="AT1570" si="25">(AK1570*V1570*X1570*Z1571*AA1570*AB1571*AC1570*AD1571*AG1570*AH1571)+AR1570</f>
        <v>2.890612026499471</v>
      </c>
      <c r="AU1570" s="20">
        <f t="shared" ref="AU1570" si="26">AT1571</f>
        <v>3.2197574430443243</v>
      </c>
      <c r="AV1570" s="12">
        <f t="shared" ref="AV1570" si="27">AK1570*V1570*X1570*Z1571*AA1570*AB1571</f>
        <v>2.910612026499471</v>
      </c>
      <c r="AW1570" s="12">
        <f t="shared" ref="AW1570" si="28">AV1571</f>
        <v>3.2032826778035179</v>
      </c>
      <c r="AX1570" s="8">
        <f t="shared" ref="AX1570:AX1595" si="29">(AT1570-N1570)</f>
        <v>-0.10938797350051876</v>
      </c>
      <c r="AY1570" s="8">
        <f t="shared" ref="AY1570:AY1595" si="30">(AU1570-O1570)</f>
        <v>0.11975744304433444</v>
      </c>
      <c r="AZ1570" s="8">
        <f t="shared" ref="AZ1570:AZ1595" si="31">SUM(AX1570:AY1570)</f>
        <v>1.0369469543815679E-2</v>
      </c>
      <c r="BA1570" s="8">
        <f t="shared" ref="BA1570:BA1595" si="32">AX1570-AY1570</f>
        <v>-0.22914541654485321</v>
      </c>
      <c r="BB1570" s="62">
        <f t="shared" ref="BB1570:BB1595" si="33">IF(BF1570=0.5,100,IF(BF1570&gt;0.5,-ROUND(100*BF1570/(1-BF1570),0),ROUND(100*(1-BF1570)/BF1570,0)))</f>
        <v>125</v>
      </c>
      <c r="BC1570" s="21">
        <f t="shared" ref="BC1570:BC1595" si="34">IF(BG1570=0.5,100,IF(BG1570&gt;0.5,-ROUND(100*BG1570/(1-BG1570),0),ROUND(100*(1-BG1570)/BG1570,0)))</f>
        <v>-137</v>
      </c>
      <c r="BD1570" s="21">
        <f t="shared" ref="BD1570:BD1595" si="35">IF(BH1570=0.5,100,IF(BH1570&gt;0.5,-ROUND(100*BH1570/(1-BH1570),0),ROUND(100*(1-BH1570)/BH1570,0)))</f>
        <v>-110</v>
      </c>
      <c r="BE1570" s="21">
        <f t="shared" ref="BE1570:BE1595" si="36">IF(BI1570=0.5,100,IF(BI1570&gt;0.5,-ROUND(100*BI1570/(1-BI1570),0),ROUND(100*(1-BI1570)/BI1570,0)))</f>
        <v>115</v>
      </c>
      <c r="BF1570" s="94">
        <f t="shared" ref="BF1570" si="37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IF(AT1570&gt;AT1571, 1-_xlpm.interp, _xlpm.interp)
)</f>
        <v>0.44383915562643328</v>
      </c>
      <c r="BG1570" s="22">
        <f t="shared" ref="BG1570:BI1594" si="38">1-BG1571</f>
        <v>0.57849601376167126</v>
      </c>
      <c r="BH1570" s="22">
        <f t="shared" si="38"/>
        <v>0.52426400474131296</v>
      </c>
      <c r="BI1570" s="22">
        <f t="shared" si="38"/>
        <v>0.46450123659787046</v>
      </c>
      <c r="BJ1570" s="21">
        <f t="shared" ref="BJ1570:BJ1595" si="39">IF(BN1570=0.5,100,IF(BN1570&gt;0.5,-ROUND(100*BN1570/(1-BN1570),0),ROUND(100*(1-BN1570)/BN1570,0)))</f>
        <v>123</v>
      </c>
      <c r="BK1570" s="21">
        <f t="shared" ref="BK1570:BK1595" si="40">IF(BO1570=0.5,100,IF(BO1570&gt;0.5,-ROUND(100*BO1570/(1-BO1570),0),ROUND(100*(1-BO1570)/BO1570,0)))</f>
        <v>-137</v>
      </c>
      <c r="BL1570" s="21">
        <f t="shared" ref="BL1570:BL1595" si="41">IF(BP1570=0.5,100,IF(BP1570&gt;0.5,-ROUND(100*BP1570/(1-BP1570),0),ROUND(100*(1-BP1570)/BP1570,0)))</f>
        <v>-110</v>
      </c>
      <c r="BM1570" s="21">
        <f t="shared" ref="BM1570:BM1595" si="42">IF(BQ1570=0.5,100,IF(BQ1570&gt;0.5,-ROUND(100*BQ1570/(1-BQ1570),0),ROUND(100*(1-BQ1570)/BQ1570,0)))</f>
        <v>115</v>
      </c>
      <c r="BN1570" s="22">
        <f t="shared" ref="BN1570" si="4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IF(AV1570&gt;AV1571, 1-_xlpm.interp, _xlpm.interp)
)</f>
        <v>0.44828230745094449</v>
      </c>
      <c r="BO1570" s="22">
        <f t="shared" ref="BO1570:BQ1594" si="44">1-BO1571</f>
        <v>0.57848942452316598</v>
      </c>
      <c r="BP1570" s="22">
        <f t="shared" si="44"/>
        <v>0.52452847046132389</v>
      </c>
      <c r="BQ1570" s="22">
        <f t="shared" si="44"/>
        <v>0.4650060792087829</v>
      </c>
      <c r="BR1570">
        <v>3.65</v>
      </c>
      <c r="BS1570">
        <v>4.75</v>
      </c>
      <c r="BT1570">
        <v>0.35181000000000001</v>
      </c>
      <c r="BU1570">
        <v>0.15490000000000001</v>
      </c>
      <c r="BV1570">
        <v>0.16755546421192599</v>
      </c>
      <c r="BW1570">
        <v>0.23043</v>
      </c>
    </row>
    <row r="1571" spans="1:75" ht="16.75" customHeight="1" x14ac:dyDescent="0.2">
      <c r="A1571" t="str">
        <f t="shared" si="11"/>
        <v>2025020754 BUF</v>
      </c>
      <c r="B1571">
        <v>2025020754</v>
      </c>
      <c r="C1571" s="1">
        <v>46039</v>
      </c>
      <c r="D1571" s="2" t="s">
        <v>9</v>
      </c>
      <c r="E1571" t="s">
        <v>5</v>
      </c>
      <c r="F1571" s="2">
        <v>1</v>
      </c>
      <c r="G1571" s="2">
        <v>1</v>
      </c>
      <c r="H1571" t="s">
        <v>47</v>
      </c>
      <c r="I1571" t="str">
        <f t="shared" si="12"/>
        <v>BUF Ukko-Pekka Luukkonen</v>
      </c>
      <c r="J1571" s="33" t="s">
        <v>225</v>
      </c>
      <c r="K1571" s="14">
        <v>2.96</v>
      </c>
      <c r="L1571" s="13">
        <v>0.15</v>
      </c>
      <c r="M1571" s="28">
        <v>0.1</v>
      </c>
      <c r="N1571">
        <f>IFERROR(_xlfn.XLOOKUP(A1571,Params!A:A,Params!D:D),0)</f>
        <v>3.0999999999999899</v>
      </c>
      <c r="O1571">
        <f t="shared" ref="O1571" si="45">N1570</f>
        <v>2.9999999999999898</v>
      </c>
      <c r="P1571" s="68">
        <f t="shared" si="14"/>
        <v>3.0999999999999899</v>
      </c>
      <c r="Q1571">
        <f t="shared" ref="Q1571" si="46">P1570</f>
        <v>2.9999999999999898</v>
      </c>
      <c r="R1571" s="5">
        <f t="shared" ref="R1571" si="47">N1571/W1571/X1571/Z1570/AB1570/AA1571</f>
        <v>3.0097250132825537</v>
      </c>
      <c r="S1571" s="5">
        <f t="shared" ref="S1571" si="48">O1571/W1570/Y1571/Z1571/AA1570/AB1571</f>
        <v>3.1090740784504423</v>
      </c>
      <c r="T1571" s="5">
        <f t="shared" ref="T1571" si="49">P1571/W1571/X1571/Z1570/AB1570</f>
        <v>2.9495305130169025</v>
      </c>
      <c r="U1571" s="5">
        <f t="shared" ref="U1571" si="50">Q1571/W1570/Y1571/Z1571/AA1570</f>
        <v>3.1401648192349465</v>
      </c>
      <c r="V1571" s="5">
        <f>_xlfn.XLOOKUP(H1571,'Rest - Home'!A:A,'Rest - Home'!B:B)</f>
        <v>1.048</v>
      </c>
      <c r="W1571" s="5">
        <f>_xlfn.XLOOKUP(H1571,'Rest - Home'!A:A,'Rest - Home'!C:C)</f>
        <v>1.0491546019013618</v>
      </c>
      <c r="X1571" s="5">
        <f t="shared" ref="X1571" si="51">AM1570/K1571</f>
        <v>0.97297297297297292</v>
      </c>
      <c r="Y1571" s="5">
        <f t="shared" ref="Y1571" si="52">AK1570/K1571</f>
        <v>1.0506756756756757</v>
      </c>
      <c r="Z1571" s="5">
        <f>IF(J1571="",1,(_xlfn.XLOOKUP(I1571,Goalies!B:B,Goalies!J:J)))</f>
        <v>1.0149999999999999</v>
      </c>
      <c r="AA1571" s="23">
        <v>0.98</v>
      </c>
      <c r="AB1571" s="23">
        <v>1.01</v>
      </c>
      <c r="AC1571" s="23">
        <f>_xlfn.XLOOKUP(E1571,'Game Adjustments'!A:A,'Game Adjustments'!B:B)</f>
        <v>1</v>
      </c>
      <c r="AD1571" s="23">
        <f>_xlfn.XLOOKUP(E1571,'Game Adjustments'!A:A,'Game Adjustments'!C:C)</f>
        <v>1</v>
      </c>
      <c r="AE1571" s="23">
        <f>IF(D1571="A",_xlfn.XLOOKUP(E1571,'Rest - Home'!F:F,'Rest - Home'!J:J),_xlfn.XLOOKUP(E1571,'Rest - Home'!F:F,'Rest - Home'!I:I))</f>
        <v>1</v>
      </c>
      <c r="AF1571" s="23">
        <f>IF(D1571="A",_xlfn.XLOOKUP(E1571,'Rest - Home'!F:F,'Rest - Home'!L:L),_xlfn.XLOOKUP(E1571,'Rest - Home'!F:F,'Rest - Home'!K:K))</f>
        <v>1</v>
      </c>
      <c r="AG1571" s="26">
        <v>1</v>
      </c>
      <c r="AH1571" s="26">
        <v>1</v>
      </c>
      <c r="AI1571" s="53" cm="1">
        <f t="array" ref="AI1571">MAX(IF($E$63:E1570=E1571,ROW($E$63:E1570)-MIN(ROW($E$63:E1570))+1))</f>
        <v>1479</v>
      </c>
      <c r="AJ1571" s="53" cm="1">
        <f t="array" ref="AJ1571">MAX(IF($I$105:I1570=I1571,ROW($I$105:I1570)-MIN(ROW($I$105:I1570))+1))</f>
        <v>1433</v>
      </c>
      <c r="AK1571" s="23">
        <f>IF(AI1571=0,_xlfn.XLOOKUP(E1571,'Starting GF'!A:A,'Starting GF'!B:B),INDEX($AL$63:$AL1571,AI1571))</f>
        <v>3.11</v>
      </c>
      <c r="AL1571" s="23">
        <v>3.08</v>
      </c>
      <c r="AM1571" s="23">
        <f>IF(AI1571=0,_xlfn.XLOOKUP(E1571,'Starting GF'!A:A,'Starting GF'!C:C),INDEX($AN$63:$AN1571,AI1571))</f>
        <v>3.0260546470022258</v>
      </c>
      <c r="AN1571" s="23">
        <v>3.05</v>
      </c>
      <c r="AO1571" s="23">
        <f>IF(AJ1571=0,_xlfn.XLOOKUP(I1571,Goalies!B:B,Goalies!I:I),INDEX($AP$105:$AP1571,AJ1571))</f>
        <v>3.1548932434417556</v>
      </c>
      <c r="AP1571" s="23">
        <f t="shared" si="23"/>
        <v>3.1550157853695722</v>
      </c>
      <c r="AQ1571" s="23">
        <f t="shared" si="24"/>
        <v>3.0714454667072588</v>
      </c>
      <c r="AR1571" s="66">
        <v>0.02</v>
      </c>
      <c r="AS1571" s="96" t="s">
        <v>1592</v>
      </c>
      <c r="AT1571" s="20">
        <f t="shared" ref="AT1571" si="53">(AK1571*V1571*X1571*Z1570*AA1571*AB1570*AC1571*AD1570*AG1571*AH1570)+AR1571</f>
        <v>3.2197574430443243</v>
      </c>
      <c r="AU1571" s="20">
        <f t="shared" ref="AU1571" si="54">AT1570</f>
        <v>2.890612026499471</v>
      </c>
      <c r="AV1571" s="12">
        <f t="shared" ref="AV1571" si="55">AK1571*W1571*X1571*Z1570*AA1571*AB1570</f>
        <v>3.2032826778035179</v>
      </c>
      <c r="AW1571" s="12">
        <f t="shared" ref="AW1571" si="56">AV1570</f>
        <v>2.910612026499471</v>
      </c>
      <c r="AX1571" s="8">
        <f t="shared" si="29"/>
        <v>0.11975744304433444</v>
      </c>
      <c r="AY1571" s="8">
        <f t="shared" si="30"/>
        <v>-0.10938797350051876</v>
      </c>
      <c r="AZ1571" s="8">
        <f t="shared" si="31"/>
        <v>1.0369469543815679E-2</v>
      </c>
      <c r="BA1571" s="8">
        <f t="shared" si="32"/>
        <v>0.22914541654485321</v>
      </c>
      <c r="BB1571" s="62">
        <f t="shared" si="33"/>
        <v>-125</v>
      </c>
      <c r="BC1571" s="21">
        <f t="shared" si="34"/>
        <v>137</v>
      </c>
      <c r="BD1571" s="21">
        <f t="shared" si="35"/>
        <v>110</v>
      </c>
      <c r="BE1571" s="21">
        <f t="shared" si="36"/>
        <v>-115</v>
      </c>
      <c r="BF1571" s="94">
        <f t="shared" ref="BF1571:BF1665" si="57">1-BF1570</f>
        <v>0.55616084437356672</v>
      </c>
      <c r="BG1571" s="22">
        <f t="shared" ref="BG1571" si="58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0.42150398623832869</v>
      </c>
      <c r="BH1571" s="22">
        <f t="shared" ref="BH1571" si="59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0.47573599525868704</v>
      </c>
      <c r="BI1571" s="22">
        <f t="shared" ref="BI1571" si="60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0.53549876340212954</v>
      </c>
      <c r="BJ1571" s="21">
        <f t="shared" si="39"/>
        <v>-123</v>
      </c>
      <c r="BK1571" s="21">
        <f t="shared" si="40"/>
        <v>137</v>
      </c>
      <c r="BL1571" s="21">
        <f t="shared" si="41"/>
        <v>110</v>
      </c>
      <c r="BM1571" s="21">
        <f t="shared" si="42"/>
        <v>-115</v>
      </c>
      <c r="BN1571" s="22">
        <f t="shared" ref="BN1571:BN1665" si="61">1-BN1570</f>
        <v>0.55171769254905545</v>
      </c>
      <c r="BO1571" s="22">
        <f t="shared" ref="BO1571" si="62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0.42151057547683407</v>
      </c>
      <c r="BP1571" s="22">
        <f t="shared" ref="BP1571" si="6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0.47547152953867611</v>
      </c>
      <c r="BQ1571" s="22">
        <f t="shared" ref="BQ1571" si="64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0.5349939207912171</v>
      </c>
      <c r="BR1571">
        <v>3.65</v>
      </c>
      <c r="BS1571">
        <v>4.8</v>
      </c>
      <c r="BT1571">
        <v>0.34822999999999998</v>
      </c>
      <c r="BU1571">
        <v>0.14893000000000001</v>
      </c>
      <c r="BV1571">
        <v>0.16096886112341999</v>
      </c>
      <c r="BW1571">
        <v>0.22372</v>
      </c>
    </row>
    <row r="1572" spans="1:75" ht="16.75" customHeight="1" x14ac:dyDescent="0.2">
      <c r="A1572" t="str">
        <f t="shared" si="11"/>
        <v>2025020755 NYR</v>
      </c>
      <c r="B1572">
        <v>2025020755</v>
      </c>
      <c r="C1572" s="1">
        <v>46039</v>
      </c>
      <c r="D1572" s="2" t="s">
        <v>6</v>
      </c>
      <c r="E1572" t="s">
        <v>20</v>
      </c>
      <c r="F1572" s="2">
        <v>2</v>
      </c>
      <c r="G1572" s="2">
        <v>1</v>
      </c>
      <c r="H1572" t="s">
        <v>44</v>
      </c>
      <c r="I1572" t="str">
        <f t="shared" si="12"/>
        <v>NYR Spencer Martin</v>
      </c>
      <c r="J1572" s="33" t="s">
        <v>1169</v>
      </c>
      <c r="K1572" s="14">
        <v>2.96</v>
      </c>
      <c r="L1572" s="13">
        <v>0.15</v>
      </c>
      <c r="M1572" s="28">
        <v>0.1</v>
      </c>
      <c r="N1572">
        <f>IFERROR(_xlfn.XLOOKUP(A1572,Params!A:A,Params!D:D),0)</f>
        <v>3.0999999999999899</v>
      </c>
      <c r="O1572">
        <f t="shared" ref="O1572" si="65">N1573</f>
        <v>3.2499999999999898</v>
      </c>
      <c r="P1572" s="68">
        <f t="shared" si="14"/>
        <v>3.0999999999999899</v>
      </c>
      <c r="Q1572">
        <f t="shared" ref="Q1572" si="66">P1573</f>
        <v>3.2499999999999898</v>
      </c>
      <c r="R1572" s="5">
        <f t="shared" ref="R1572" si="67">N1572/W1572/X1572/Z1573/AB1573/AA1572</f>
        <v>2.9580684702128441</v>
      </c>
      <c r="S1572" s="5">
        <f t="shared" ref="S1572" si="68">O1572/W1573/Y1572/Z1572/AA1573/AB1572</f>
        <v>3.0975770288099875</v>
      </c>
      <c r="T1572" s="5">
        <f t="shared" ref="T1572" si="69">P1572/W1572/X1572/Z1573/AB1573</f>
        <v>2.9284877855107156</v>
      </c>
      <c r="U1572" s="5">
        <f t="shared" ref="U1572" si="70">Q1572/W1573/Y1572/Z1572/AA1573</f>
        <v>3.1905043396742871</v>
      </c>
      <c r="V1572" s="5">
        <f>_xlfn.XLOOKUP(H1572,'Rest - Home'!A:A,'Rest - Home'!B:B)</f>
        <v>0.96</v>
      </c>
      <c r="W1572" s="5">
        <f>_xlfn.XLOOKUP(H1572,'Rest - Home'!A:A,'Rest - Home'!C:C)</f>
        <v>0.96305398776725637</v>
      </c>
      <c r="X1572" s="5">
        <f t="shared" ref="X1572" si="71">AM1573/K1572</f>
        <v>1.0067567567567568</v>
      </c>
      <c r="Y1572" s="5">
        <f t="shared" ref="Y1572" si="72">AK1573/K1572</f>
        <v>0.94932432432432434</v>
      </c>
      <c r="Z1572" s="5">
        <f>IF(J1572="",1,(_xlfn.XLOOKUP(I1572,Goalies!B:B,Goalies!J:J)))</f>
        <v>1.06</v>
      </c>
      <c r="AA1572" s="23">
        <v>0.99</v>
      </c>
      <c r="AB1572" s="23">
        <v>1.03</v>
      </c>
      <c r="AC1572" s="23">
        <f>_xlfn.XLOOKUP(E1572,'Game Adjustments'!A:A,'Game Adjustments'!B:B)</f>
        <v>1</v>
      </c>
      <c r="AD1572" s="23">
        <f>_xlfn.XLOOKUP(E1572,'Game Adjustments'!A:A,'Game Adjustments'!C:C)</f>
        <v>1</v>
      </c>
      <c r="AE1572" s="23">
        <f>IF(D1572="A",_xlfn.XLOOKUP(E1572,'Rest - Home'!F:F,'Rest - Home'!J:J),_xlfn.XLOOKUP(E1572,'Rest - Home'!F:F,'Rest - Home'!I:I))</f>
        <v>1</v>
      </c>
      <c r="AF1572" s="23">
        <f>IF(D1572="A",_xlfn.XLOOKUP(E1572,'Rest - Home'!F:F,'Rest - Home'!L:L),_xlfn.XLOOKUP(E1572,'Rest - Home'!F:F,'Rest - Home'!K:K))</f>
        <v>1</v>
      </c>
      <c r="AG1572" s="26">
        <v>1</v>
      </c>
      <c r="AH1572" s="26">
        <v>1</v>
      </c>
      <c r="AI1572" s="53" cm="1">
        <f t="array" ref="AI1572">MAX(IF($E$63:E1571=E1572,ROW($E$63:E1571)-MIN(ROW($E$63:E1571))+1))</f>
        <v>1473</v>
      </c>
      <c r="AJ1572" s="53" cm="1">
        <f t="array" ref="AJ1572">MAX(IF($I$105:I1571=I1572,ROW($I$105:I1571)-MIN(ROW($I$105:I1571))+1))</f>
        <v>0</v>
      </c>
      <c r="AK1572" s="23">
        <f>IF(AI1572=0,_xlfn.XLOOKUP(E1572,'Starting GF'!A:A,'Starting GF'!B:B),INDEX($AL$63:$AL1572,AI1572))</f>
        <v>2.76</v>
      </c>
      <c r="AL1572" s="23">
        <f t="shared" ref="AL1572:AL1595" si="73">IF(R1572=0,AK1572,R1572*L1572*(1-M1572)+T1572*L1572*M1572+AK1572*(1-L1572))</f>
        <v>2.7892665602613942</v>
      </c>
      <c r="AM1572" s="23">
        <f>IF(AI1572=0,_xlfn.XLOOKUP(E1572,'Starting GF'!A:A,'Starting GF'!C:C),INDEX($AN$63:$AN1572,AI1572))</f>
        <v>2.97</v>
      </c>
      <c r="AN1572" s="23">
        <v>2.99</v>
      </c>
      <c r="AO1572" s="23">
        <f>IF(AJ1572=0,_xlfn.XLOOKUP(I1572,Goalies!B:B,Goalies!I:I),INDEX($AP$105:$AP1572,AJ1572))</f>
        <v>3.2656699029126224</v>
      </c>
      <c r="AP1572" s="23">
        <f t="shared" si="23"/>
        <v>3.2683341650565167</v>
      </c>
      <c r="AQ1572" s="23">
        <f t="shared" si="24"/>
        <v>3.1482000000000006</v>
      </c>
      <c r="AR1572" s="66">
        <v>-0.08</v>
      </c>
      <c r="AS1572" s="96" t="s">
        <v>1594</v>
      </c>
      <c r="AT1572" s="20">
        <f t="shared" ref="AT1572" si="74">(AK1572*V1572*X1572*Z1573*AA1572*AB1573*AC1572*AD1573*AG1572*AH1573)+AR1572</f>
        <v>2.8032556563027029</v>
      </c>
      <c r="AU1572" s="20">
        <f t="shared" ref="AU1572" si="75">AT1573</f>
        <v>3.2023427379114877</v>
      </c>
      <c r="AV1572" s="12">
        <f t="shared" ref="AV1572" si="76">AK1572*V1572*X1572*Z1573*AA1572*AB1573</f>
        <v>2.883255656302703</v>
      </c>
      <c r="AW1572" s="12">
        <f t="shared" ref="AW1572" si="77">AV1573</f>
        <v>3.1161452678089563</v>
      </c>
      <c r="AX1572" s="8">
        <f t="shared" si="29"/>
        <v>-0.29674434369728697</v>
      </c>
      <c r="AY1572" s="8">
        <f t="shared" si="30"/>
        <v>-4.7657262088502073E-2</v>
      </c>
      <c r="AZ1572" s="8">
        <f t="shared" si="31"/>
        <v>-0.34440160578578904</v>
      </c>
      <c r="BA1572" s="8">
        <f t="shared" si="32"/>
        <v>-0.2490870816087849</v>
      </c>
      <c r="BB1572" s="62">
        <f t="shared" si="33"/>
        <v>130</v>
      </c>
      <c r="BC1572" s="21">
        <f t="shared" si="34"/>
        <v>-128</v>
      </c>
      <c r="BD1572" s="21">
        <f t="shared" si="35"/>
        <v>-102</v>
      </c>
      <c r="BE1572" s="21">
        <f t="shared" si="36"/>
        <v>124</v>
      </c>
      <c r="BF1572" s="94">
        <f t="shared" ref="BF1572" si="78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IF(AT1572&gt;AT1573, 1-_xlpm.interp, _xlpm.interp)
)</f>
        <v>0.43537603496436805</v>
      </c>
      <c r="BG1572" s="22">
        <f t="shared" si="38"/>
        <v>0.56091521057964511</v>
      </c>
      <c r="BH1572" s="22">
        <f t="shared" si="38"/>
        <v>0.50416219294444964</v>
      </c>
      <c r="BI1572" s="22">
        <f t="shared" si="38"/>
        <v>0.44645888027932334</v>
      </c>
      <c r="BJ1572" s="21">
        <f t="shared" si="39"/>
        <v>118</v>
      </c>
      <c r="BK1572" s="21">
        <f t="shared" si="40"/>
        <v>-128</v>
      </c>
      <c r="BL1572" s="21">
        <f t="shared" si="41"/>
        <v>-102</v>
      </c>
      <c r="BM1572" s="21">
        <f t="shared" si="42"/>
        <v>124</v>
      </c>
      <c r="BN1572" s="22">
        <f t="shared" ref="BN1572" si="79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IF(AV1572&gt;AV1573, 1-_xlpm.interp, _xlpm.interp)
)</f>
        <v>0.45864015632692001</v>
      </c>
      <c r="BO1572" s="22">
        <f t="shared" si="44"/>
        <v>0.56194769604618533</v>
      </c>
      <c r="BP1572" s="22">
        <f t="shared" si="44"/>
        <v>0.50508215525648459</v>
      </c>
      <c r="BQ1572" s="22">
        <f t="shared" si="44"/>
        <v>0.44705234695085849</v>
      </c>
      <c r="BR1572">
        <v>3.65</v>
      </c>
      <c r="BS1572">
        <v>4.8499999999999996</v>
      </c>
      <c r="BT1572">
        <v>0.34194000000000002</v>
      </c>
      <c r="BU1572">
        <v>0.14771999999999999</v>
      </c>
      <c r="BV1572">
        <v>0.15977156948635499</v>
      </c>
      <c r="BW1572">
        <v>0.22314999999999999</v>
      </c>
    </row>
    <row r="1573" spans="1:75" ht="16.75" customHeight="1" x14ac:dyDescent="0.2">
      <c r="A1573" t="str">
        <f t="shared" si="11"/>
        <v>2025020755 PHI</v>
      </c>
      <c r="B1573">
        <v>2025020755</v>
      </c>
      <c r="C1573" s="1">
        <v>46039</v>
      </c>
      <c r="D1573" s="2" t="s">
        <v>9</v>
      </c>
      <c r="E1573" t="s">
        <v>43</v>
      </c>
      <c r="F1573" s="2">
        <v>1</v>
      </c>
      <c r="G1573" s="2">
        <v>2</v>
      </c>
      <c r="H1573" t="s">
        <v>45</v>
      </c>
      <c r="I1573" t="str">
        <f t="shared" si="12"/>
        <v>PHI Aleksei Kolosov</v>
      </c>
      <c r="J1573" s="33" t="s">
        <v>691</v>
      </c>
      <c r="K1573" s="14">
        <v>2.96</v>
      </c>
      <c r="L1573" s="13">
        <v>0.15</v>
      </c>
      <c r="M1573" s="28">
        <v>0.1</v>
      </c>
      <c r="N1573">
        <f>IFERROR(_xlfn.XLOOKUP(A1573,Params!A:A,Params!D:D),0)</f>
        <v>3.2499999999999898</v>
      </c>
      <c r="O1573">
        <f t="shared" ref="O1573" si="80">N1572</f>
        <v>3.0999999999999899</v>
      </c>
      <c r="P1573" s="68">
        <f t="shared" si="14"/>
        <v>3.2499999999999898</v>
      </c>
      <c r="Q1573">
        <f t="shared" ref="Q1573" si="81">P1572</f>
        <v>3.0999999999999899</v>
      </c>
      <c r="R1573" s="5">
        <f t="shared" ref="R1573" si="82">N1573/W1573/X1573/Z1572/AB1572/AA1573</f>
        <v>2.930704192241099</v>
      </c>
      <c r="S1573" s="5">
        <f t="shared" ref="S1573" si="83">O1573/W1572/Y1573/Z1573/AA1572/AB1573</f>
        <v>3.1938565366790859</v>
      </c>
      <c r="T1573" s="5">
        <f t="shared" ref="T1573" si="84">P1573/W1573/X1573/Z1572/AB1572</f>
        <v>2.8720901083962769</v>
      </c>
      <c r="U1573" s="5">
        <f t="shared" ref="U1573" si="85">Q1573/W1572/Y1573/Z1573/AA1572</f>
        <v>3.2896722327794583</v>
      </c>
      <c r="V1573" s="5">
        <f>_xlfn.XLOOKUP(H1573,'Rest - Home'!A:A,'Rest - Home'!B:B)</f>
        <v>1.0349999999999999</v>
      </c>
      <c r="W1573" s="5">
        <f>_xlfn.XLOOKUP(H1573,'Rest - Home'!A:A,'Rest - Home'!C:C)</f>
        <v>1.0329456510400874</v>
      </c>
      <c r="X1573" s="5">
        <f t="shared" ref="X1573" si="86">AM1572/K1573</f>
        <v>1.0033783783783785</v>
      </c>
      <c r="Y1573" s="5">
        <f t="shared" ref="Y1573" si="87">AK1572/K1573</f>
        <v>0.93243243243243235</v>
      </c>
      <c r="Z1573" s="5">
        <f>IF(J1573="",1,(_xlfn.XLOOKUP(I1573,Goalies!B:B,Goalies!J:J)))</f>
        <v>1.06</v>
      </c>
      <c r="AA1573" s="23">
        <v>0.98</v>
      </c>
      <c r="AB1573" s="23">
        <v>1.03</v>
      </c>
      <c r="AC1573" s="23">
        <f>_xlfn.XLOOKUP(E1573,'Game Adjustments'!A:A,'Game Adjustments'!B:B)</f>
        <v>1</v>
      </c>
      <c r="AD1573" s="23">
        <f>_xlfn.XLOOKUP(E1573,'Game Adjustments'!A:A,'Game Adjustments'!C:C)</f>
        <v>1</v>
      </c>
      <c r="AE1573" s="23">
        <f>IF(D1573="A",_xlfn.XLOOKUP(E1573,'Rest - Home'!F:F,'Rest - Home'!J:J),_xlfn.XLOOKUP(E1573,'Rest - Home'!F:F,'Rest - Home'!I:I))</f>
        <v>1</v>
      </c>
      <c r="AF1573" s="23">
        <f>IF(D1573="A",_xlfn.XLOOKUP(E1573,'Rest - Home'!F:F,'Rest - Home'!L:L),_xlfn.XLOOKUP(E1573,'Rest - Home'!F:F,'Rest - Home'!K:K))</f>
        <v>1</v>
      </c>
      <c r="AG1573" s="26">
        <v>1</v>
      </c>
      <c r="AH1573" s="26">
        <v>1</v>
      </c>
      <c r="AI1573" s="53" cm="1">
        <f t="array" ref="AI1573">MAX(IF($E$63:E1572=E1573,ROW($E$63:E1572)-MIN(ROW($E$63:E1572))+1))</f>
        <v>1480</v>
      </c>
      <c r="AJ1573" s="53" cm="1">
        <f t="array" ref="AJ1573">MAX(IF($I$105:I1572=I1573,ROW($I$105:I1572)-MIN(ROW($I$105:I1572))+1))</f>
        <v>351</v>
      </c>
      <c r="AK1573" s="23">
        <f>IF(AI1573=0,_xlfn.XLOOKUP(E1573,'Starting GF'!A:A,'Starting GF'!B:B),INDEX($AL$63:$AL1573,AI1573))</f>
        <v>2.81</v>
      </c>
      <c r="AL1573" s="23">
        <v>2.81</v>
      </c>
      <c r="AM1573" s="23">
        <f>IF(AI1573=0,_xlfn.XLOOKUP(E1573,'Starting GF'!A:A,'Starting GF'!C:C),INDEX($AN$63:$AN1573,AI1573))</f>
        <v>2.98</v>
      </c>
      <c r="AN1573" s="23">
        <f t="shared" si="22"/>
        <v>3.012078480501863</v>
      </c>
      <c r="AO1573" s="23">
        <f>IF(AJ1573=0,_xlfn.XLOOKUP(I1573,Goalies!B:B,Goalies!I:I),INDEX($AP$105:$AP1573,AJ1573))</f>
        <v>3.1765043159269353</v>
      </c>
      <c r="AP1573" s="23">
        <f t="shared" si="23"/>
        <v>3.2078518578698696</v>
      </c>
      <c r="AQ1573" s="23">
        <f t="shared" si="24"/>
        <v>3.1588000000000003</v>
      </c>
      <c r="AR1573" s="66">
        <v>0.08</v>
      </c>
      <c r="AS1573" s="96" t="s">
        <v>1594</v>
      </c>
      <c r="AT1573" s="20">
        <f t="shared" ref="AT1573" si="88">(AK1573*V1573*X1573*Z1572*AA1573*AB1572*AC1573*AD1572*AG1573*AH1572)+AR1573</f>
        <v>3.2023427379114877</v>
      </c>
      <c r="AU1573" s="20">
        <f t="shared" ref="AU1573" si="89">AT1572</f>
        <v>2.8032556563027029</v>
      </c>
      <c r="AV1573" s="12">
        <f t="shared" ref="AV1573" si="90">AK1573*W1573*X1573*Z1572*AA1573*AB1572</f>
        <v>3.1161452678089563</v>
      </c>
      <c r="AW1573" s="12">
        <f t="shared" ref="AW1573" si="91">AV1572</f>
        <v>2.883255656302703</v>
      </c>
      <c r="AX1573" s="8">
        <f t="shared" si="29"/>
        <v>-4.7657262088502073E-2</v>
      </c>
      <c r="AY1573" s="8">
        <f t="shared" si="30"/>
        <v>-0.29674434369728697</v>
      </c>
      <c r="AZ1573" s="8">
        <f t="shared" si="31"/>
        <v>-0.34440160578578904</v>
      </c>
      <c r="BA1573" s="8">
        <f t="shared" si="32"/>
        <v>0.2490870816087849</v>
      </c>
      <c r="BB1573" s="62">
        <f t="shared" si="33"/>
        <v>-130</v>
      </c>
      <c r="BC1573" s="21">
        <f t="shared" si="34"/>
        <v>128</v>
      </c>
      <c r="BD1573" s="21">
        <f t="shared" si="35"/>
        <v>102</v>
      </c>
      <c r="BE1573" s="21">
        <f t="shared" si="36"/>
        <v>-124</v>
      </c>
      <c r="BF1573" s="94">
        <f t="shared" si="57"/>
        <v>0.56462396503563195</v>
      </c>
      <c r="BG1573" s="22">
        <f t="shared" ref="BG1573" si="92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0.43908478942035484</v>
      </c>
      <c r="BH1573" s="22">
        <f t="shared" ref="BH1573" si="93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0.49583780705555036</v>
      </c>
      <c r="BI1573" s="22">
        <f t="shared" ref="BI1573" si="94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0.55354111972067666</v>
      </c>
      <c r="BJ1573" s="21">
        <f t="shared" si="39"/>
        <v>-118</v>
      </c>
      <c r="BK1573" s="21">
        <f t="shared" si="40"/>
        <v>128</v>
      </c>
      <c r="BL1573" s="21">
        <f t="shared" si="41"/>
        <v>102</v>
      </c>
      <c r="BM1573" s="21">
        <f t="shared" si="42"/>
        <v>-124</v>
      </c>
      <c r="BN1573" s="22">
        <f t="shared" si="61"/>
        <v>0.54135984367307999</v>
      </c>
      <c r="BO1573" s="22">
        <f t="shared" ref="BO1573" si="95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0.43805230395381467</v>
      </c>
      <c r="BP1573" s="22">
        <f t="shared" ref="BP1573" si="96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0.49491784474351541</v>
      </c>
      <c r="BQ1573" s="22">
        <f t="shared" ref="BQ1573" si="97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0.55294765304914151</v>
      </c>
      <c r="BR1573">
        <v>3.65</v>
      </c>
      <c r="BS1573">
        <v>4.9000000000000004</v>
      </c>
      <c r="BT1573">
        <v>0.33402999999999999</v>
      </c>
      <c r="BU1573">
        <v>0.14252000000000001</v>
      </c>
      <c r="BV1573">
        <v>0.15371341055674101</v>
      </c>
      <c r="BW1573">
        <v>0.21534</v>
      </c>
    </row>
    <row r="1574" spans="1:75" ht="16.75" customHeight="1" x14ac:dyDescent="0.2">
      <c r="A1574" t="str">
        <f t="shared" si="11"/>
        <v>2025020756 NYI</v>
      </c>
      <c r="B1574">
        <v>2025020756</v>
      </c>
      <c r="C1574" s="1">
        <v>46039</v>
      </c>
      <c r="D1574" s="2" t="s">
        <v>6</v>
      </c>
      <c r="E1574" t="s">
        <v>37</v>
      </c>
      <c r="F1574" s="2">
        <v>1</v>
      </c>
      <c r="G1574" s="2">
        <v>1</v>
      </c>
      <c r="H1574" t="s">
        <v>46</v>
      </c>
      <c r="I1574" t="str">
        <f t="shared" si="12"/>
        <v>NYI David Rittich</v>
      </c>
      <c r="J1574" s="33" t="s">
        <v>176</v>
      </c>
      <c r="K1574" s="14">
        <v>2.96</v>
      </c>
      <c r="L1574" s="13">
        <v>0.15</v>
      </c>
      <c r="M1574" s="28">
        <v>0.1</v>
      </c>
      <c r="N1574">
        <f>IFERROR(_xlfn.XLOOKUP(A1574,Params!A:A,Params!D:D),0)</f>
        <v>2.8499999999999899</v>
      </c>
      <c r="O1574">
        <f t="shared" ref="O1574" si="98">N1575</f>
        <v>2.8999999999999901</v>
      </c>
      <c r="P1574" s="68">
        <f t="shared" si="14"/>
        <v>2.8499999999999899</v>
      </c>
      <c r="Q1574">
        <f t="shared" ref="Q1574" si="99">P1575</f>
        <v>2.8999999999999901</v>
      </c>
      <c r="R1574" s="5">
        <f t="shared" ref="R1574" si="100">N1574/W1574/X1574/Z1575/AB1575/AA1574</f>
        <v>2.9896028356376054</v>
      </c>
      <c r="S1574" s="5">
        <f t="shared" ref="S1574" si="101">O1574/W1575/Y1574/Z1574/AA1575/AB1574</f>
        <v>2.7966619332354199</v>
      </c>
      <c r="T1574" s="5">
        <f t="shared" ref="T1574" si="102">P1574/W1574/X1574/Z1575/AB1575</f>
        <v>2.8102266654993491</v>
      </c>
      <c r="U1574" s="5">
        <f t="shared" ref="U1574" si="103">Q1574/W1575/Y1574/Z1574/AA1575</f>
        <v>2.8246285525677743</v>
      </c>
      <c r="V1574" s="5">
        <f>_xlfn.XLOOKUP(H1574,'Rest - Home'!A:A,'Rest - Home'!B:B)</f>
        <v>0.95</v>
      </c>
      <c r="W1574" s="5">
        <f>_xlfn.XLOOKUP(H1574,'Rest - Home'!A:A,'Rest - Home'!C:C)</f>
        <v>0.95302926576458757</v>
      </c>
      <c r="X1574" s="5">
        <f t="shared" ref="X1574" si="104">AM1575/K1574</f>
        <v>1.0803414567527405</v>
      </c>
      <c r="Y1574" s="5">
        <f t="shared" ref="Y1574" si="105">AK1575/K1574</f>
        <v>0.94203105978948032</v>
      </c>
      <c r="Z1574" s="5">
        <f>IF(J1574="",1,(_xlfn.XLOOKUP(I1574,Goalies!B:B,Goalies!J:J)))</f>
        <v>1.06</v>
      </c>
      <c r="AA1574" s="23">
        <v>0.94</v>
      </c>
      <c r="AB1574" s="23">
        <v>1.01</v>
      </c>
      <c r="AC1574" s="23">
        <f>_xlfn.XLOOKUP(E1574,'Game Adjustments'!A:A,'Game Adjustments'!B:B)</f>
        <v>1</v>
      </c>
      <c r="AD1574" s="23">
        <f>_xlfn.XLOOKUP(E1574,'Game Adjustments'!A:A,'Game Adjustments'!C:C)</f>
        <v>1</v>
      </c>
      <c r="AE1574" s="23">
        <f>IF(D1574="A",_xlfn.XLOOKUP(E1574,'Rest - Home'!F:F,'Rest - Home'!J:J),_xlfn.XLOOKUP(E1574,'Rest - Home'!F:F,'Rest - Home'!I:I))</f>
        <v>1</v>
      </c>
      <c r="AF1574" s="23">
        <f>IF(D1574="A",_xlfn.XLOOKUP(E1574,'Rest - Home'!F:F,'Rest - Home'!L:L),_xlfn.XLOOKUP(E1574,'Rest - Home'!F:F,'Rest - Home'!K:K))</f>
        <v>1</v>
      </c>
      <c r="AG1574" s="26">
        <v>1</v>
      </c>
      <c r="AH1574" s="26">
        <v>1</v>
      </c>
      <c r="AI1574" s="53" cm="1">
        <f t="array" ref="AI1574">MAX(IF($E$63:E1573=E1574,ROW($E$63:E1573)-MIN(ROW($E$63:E1573))+1))</f>
        <v>1494</v>
      </c>
      <c r="AJ1574" s="53" cm="1">
        <f t="array" ref="AJ1574">MAX(IF($I$105:I1573=I1574,ROW($I$105:I1573)-MIN(ROW($I$105:I1573))+1))</f>
        <v>1338</v>
      </c>
      <c r="AK1574" s="23">
        <f>IF(AI1574=0,_xlfn.XLOOKUP(E1574,'Starting GF'!A:A,'Starting GF'!B:B),INDEX($AL$63:$AL1574,AI1574))</f>
        <v>2.85</v>
      </c>
      <c r="AL1574" s="23">
        <v>2.88</v>
      </c>
      <c r="AM1574" s="23">
        <f>IF(AI1574=0,_xlfn.XLOOKUP(E1574,'Starting GF'!A:A,'Starting GF'!C:C),INDEX($AN$63:$AN1574,AI1574))</f>
        <v>2.97</v>
      </c>
      <c r="AN1574" s="23">
        <v>2.95</v>
      </c>
      <c r="AO1574" s="23">
        <f>IF(AJ1574=0,_xlfn.XLOOKUP(I1574,Goalies!B:B,Goalies!I:I),INDEX($AP$105:$AP1574,AJ1574))</f>
        <v>3.1715685268377944</v>
      </c>
      <c r="AP1574" s="23">
        <f t="shared" si="23"/>
        <v>3.1405024951965572</v>
      </c>
      <c r="AQ1574" s="23">
        <f t="shared" si="24"/>
        <v>3.1482000000000006</v>
      </c>
      <c r="AR1574" s="66">
        <v>0.05</v>
      </c>
      <c r="AS1574" s="96" t="s">
        <v>1594</v>
      </c>
      <c r="AT1574" s="20">
        <f t="shared" ref="AT1574" si="106">(AK1574*V1574*X1574*Z1575*AA1574*AB1575*AC1574*AD1575*AG1574*AH1575)+AR1574</f>
        <v>2.7582801791409333</v>
      </c>
      <c r="AU1574" s="20">
        <f t="shared" ref="AU1574" si="107">AT1575</f>
        <v>3.0263537171365509</v>
      </c>
      <c r="AV1574" s="12">
        <f t="shared" ref="AV1574" si="108">AK1574*V1574*X1574*Z1575*AA1574*AB1575</f>
        <v>2.7082801791409334</v>
      </c>
      <c r="AW1574" s="12">
        <f t="shared" ref="AW1574" si="109">AV1575</f>
        <v>3.0797429956203937</v>
      </c>
      <c r="AX1574" s="8">
        <f t="shared" si="29"/>
        <v>-9.1719820859056611E-2</v>
      </c>
      <c r="AY1574" s="8">
        <f t="shared" si="30"/>
        <v>0.12635371713656074</v>
      </c>
      <c r="AZ1574" s="8">
        <f t="shared" si="31"/>
        <v>3.4633896277504128E-2</v>
      </c>
      <c r="BA1574" s="8">
        <f t="shared" si="32"/>
        <v>-0.21807353799561735</v>
      </c>
      <c r="BB1574" s="62">
        <f t="shared" si="33"/>
        <v>121</v>
      </c>
      <c r="BC1574" s="21">
        <f t="shared" si="34"/>
        <v>-111</v>
      </c>
      <c r="BD1574" s="21">
        <f t="shared" si="35"/>
        <v>115</v>
      </c>
      <c r="BE1574" s="21">
        <f t="shared" si="36"/>
        <v>142</v>
      </c>
      <c r="BF1574" s="94">
        <f t="shared" ref="BF1574" si="110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IF(AT1574&gt;AT1575, 1-_xlpm.interp, _xlpm.interp)
)</f>
        <v>0.45315461214582814</v>
      </c>
      <c r="BG1574" s="22">
        <f t="shared" si="38"/>
        <v>0.52659352634136747</v>
      </c>
      <c r="BH1574" s="22">
        <f t="shared" si="38"/>
        <v>0.46610880428029511</v>
      </c>
      <c r="BI1574" s="22">
        <f t="shared" si="38"/>
        <v>0.41330227076227222</v>
      </c>
      <c r="BJ1574" s="21">
        <f t="shared" si="39"/>
        <v>129</v>
      </c>
      <c r="BK1574" s="21">
        <f t="shared" si="40"/>
        <v>-112</v>
      </c>
      <c r="BL1574" s="21">
        <f t="shared" si="41"/>
        <v>114</v>
      </c>
      <c r="BM1574" s="21">
        <f t="shared" si="42"/>
        <v>141</v>
      </c>
      <c r="BN1574" s="22">
        <f t="shared" ref="BN1574" si="111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IF(AV1574&gt;AV1575, 1-_xlpm.interp, _xlpm.interp)
)</f>
        <v>0.4374993582669463</v>
      </c>
      <c r="BO1574" s="22">
        <f t="shared" si="44"/>
        <v>0.52757223569463907</v>
      </c>
      <c r="BP1574" s="22">
        <f t="shared" si="44"/>
        <v>0.46731910196364301</v>
      </c>
      <c r="BQ1574" s="22">
        <f t="shared" si="44"/>
        <v>0.41446124345512669</v>
      </c>
      <c r="BR1574">
        <v>3.65</v>
      </c>
      <c r="BS1574">
        <v>4.95</v>
      </c>
      <c r="BT1574">
        <v>0.32983000000000001</v>
      </c>
      <c r="BU1574">
        <v>0.13883999999999999</v>
      </c>
      <c r="BV1574">
        <v>0.14972662273938001</v>
      </c>
      <c r="BW1574">
        <v>0.21154999999999999</v>
      </c>
    </row>
    <row r="1575" spans="1:75" ht="16.75" customHeight="1" x14ac:dyDescent="0.2">
      <c r="A1575" t="str">
        <f t="shared" si="11"/>
        <v>2025020756 CGY</v>
      </c>
      <c r="B1575">
        <v>2025020756</v>
      </c>
      <c r="C1575" s="1">
        <v>46039</v>
      </c>
      <c r="D1575" s="2" t="s">
        <v>9</v>
      </c>
      <c r="E1575" t="s">
        <v>22</v>
      </c>
      <c r="F1575" s="2">
        <v>1</v>
      </c>
      <c r="G1575" s="2">
        <v>1</v>
      </c>
      <c r="H1575" t="s">
        <v>47</v>
      </c>
      <c r="I1575" t="str">
        <f t="shared" si="12"/>
        <v>CGY Dustin Wolf</v>
      </c>
      <c r="J1575" s="33" t="s">
        <v>151</v>
      </c>
      <c r="K1575" s="14">
        <v>2.96</v>
      </c>
      <c r="L1575" s="13">
        <v>0.15</v>
      </c>
      <c r="M1575" s="28">
        <v>0.1</v>
      </c>
      <c r="N1575">
        <f>IFERROR(_xlfn.XLOOKUP(A1575,Params!A:A,Params!D:D),0)</f>
        <v>2.8999999999999901</v>
      </c>
      <c r="O1575">
        <f t="shared" ref="O1575" si="112">N1574</f>
        <v>2.8499999999999899</v>
      </c>
      <c r="P1575" s="68">
        <f t="shared" si="14"/>
        <v>2.8999999999999901</v>
      </c>
      <c r="Q1575">
        <f t="shared" ref="Q1575" si="113">P1574</f>
        <v>2.8499999999999899</v>
      </c>
      <c r="R1575" s="5">
        <f t="shared" ref="R1575" si="114">N1575/W1575/X1575/Z1574/AB1574/AA1575</f>
        <v>2.625671891691054</v>
      </c>
      <c r="S1575" s="5">
        <f t="shared" ref="S1575" si="115">O1575/W1574/Y1575/Z1575/AA1574/AB1575</f>
        <v>3.3544505166287619</v>
      </c>
      <c r="T1575" s="5">
        <f t="shared" ref="T1575" si="116">P1575/W1575/X1575/Z1574/AB1574</f>
        <v>2.573158453857233</v>
      </c>
      <c r="U1575" s="5">
        <f t="shared" ref="U1575" si="117">Q1575/W1574/Y1575/Z1575/AA1574</f>
        <v>3.3544505166287619</v>
      </c>
      <c r="V1575" s="5">
        <f>_xlfn.XLOOKUP(H1575,'Rest - Home'!A:A,'Rest - Home'!B:B)</f>
        <v>1.048</v>
      </c>
      <c r="W1575" s="5">
        <f>_xlfn.XLOOKUP(H1575,'Rest - Home'!A:A,'Rest - Home'!C:C)</f>
        <v>1.0491546019013618</v>
      </c>
      <c r="X1575" s="5">
        <f t="shared" ref="X1575" si="118">AM1574/K1575</f>
        <v>1.0033783783783785</v>
      </c>
      <c r="Y1575" s="5">
        <f t="shared" ref="Y1575" si="119">AK1574/K1575</f>
        <v>0.96283783783783783</v>
      </c>
      <c r="Z1575" s="5">
        <f>IF(J1575="",1,(_xlfn.XLOOKUP(I1575,Goalies!B:B,Goalies!J:J)))</f>
        <v>0.98499999999999999</v>
      </c>
      <c r="AA1575" s="23">
        <v>0.98</v>
      </c>
      <c r="AB1575" s="23">
        <v>1</v>
      </c>
      <c r="AC1575" s="23">
        <f>_xlfn.XLOOKUP(E1575,'Game Adjustments'!A:A,'Game Adjustments'!B:B)</f>
        <v>1</v>
      </c>
      <c r="AD1575" s="23">
        <f>_xlfn.XLOOKUP(E1575,'Game Adjustments'!A:A,'Game Adjustments'!C:C)</f>
        <v>1</v>
      </c>
      <c r="AE1575" s="23">
        <f>IF(D1575="A",_xlfn.XLOOKUP(E1575,'Rest - Home'!F:F,'Rest - Home'!J:J),_xlfn.XLOOKUP(E1575,'Rest - Home'!F:F,'Rest - Home'!I:I))</f>
        <v>1</v>
      </c>
      <c r="AF1575" s="23">
        <f>IF(D1575="A",_xlfn.XLOOKUP(E1575,'Rest - Home'!F:F,'Rest - Home'!L:L),_xlfn.XLOOKUP(E1575,'Rest - Home'!F:F,'Rest - Home'!K:K))</f>
        <v>1</v>
      </c>
      <c r="AG1575" s="26">
        <v>1</v>
      </c>
      <c r="AH1575" s="26">
        <v>1</v>
      </c>
      <c r="AI1575" s="53" cm="1">
        <f t="array" ref="AI1575">MAX(IF($E$63:E1574=E1575,ROW($E$63:E1574)-MIN(ROW($E$63:E1574))+1))</f>
        <v>1490</v>
      </c>
      <c r="AJ1575" s="53" cm="1">
        <f t="array" ref="AJ1575">MAX(IF($I$105:I1574=I1575,ROW($I$105:I1574)-MIN(ROW($I$105:I1574))+1))</f>
        <v>1408</v>
      </c>
      <c r="AK1575" s="23">
        <f>IF(AI1575=0,_xlfn.XLOOKUP(E1575,'Starting GF'!A:A,'Starting GF'!B:B),INDEX($AL$63:$AL1575,AI1575))</f>
        <v>2.7884119369768618</v>
      </c>
      <c r="AL1575" s="23">
        <f t="shared" si="73"/>
        <v>2.7632132286164834</v>
      </c>
      <c r="AM1575" s="23">
        <f>IF(AI1575=0,_xlfn.XLOOKUP(E1575,'Starting GF'!A:A,'Starting GF'!C:C),INDEX($AN$63:$AN1575,AI1575))</f>
        <v>3.1978107119881121</v>
      </c>
      <c r="AN1575" s="23">
        <f t="shared" si="22"/>
        <v>3.2213066826842098</v>
      </c>
      <c r="AO1575" s="23">
        <f>IF(AJ1575=0,_xlfn.XLOOKUP(I1575,Goalies!B:B,Goalies!I:I),INDEX($AP$105:$AP1575,AJ1575))</f>
        <v>3.1458747965155003</v>
      </c>
      <c r="AP1575" s="23">
        <f t="shared" si="23"/>
        <v>3.1696136408700748</v>
      </c>
      <c r="AQ1575" s="23">
        <f t="shared" si="24"/>
        <v>3.1498435513082903</v>
      </c>
      <c r="AR1575" s="66">
        <v>-0.05</v>
      </c>
      <c r="AS1575" s="96" t="s">
        <v>1594</v>
      </c>
      <c r="AT1575" s="20">
        <f t="shared" ref="AT1575" si="120">(AK1575*V1575*X1575*Z1574*AA1575*AB1574*AC1575*AD1574*AG1575*AH1574)+AR1575</f>
        <v>3.0263537171365509</v>
      </c>
      <c r="AU1575" s="20">
        <f t="shared" ref="AU1575" si="121">AT1574</f>
        <v>2.7582801791409333</v>
      </c>
      <c r="AV1575" s="12">
        <f t="shared" ref="AV1575" si="122">AK1575*W1575*X1575*Z1574*AA1575*AB1574</f>
        <v>3.0797429956203937</v>
      </c>
      <c r="AW1575" s="12">
        <f t="shared" ref="AW1575" si="123">AV1574</f>
        <v>2.7082801791409334</v>
      </c>
      <c r="AX1575" s="8">
        <f t="shared" si="29"/>
        <v>0.12635371713656074</v>
      </c>
      <c r="AY1575" s="8">
        <f t="shared" si="30"/>
        <v>-9.1719820859056611E-2</v>
      </c>
      <c r="AZ1575" s="8">
        <f t="shared" si="31"/>
        <v>3.4633896277504128E-2</v>
      </c>
      <c r="BA1575" s="8">
        <f t="shared" si="32"/>
        <v>0.21807353799561735</v>
      </c>
      <c r="BB1575" s="62">
        <f t="shared" si="33"/>
        <v>-121</v>
      </c>
      <c r="BC1575" s="21">
        <f t="shared" si="34"/>
        <v>111</v>
      </c>
      <c r="BD1575" s="21">
        <f t="shared" si="35"/>
        <v>-115</v>
      </c>
      <c r="BE1575" s="21">
        <f t="shared" si="36"/>
        <v>-142</v>
      </c>
      <c r="BF1575" s="94">
        <f t="shared" si="57"/>
        <v>0.54684538785417192</v>
      </c>
      <c r="BG1575" s="22">
        <f t="shared" ref="BG1575" si="124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0.47340647365863259</v>
      </c>
      <c r="BH1575" s="22">
        <f t="shared" ref="BH1575" si="125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0.53389119571970489</v>
      </c>
      <c r="BI1575" s="22">
        <f t="shared" ref="BI1575" si="126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0.58669772923772778</v>
      </c>
      <c r="BJ1575" s="21">
        <f t="shared" si="39"/>
        <v>-129</v>
      </c>
      <c r="BK1575" s="21">
        <f t="shared" si="40"/>
        <v>112</v>
      </c>
      <c r="BL1575" s="21">
        <f t="shared" si="41"/>
        <v>-114</v>
      </c>
      <c r="BM1575" s="21">
        <f t="shared" si="42"/>
        <v>-141</v>
      </c>
      <c r="BN1575" s="22">
        <f t="shared" si="61"/>
        <v>0.5625006417330537</v>
      </c>
      <c r="BO1575" s="22">
        <f t="shared" ref="BO1575" si="127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0.47242776430536099</v>
      </c>
      <c r="BP1575" s="22">
        <f t="shared" ref="BP1575" si="128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0.53268089803635699</v>
      </c>
      <c r="BQ1575" s="22">
        <f t="shared" ref="BQ1575" si="129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0.58553875654487331</v>
      </c>
      <c r="BR1575">
        <v>3.65</v>
      </c>
      <c r="BS1575">
        <v>5</v>
      </c>
      <c r="BT1575">
        <v>0.32701000000000002</v>
      </c>
      <c r="BU1575">
        <v>0.13489000000000001</v>
      </c>
      <c r="BV1575">
        <v>0.14518819895163901</v>
      </c>
      <c r="BW1575">
        <v>0.20582</v>
      </c>
    </row>
    <row r="1576" spans="1:75" ht="16.75" customHeight="1" x14ac:dyDescent="0.2">
      <c r="A1576" t="str">
        <f t="shared" si="11"/>
        <v>2025020757 SEA</v>
      </c>
      <c r="B1576">
        <v>2025020757</v>
      </c>
      <c r="C1576" s="1">
        <v>46039</v>
      </c>
      <c r="D1576" s="2" t="s">
        <v>6</v>
      </c>
      <c r="E1576" t="s">
        <v>13</v>
      </c>
      <c r="F1576" s="2">
        <v>1</v>
      </c>
      <c r="G1576" s="2">
        <v>1</v>
      </c>
      <c r="H1576" t="s">
        <v>46</v>
      </c>
      <c r="I1576" t="str">
        <f t="shared" si="12"/>
        <v>SEA Philipp Grubauer</v>
      </c>
      <c r="J1576" s="33" t="s">
        <v>185</v>
      </c>
      <c r="K1576" s="14">
        <v>2.96</v>
      </c>
      <c r="L1576" s="13">
        <v>0.15</v>
      </c>
      <c r="M1576" s="28">
        <v>0.1</v>
      </c>
      <c r="N1576">
        <f>IFERROR(_xlfn.XLOOKUP(A1576,Params!A:A,Params!D:D),0)</f>
        <v>2.44999999999999</v>
      </c>
      <c r="O1576">
        <f t="shared" ref="O1576" si="130">N1577</f>
        <v>3.2499999999999898</v>
      </c>
      <c r="P1576" s="68">
        <f t="shared" si="14"/>
        <v>2.44999999999999</v>
      </c>
      <c r="Q1576">
        <f t="shared" ref="Q1576" si="131">P1577</f>
        <v>3.2499999999999898</v>
      </c>
      <c r="R1576" s="5">
        <f t="shared" ref="R1576" si="132">N1576/W1576/X1576/Z1577/AB1577/AA1576</f>
        <v>2.6682867124970526</v>
      </c>
      <c r="S1576" s="5">
        <f t="shared" ref="S1576" si="133">O1576/W1577/Y1576/Z1576/AA1577/AB1576</f>
        <v>3.1465290867536453</v>
      </c>
      <c r="T1576" s="5">
        <f t="shared" ref="T1576" si="134">P1576/W1576/X1576/Z1577/AB1577</f>
        <v>2.6682867124970526</v>
      </c>
      <c r="U1576" s="5">
        <f t="shared" ref="U1576" si="135">Q1576/W1577/Y1576/Z1576/AA1577</f>
        <v>3.1465290867536453</v>
      </c>
      <c r="V1576" s="5">
        <f>_xlfn.XLOOKUP(H1576,'Rest - Home'!A:A,'Rest - Home'!B:B)</f>
        <v>0.95</v>
      </c>
      <c r="W1576" s="5">
        <f>_xlfn.XLOOKUP(H1576,'Rest - Home'!A:A,'Rest - Home'!C:C)</f>
        <v>0.95302926576458757</v>
      </c>
      <c r="X1576" s="5">
        <f t="shared" ref="X1576" si="136">AM1577/K1576</f>
        <v>0.9932432432432432</v>
      </c>
      <c r="Y1576" s="5">
        <f t="shared" ref="Y1576" si="137">AK1577/K1576</f>
        <v>1.0255123321271458</v>
      </c>
      <c r="Z1576" s="5">
        <f>IF(J1576="",1,(_xlfn.XLOOKUP(I1576,Goalies!B:B,Goalies!J:J)))</f>
        <v>1</v>
      </c>
      <c r="AA1576" s="23">
        <v>1</v>
      </c>
      <c r="AB1576" s="23">
        <v>1</v>
      </c>
      <c r="AC1576" s="23">
        <f>_xlfn.XLOOKUP(E1576,'Game Adjustments'!A:A,'Game Adjustments'!B:B)</f>
        <v>1</v>
      </c>
      <c r="AD1576" s="23">
        <f>_xlfn.XLOOKUP(E1576,'Game Adjustments'!A:A,'Game Adjustments'!C:C)</f>
        <v>1</v>
      </c>
      <c r="AE1576" s="23">
        <f>IF(D1576="A",_xlfn.XLOOKUP(E1576,'Rest - Home'!F:F,'Rest - Home'!J:J),_xlfn.XLOOKUP(E1576,'Rest - Home'!F:F,'Rest - Home'!I:I))</f>
        <v>1</v>
      </c>
      <c r="AF1576" s="23">
        <f>IF(D1576="A",_xlfn.XLOOKUP(E1576,'Rest - Home'!F:F,'Rest - Home'!L:L),_xlfn.XLOOKUP(E1576,'Rest - Home'!F:F,'Rest - Home'!K:K))</f>
        <v>1</v>
      </c>
      <c r="AG1576" s="26">
        <v>1</v>
      </c>
      <c r="AH1576" s="26">
        <v>1</v>
      </c>
      <c r="AI1576" s="53" cm="1">
        <f t="array" ref="AI1576">MAX(IF($E$63:E1575=E1576,ROW($E$63:E1575)-MIN(ROW($E$63:E1575))+1))</f>
        <v>1484</v>
      </c>
      <c r="AJ1576" s="53" cm="1">
        <f t="array" ref="AJ1576">MAX(IF($I$105:I1575=I1576,ROW($I$105:I1575)-MIN(ROW($I$105:I1575))+1))</f>
        <v>1428</v>
      </c>
      <c r="AK1576" s="23">
        <f>IF(AI1576=0,_xlfn.XLOOKUP(E1576,'Starting GF'!A:A,'Starting GF'!B:B),INDEX($AL$63:$AL1576,AI1576))</f>
        <v>2.7347986441791989</v>
      </c>
      <c r="AL1576" s="23">
        <f t="shared" si="73"/>
        <v>2.7248218544268772</v>
      </c>
      <c r="AM1576" s="23">
        <f>IF(AI1576=0,_xlfn.XLOOKUP(E1576,'Starting GF'!A:A,'Starting GF'!C:C),INDEX($AN$63:$AN1576,AI1576))</f>
        <v>3.1371951650728982</v>
      </c>
      <c r="AN1576" s="23">
        <f t="shared" si="22"/>
        <v>3.1385952533250103</v>
      </c>
      <c r="AO1576" s="23">
        <f>IF(AJ1576=0,_xlfn.XLOOKUP(I1576,Goalies!B:B,Goalies!I:I),INDEX($AP$105:$AP1576,AJ1576))</f>
        <v>3.2183435952988884</v>
      </c>
      <c r="AP1576" s="23">
        <f t="shared" si="23"/>
        <v>3.2075714190171021</v>
      </c>
      <c r="AQ1576" s="23">
        <f t="shared" si="24"/>
        <v>3.1371951650728982</v>
      </c>
      <c r="AR1576" s="66">
        <v>0</v>
      </c>
      <c r="AS1576" s="96" t="s">
        <v>1593</v>
      </c>
      <c r="AT1576" s="20">
        <f t="shared" ref="AT1576" si="138">(AK1576*V1576*X1576*Z1577*AA1576*AB1577*AC1576*AD1577*AG1576*AH1577)+AR1576</f>
        <v>2.5030891333772725</v>
      </c>
      <c r="AU1576" s="20">
        <f t="shared" ref="AU1576" si="139">AT1577</f>
        <v>3.2367931026387513</v>
      </c>
      <c r="AV1576" s="12">
        <f t="shared" ref="AV1576" si="140">AK1576*V1576*X1576*Z1577*AA1576*AB1577</f>
        <v>2.5030891333772725</v>
      </c>
      <c r="AW1576" s="12">
        <f t="shared" ref="AW1576" si="141">AV1577</f>
        <v>3.2403591403015577</v>
      </c>
      <c r="AX1576" s="8">
        <f t="shared" si="29"/>
        <v>5.3089133377282494E-2</v>
      </c>
      <c r="AY1576" s="8">
        <f t="shared" si="30"/>
        <v>-1.3206897361238479E-2</v>
      </c>
      <c r="AZ1576" s="8">
        <f t="shared" si="31"/>
        <v>3.9882236016044015E-2</v>
      </c>
      <c r="BA1576" s="8">
        <f t="shared" si="32"/>
        <v>6.6296030738520972E-2</v>
      </c>
      <c r="BB1576" s="62">
        <f t="shared" si="33"/>
        <v>162</v>
      </c>
      <c r="BC1576" s="21">
        <f t="shared" si="34"/>
        <v>-107</v>
      </c>
      <c r="BD1576" s="21">
        <f t="shared" si="35"/>
        <v>120</v>
      </c>
      <c r="BE1576" s="21">
        <f t="shared" si="36"/>
        <v>148</v>
      </c>
      <c r="BF1576" s="94">
        <f t="shared" ref="BF1576" si="142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IF(AT1576&gt;AT1577, 1-_xlpm.interp, _xlpm.interp)
)</f>
        <v>0.38160405329900177</v>
      </c>
      <c r="BG1576" s="22">
        <f t="shared" si="38"/>
        <v>0.51757446638157101</v>
      </c>
      <c r="BH1576" s="22">
        <f t="shared" si="38"/>
        <v>0.45494656883770557</v>
      </c>
      <c r="BI1576" s="22">
        <f t="shared" si="38"/>
        <v>0.40266904423700312</v>
      </c>
      <c r="BJ1576" s="21">
        <f t="shared" si="39"/>
        <v>162</v>
      </c>
      <c r="BK1576" s="21">
        <f t="shared" si="40"/>
        <v>-108</v>
      </c>
      <c r="BL1576" s="21">
        <f t="shared" si="41"/>
        <v>120</v>
      </c>
      <c r="BM1576" s="21">
        <f t="shared" si="42"/>
        <v>148</v>
      </c>
      <c r="BN1576" s="22">
        <f t="shared" ref="BN1576" si="143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IF(AV1576&gt;AV1577, 1-_xlpm.interp, _xlpm.interp)
)</f>
        <v>0.38135144825083755</v>
      </c>
      <c r="BO1576" s="22">
        <f t="shared" si="44"/>
        <v>0.51809279827290977</v>
      </c>
      <c r="BP1576" s="22">
        <f t="shared" si="44"/>
        <v>0.45546719178516171</v>
      </c>
      <c r="BQ1576" s="22">
        <f t="shared" si="44"/>
        <v>0.40308254594207693</v>
      </c>
      <c r="BR1576">
        <v>3.7</v>
      </c>
      <c r="BS1576">
        <v>3.7</v>
      </c>
      <c r="BT1576">
        <v>0.49287999999999998</v>
      </c>
      <c r="BU1576">
        <v>0.24787000000000001</v>
      </c>
      <c r="BV1576">
        <v>0.27379269208677498</v>
      </c>
      <c r="BW1576">
        <v>0.34255000000000002</v>
      </c>
    </row>
    <row r="1577" spans="1:75" ht="16.75" customHeight="1" x14ac:dyDescent="0.2">
      <c r="A1577" t="str">
        <f t="shared" si="11"/>
        <v>2025020757 UTA</v>
      </c>
      <c r="B1577">
        <v>2025020757</v>
      </c>
      <c r="C1577" s="1">
        <v>46039</v>
      </c>
      <c r="D1577" s="2" t="s">
        <v>9</v>
      </c>
      <c r="E1577" t="s">
        <v>15</v>
      </c>
      <c r="F1577" s="2">
        <v>1</v>
      </c>
      <c r="G1577" s="2">
        <v>1</v>
      </c>
      <c r="H1577" t="s">
        <v>47</v>
      </c>
      <c r="I1577" t="str">
        <f t="shared" si="12"/>
        <v>UTA Karel Vejmelka</v>
      </c>
      <c r="J1577" s="33" t="s">
        <v>191</v>
      </c>
      <c r="K1577" s="14">
        <v>2.96</v>
      </c>
      <c r="L1577" s="13">
        <v>0.15</v>
      </c>
      <c r="M1577" s="28">
        <v>0.1</v>
      </c>
      <c r="N1577">
        <f>IFERROR(_xlfn.XLOOKUP(A1577,Params!A:A,Params!D:D),0)</f>
        <v>3.2499999999999898</v>
      </c>
      <c r="O1577">
        <f t="shared" ref="O1577" si="144">N1576</f>
        <v>2.44999999999999</v>
      </c>
      <c r="P1577" s="68">
        <f t="shared" si="14"/>
        <v>3.2499999999999898</v>
      </c>
      <c r="Q1577">
        <f t="shared" ref="Q1577" si="145">P1576</f>
        <v>2.44999999999999</v>
      </c>
      <c r="R1577" s="5">
        <f t="shared" ref="R1577" si="146">N1577/W1577/X1577/Z1576/AB1576/AA1577</f>
        <v>3.0445479059290337</v>
      </c>
      <c r="S1577" s="5">
        <f t="shared" ref="S1577" si="147">O1577/W1576/Y1577/Z1577/AA1576/AB1577</f>
        <v>2.8684974491406474</v>
      </c>
      <c r="T1577" s="5">
        <f t="shared" ref="T1577" si="148">P1577/W1577/X1577/Z1576/AB1576</f>
        <v>2.9227659896918721</v>
      </c>
      <c r="U1577" s="5">
        <f t="shared" ref="U1577" si="149">Q1577/W1576/Y1577/Z1577/AA1576</f>
        <v>2.8684974491406474</v>
      </c>
      <c r="V1577" s="5">
        <f>_xlfn.XLOOKUP(H1577,'Rest - Home'!A:A,'Rest - Home'!B:B)</f>
        <v>1.048</v>
      </c>
      <c r="W1577" s="5">
        <f>_xlfn.XLOOKUP(H1577,'Rest - Home'!A:A,'Rest - Home'!C:C)</f>
        <v>1.0491546019013618</v>
      </c>
      <c r="X1577" s="5">
        <f t="shared" ref="X1577" si="150">AM1576/K1577</f>
        <v>1.0598632314435468</v>
      </c>
      <c r="Y1577" s="5">
        <f t="shared" ref="Y1577" si="151">AK1576/K1577</f>
        <v>0.92391846087135099</v>
      </c>
      <c r="Z1577" s="5">
        <f>IF(J1577="",1,(_xlfn.XLOOKUP(I1577,Goalies!B:B,Goalies!J:J)))</f>
        <v>0.97</v>
      </c>
      <c r="AA1577" s="23">
        <v>0.96</v>
      </c>
      <c r="AB1577" s="23">
        <v>1</v>
      </c>
      <c r="AC1577" s="23">
        <f>_xlfn.XLOOKUP(E1577,'Game Adjustments'!A:A,'Game Adjustments'!B:B)</f>
        <v>1</v>
      </c>
      <c r="AD1577" s="23">
        <f>_xlfn.XLOOKUP(E1577,'Game Adjustments'!A:A,'Game Adjustments'!C:C)</f>
        <v>1</v>
      </c>
      <c r="AE1577" s="23">
        <f>IF(D1577="A",_xlfn.XLOOKUP(E1577,'Rest - Home'!F:F,'Rest - Home'!J:J),_xlfn.XLOOKUP(E1577,'Rest - Home'!F:F,'Rest - Home'!I:I))</f>
        <v>1</v>
      </c>
      <c r="AF1577" s="23">
        <f>IF(D1577="A",_xlfn.XLOOKUP(E1577,'Rest - Home'!F:F,'Rest - Home'!L:L),_xlfn.XLOOKUP(E1577,'Rest - Home'!F:F,'Rest - Home'!K:K))</f>
        <v>1</v>
      </c>
      <c r="AG1577" s="26">
        <v>1</v>
      </c>
      <c r="AH1577" s="26">
        <v>1</v>
      </c>
      <c r="AI1577" s="53" cm="1">
        <f t="array" ref="AI1577">MAX(IF($E$63:E1576=E1577,ROW($E$63:E1576)-MIN(ROW($E$63:E1576))+1))</f>
        <v>1493</v>
      </c>
      <c r="AJ1577" s="53" cm="1">
        <f t="array" ref="AJ1577">MAX(IF($I$105:I1576=I1577,ROW($I$105:I1576)-MIN(ROW($I$105:I1576))+1))</f>
        <v>1451</v>
      </c>
      <c r="AK1577" s="23">
        <f>IF(AI1577=0,_xlfn.XLOOKUP(E1577,'Starting GF'!A:A,'Starting GF'!B:B),INDEX($AL$63:$AL1577,AI1577))</f>
        <v>3.0355165030963511</v>
      </c>
      <c r="AL1577" s="23">
        <f t="shared" si="73"/>
        <v>3.0350444847776963</v>
      </c>
      <c r="AM1577" s="23">
        <f>IF(AI1577=0,_xlfn.XLOOKUP(E1577,'Starting GF'!A:A,'Starting GF'!C:C),INDEX($AN$63:$AN1577,AI1577))</f>
        <v>2.94</v>
      </c>
      <c r="AN1577" s="23">
        <f t="shared" si="22"/>
        <v>2.9292746173710973</v>
      </c>
      <c r="AO1577" s="23">
        <f>IF(AJ1577=0,_xlfn.XLOOKUP(I1577,Goalies!B:B,Goalies!I:I),INDEX($AP$105:$AP1577,AJ1577))</f>
        <v>2.9148377622219175</v>
      </c>
      <c r="AP1577" s="23">
        <f t="shared" si="23"/>
        <v>2.894978476738594</v>
      </c>
      <c r="AQ1577" s="23">
        <f t="shared" si="24"/>
        <v>2.8517999999999999</v>
      </c>
      <c r="AR1577" s="66">
        <v>0</v>
      </c>
      <c r="AS1577" s="96" t="s">
        <v>1593</v>
      </c>
      <c r="AT1577" s="20">
        <f t="shared" ref="AT1577" si="152">(AK1577*V1577*X1577*Z1576*AA1577*AB1576*AC1577*AD1576*AG1577*AH1576)+AR1577</f>
        <v>3.2367931026387513</v>
      </c>
      <c r="AU1577" s="20">
        <f t="shared" ref="AU1577" si="153">AT1576</f>
        <v>2.5030891333772725</v>
      </c>
      <c r="AV1577" s="12">
        <f t="shared" ref="AV1577" si="154">AK1577*W1577*X1577*Z1576*AA1577*AB1576</f>
        <v>3.2403591403015577</v>
      </c>
      <c r="AW1577" s="12">
        <f t="shared" ref="AW1577" si="155">AV1576</f>
        <v>2.5030891333772725</v>
      </c>
      <c r="AX1577" s="8">
        <f t="shared" si="29"/>
        <v>-1.3206897361238479E-2</v>
      </c>
      <c r="AY1577" s="8">
        <f t="shared" si="30"/>
        <v>5.3089133377282494E-2</v>
      </c>
      <c r="AZ1577" s="8">
        <f t="shared" si="31"/>
        <v>3.9882236016044015E-2</v>
      </c>
      <c r="BA1577" s="8">
        <f t="shared" si="32"/>
        <v>-6.6296030738520972E-2</v>
      </c>
      <c r="BB1577" s="62">
        <f t="shared" si="33"/>
        <v>-162</v>
      </c>
      <c r="BC1577" s="21">
        <f t="shared" si="34"/>
        <v>107</v>
      </c>
      <c r="BD1577" s="21">
        <f t="shared" si="35"/>
        <v>-120</v>
      </c>
      <c r="BE1577" s="21">
        <f t="shared" si="36"/>
        <v>-148</v>
      </c>
      <c r="BF1577" s="94">
        <f t="shared" si="57"/>
        <v>0.61839594670099829</v>
      </c>
      <c r="BG1577" s="22">
        <f t="shared" ref="BG1577" si="156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0.48242553361842899</v>
      </c>
      <c r="BH1577" s="22">
        <f t="shared" ref="BH1577" si="157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0.54505343116229443</v>
      </c>
      <c r="BI1577" s="22">
        <f t="shared" ref="BI1577" si="158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0.59733095576299688</v>
      </c>
      <c r="BJ1577" s="21">
        <f t="shared" si="39"/>
        <v>-162</v>
      </c>
      <c r="BK1577" s="21">
        <f t="shared" si="40"/>
        <v>108</v>
      </c>
      <c r="BL1577" s="21">
        <f t="shared" si="41"/>
        <v>-120</v>
      </c>
      <c r="BM1577" s="21">
        <f t="shared" si="42"/>
        <v>-148</v>
      </c>
      <c r="BN1577" s="22">
        <f t="shared" si="61"/>
        <v>0.61864855174916245</v>
      </c>
      <c r="BO1577" s="22">
        <f t="shared" ref="BO1577" si="159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0.48190720172709028</v>
      </c>
      <c r="BP1577" s="22">
        <f t="shared" ref="BP1577" si="160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0.54453280821483829</v>
      </c>
      <c r="BQ1577" s="22">
        <f t="shared" ref="BQ1577" si="161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0.59691745405792307</v>
      </c>
      <c r="BR1577">
        <v>3.7</v>
      </c>
      <c r="BS1577">
        <v>3.75</v>
      </c>
      <c r="BT1577">
        <v>0.48701</v>
      </c>
      <c r="BU1577">
        <v>0.24143000000000001</v>
      </c>
      <c r="BV1577">
        <v>0.266676239603238</v>
      </c>
      <c r="BW1577">
        <v>0.33610000000000001</v>
      </c>
    </row>
    <row r="1578" spans="1:75" ht="16.75" customHeight="1" x14ac:dyDescent="0.2">
      <c r="A1578" t="str">
        <f t="shared" si="11"/>
        <v>2025020759 CAR</v>
      </c>
      <c r="B1578">
        <v>2025020759</v>
      </c>
      <c r="C1578" s="1">
        <v>46039</v>
      </c>
      <c r="D1578" s="2" t="s">
        <v>6</v>
      </c>
      <c r="E1578" t="s">
        <v>42</v>
      </c>
      <c r="F1578" s="2">
        <v>0</v>
      </c>
      <c r="G1578" s="2">
        <v>2</v>
      </c>
      <c r="H1578" t="s">
        <v>29</v>
      </c>
      <c r="I1578" t="str">
        <f t="shared" si="12"/>
        <v>CAR Frederik Andersen</v>
      </c>
      <c r="J1578" s="33" t="s">
        <v>153</v>
      </c>
      <c r="K1578" s="14">
        <v>2.96</v>
      </c>
      <c r="L1578" s="13">
        <v>0.15</v>
      </c>
      <c r="M1578" s="28">
        <v>0.1</v>
      </c>
      <c r="N1578">
        <f>IFERROR(_xlfn.XLOOKUP(A1578,Params!A:A,Params!D:D),0)</f>
        <v>3.2499999999999898</v>
      </c>
      <c r="O1578">
        <f t="shared" ref="O1578" si="162">N1579</f>
        <v>3.0499999999999901</v>
      </c>
      <c r="P1578" s="68">
        <f t="shared" si="14"/>
        <v>3.2499999999999898</v>
      </c>
      <c r="Q1578">
        <f t="shared" ref="Q1578" si="163">P1579</f>
        <v>3.0499999999999901</v>
      </c>
      <c r="R1578" s="5">
        <f t="shared" ref="R1578" si="164">N1578/W1578/X1578/Z1579/AB1579/AA1578</f>
        <v>3.5080638039448022</v>
      </c>
      <c r="S1578" s="5">
        <f t="shared" ref="S1578" si="165">O1578/W1579/Y1578/Z1578/AA1579/AB1578</f>
        <v>2.6814531454811315</v>
      </c>
      <c r="T1578" s="5">
        <f t="shared" ref="T1578" si="166">P1578/W1578/X1578/Z1579/AB1579</f>
        <v>3.5080638039448022</v>
      </c>
      <c r="U1578" s="5">
        <f t="shared" ref="U1578" si="167">Q1578/W1579/Y1578/Z1578/AA1579</f>
        <v>2.721674942663348</v>
      </c>
      <c r="V1578" s="5">
        <f>_xlfn.XLOOKUP(H1578,'Rest - Home'!A:A,'Rest - Home'!B:B)</f>
        <v>0.90300000000000002</v>
      </c>
      <c r="W1578" s="5">
        <f>_xlfn.XLOOKUP(H1578,'Rest - Home'!A:A,'Rest - Home'!C:C)</f>
        <v>0.92051577291954856</v>
      </c>
      <c r="X1578" s="5">
        <f t="shared" ref="X1578" si="168">AM1579/K1578</f>
        <v>0.98669850710914775</v>
      </c>
      <c r="Y1578" s="5">
        <f t="shared" ref="Y1578" si="169">AK1579/K1578</f>
        <v>1</v>
      </c>
      <c r="Z1578" s="5">
        <f>IF(J1578="",1,(_xlfn.XLOOKUP(I1578,Goalies!B:B,Goalies!J:J)))</f>
        <v>1.0449999999999999</v>
      </c>
      <c r="AA1578" s="23">
        <v>1</v>
      </c>
      <c r="AB1578" s="23">
        <v>1.0149999999999999</v>
      </c>
      <c r="AC1578" s="23">
        <f>_xlfn.XLOOKUP(E1578,'Game Adjustments'!A:A,'Game Adjustments'!B:B)</f>
        <v>1</v>
      </c>
      <c r="AD1578" s="23">
        <f>_xlfn.XLOOKUP(E1578,'Game Adjustments'!A:A,'Game Adjustments'!C:C)</f>
        <v>1</v>
      </c>
      <c r="AE1578" s="23">
        <f>IF(D1578="A",_xlfn.XLOOKUP(E1578,'Rest - Home'!F:F,'Rest - Home'!J:J),_xlfn.XLOOKUP(E1578,'Rest - Home'!F:F,'Rest - Home'!I:I))</f>
        <v>1</v>
      </c>
      <c r="AF1578" s="23">
        <f>IF(D1578="A",_xlfn.XLOOKUP(E1578,'Rest - Home'!F:F,'Rest - Home'!L:L),_xlfn.XLOOKUP(E1578,'Rest - Home'!F:F,'Rest - Home'!K:K))</f>
        <v>1</v>
      </c>
      <c r="AG1578" s="26">
        <v>1</v>
      </c>
      <c r="AH1578" s="26">
        <v>1</v>
      </c>
      <c r="AI1578" s="53" cm="1">
        <f t="array" ref="AI1578">MAX(IF($E$63:E1577=E1578,ROW($E$63:E1577)-MIN(ROW($E$63:E1577))+1))</f>
        <v>1499</v>
      </c>
      <c r="AJ1578" s="53" cm="1">
        <f t="array" ref="AJ1578">MAX(IF($I$105:I1577=I1578,ROW($I$105:I1577)-MIN(ROW($I$105:I1577))+1))</f>
        <v>1390</v>
      </c>
      <c r="AK1578" s="23">
        <f>IF(AI1578=0,_xlfn.XLOOKUP(E1578,'Starting GF'!A:A,'Starting GF'!B:B),INDEX($AL$63:$AL1578,AI1578))</f>
        <v>3.35</v>
      </c>
      <c r="AL1578" s="23">
        <f t="shared" si="73"/>
        <v>3.3737095705917204</v>
      </c>
      <c r="AM1578" s="23">
        <f>IF(AI1578=0,_xlfn.XLOOKUP(E1578,'Starting GF'!A:A,'Starting GF'!C:C),INDEX($AN$63:$AN1578,AI1578))</f>
        <v>2.7446743754914356</v>
      </c>
      <c r="AN1578" s="23">
        <f t="shared" si="22"/>
        <v>2.7351911909898901</v>
      </c>
      <c r="AO1578" s="23">
        <f>IF(AJ1578=0,_xlfn.XLOOKUP(I1578,Goalies!B:B,Goalies!I:I),INDEX($AP$105:$AP1578,AJ1578))</f>
        <v>2.7475961855763527</v>
      </c>
      <c r="AP1578" s="23">
        <f t="shared" si="23"/>
        <v>2.7557745382940673</v>
      </c>
      <c r="AQ1578" s="23">
        <f t="shared" si="24"/>
        <v>2.8681847223885502</v>
      </c>
      <c r="AR1578" s="66">
        <v>0.03</v>
      </c>
      <c r="AS1578" s="96" t="s">
        <v>1593</v>
      </c>
      <c r="AT1578" s="20">
        <f t="shared" ref="AT1578" si="170">(AK1578*V1578*X1578*Z1579*AA1578*AB1579*AC1578*AD1579*AG1578*AH1579)+AR1578</f>
        <v>3.074508565309138</v>
      </c>
      <c r="AU1578" s="20">
        <f t="shared" ref="AU1578" si="171">AT1579</f>
        <v>3.0970735288469657</v>
      </c>
      <c r="AV1578" s="12">
        <f t="shared" ref="AV1578" si="172">AK1578*V1578*X1578*Z1579*AA1578*AB1579</f>
        <v>3.0445085653091382</v>
      </c>
      <c r="AW1578" s="12">
        <f t="shared" ref="AW1578" si="173">AV1579</f>
        <v>3.1219105429294389</v>
      </c>
      <c r="AX1578" s="8">
        <f t="shared" si="29"/>
        <v>-0.17549143469085182</v>
      </c>
      <c r="AY1578" s="8">
        <f t="shared" si="30"/>
        <v>4.7073528846975687E-2</v>
      </c>
      <c r="AZ1578" s="8">
        <f t="shared" si="31"/>
        <v>-0.12841790584387613</v>
      </c>
      <c r="BA1578" s="8">
        <f t="shared" si="32"/>
        <v>-0.22256496353782751</v>
      </c>
      <c r="BB1578" s="62">
        <f t="shared" si="33"/>
        <v>104</v>
      </c>
      <c r="BC1578" s="21">
        <f t="shared" si="34"/>
        <v>-143</v>
      </c>
      <c r="BD1578" s="21">
        <f t="shared" si="35"/>
        <v>-116</v>
      </c>
      <c r="BE1578" s="21">
        <f t="shared" si="36"/>
        <v>110</v>
      </c>
      <c r="BF1578" s="94">
        <f t="shared" ref="BF1578" si="174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IF(AT1578&gt;AT1579, 1-_xlpm.interp, _xlpm.interp)
)</f>
        <v>0.48988061390549037</v>
      </c>
      <c r="BG1578" s="22">
        <f t="shared" si="38"/>
        <v>0.58923965727650307</v>
      </c>
      <c r="BH1578" s="22">
        <f t="shared" si="38"/>
        <v>0.53695502110101467</v>
      </c>
      <c r="BI1578" s="22">
        <f t="shared" si="38"/>
        <v>0.47631978665763897</v>
      </c>
      <c r="BJ1578" s="21">
        <f t="shared" si="39"/>
        <v>107</v>
      </c>
      <c r="BK1578" s="21">
        <f t="shared" si="40"/>
        <v>-143</v>
      </c>
      <c r="BL1578" s="21">
        <f t="shared" si="41"/>
        <v>-115</v>
      </c>
      <c r="BM1578" s="21">
        <f t="shared" si="42"/>
        <v>110</v>
      </c>
      <c r="BN1578" s="22">
        <f t="shared" ref="BN1578" si="175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IF(AV1578&gt;AV1579, 1-_xlpm.interp, _xlpm.interp)
)</f>
        <v>0.48196794536479809</v>
      </c>
      <c r="BO1578" s="22">
        <f t="shared" si="44"/>
        <v>0.58763570252779118</v>
      </c>
      <c r="BP1578" s="22">
        <f t="shared" si="44"/>
        <v>0.53557421202401234</v>
      </c>
      <c r="BQ1578" s="22">
        <f t="shared" si="44"/>
        <v>0.47554250006496956</v>
      </c>
      <c r="BR1578">
        <v>3.7</v>
      </c>
      <c r="BS1578">
        <v>3.8</v>
      </c>
      <c r="BT1578">
        <v>0.47882999999999998</v>
      </c>
      <c r="BU1578">
        <v>0.23601</v>
      </c>
      <c r="BV1578">
        <v>0.25981989519573701</v>
      </c>
      <c r="BW1578">
        <v>0.32765</v>
      </c>
    </row>
    <row r="1579" spans="1:75" ht="16.75" customHeight="1" x14ac:dyDescent="0.2">
      <c r="A1579" t="str">
        <f t="shared" si="11"/>
        <v>2025020759 NJD</v>
      </c>
      <c r="B1579">
        <v>2025020759</v>
      </c>
      <c r="C1579" s="1">
        <v>46039</v>
      </c>
      <c r="D1579" s="2" t="s">
        <v>9</v>
      </c>
      <c r="E1579" t="s">
        <v>4</v>
      </c>
      <c r="F1579" s="2">
        <v>2</v>
      </c>
      <c r="G1579" s="2">
        <v>0</v>
      </c>
      <c r="H1579" t="s">
        <v>31</v>
      </c>
      <c r="I1579" t="str">
        <f t="shared" ref="I1579:I1642" si="176">E1579&amp;" "&amp;J1579</f>
        <v>NJD Jacob Markstrom</v>
      </c>
      <c r="J1579" s="33" t="s">
        <v>173</v>
      </c>
      <c r="K1579" s="14">
        <v>2.96</v>
      </c>
      <c r="L1579" s="13">
        <v>0.15</v>
      </c>
      <c r="M1579" s="28">
        <v>0.1</v>
      </c>
      <c r="N1579">
        <f>IFERROR(_xlfn.XLOOKUP(A1579,Params!A:A,Params!D:D),0)</f>
        <v>3.0499999999999901</v>
      </c>
      <c r="O1579">
        <f t="shared" ref="O1579" si="177">N1578</f>
        <v>3.2499999999999898</v>
      </c>
      <c r="P1579" s="68">
        <f t="shared" si="14"/>
        <v>3.0499999999999901</v>
      </c>
      <c r="Q1579">
        <f t="shared" ref="Q1579" si="178">P1578</f>
        <v>3.2499999999999898</v>
      </c>
      <c r="R1579" s="5">
        <f t="shared" ref="R1579" si="179">N1579/W1579/X1579/Z1578/AB1578/AA1579</f>
        <v>2.891818928138973</v>
      </c>
      <c r="S1579" s="5">
        <f t="shared" ref="S1579" si="180">O1579/W1578/Y1579/Z1579/AA1578/AB1579</f>
        <v>3.0584322095104728</v>
      </c>
      <c r="T1579" s="5">
        <f t="shared" ref="T1579" si="181">P1579/W1579/X1579/Z1578/AB1578</f>
        <v>2.8629007388575833</v>
      </c>
      <c r="U1579" s="5">
        <f t="shared" ref="U1579" si="182">Q1579/W1578/Y1579/Z1579/AA1578</f>
        <v>3.0584322095104728</v>
      </c>
      <c r="V1579" s="5">
        <f>_xlfn.XLOOKUP(H1579,'Rest - Home'!A:A,'Rest - Home'!B:B)</f>
        <v>1.085</v>
      </c>
      <c r="W1579" s="5">
        <f>_xlfn.XLOOKUP(H1579,'Rest - Home'!A:A,'Rest - Home'!C:C)</f>
        <v>1.0832085999357419</v>
      </c>
      <c r="X1579" s="5">
        <f t="shared" ref="X1579" si="183">AM1578/K1579</f>
        <v>0.92725485658494444</v>
      </c>
      <c r="Y1579" s="5">
        <f t="shared" ref="Y1579" si="184">AK1578/K1579</f>
        <v>1.1317567567567568</v>
      </c>
      <c r="Z1579" s="5">
        <f>IF(J1579="",1,(_xlfn.XLOOKUP(I1579,Goalies!B:B,Goalies!J:J)))</f>
        <v>1.02</v>
      </c>
      <c r="AA1579" s="23">
        <v>0.99</v>
      </c>
      <c r="AB1579" s="23">
        <v>1</v>
      </c>
      <c r="AC1579" s="23">
        <f>_xlfn.XLOOKUP(E1579,'Game Adjustments'!A:A,'Game Adjustments'!B:B)</f>
        <v>1</v>
      </c>
      <c r="AD1579" s="23">
        <f>_xlfn.XLOOKUP(E1579,'Game Adjustments'!A:A,'Game Adjustments'!C:C)</f>
        <v>1</v>
      </c>
      <c r="AE1579" s="23">
        <f>IF(D1579="A",_xlfn.XLOOKUP(E1579,'Rest - Home'!F:F,'Rest - Home'!J:J),_xlfn.XLOOKUP(E1579,'Rest - Home'!F:F,'Rest - Home'!I:I))</f>
        <v>1</v>
      </c>
      <c r="AF1579" s="23">
        <f>IF(D1579="A",_xlfn.XLOOKUP(E1579,'Rest - Home'!F:F,'Rest - Home'!L:L),_xlfn.XLOOKUP(E1579,'Rest - Home'!F:F,'Rest - Home'!K:K))</f>
        <v>1</v>
      </c>
      <c r="AG1579" s="26">
        <v>1</v>
      </c>
      <c r="AH1579" s="26">
        <v>1</v>
      </c>
      <c r="AI1579" s="53" cm="1">
        <f t="array" ref="AI1579">MAX(IF($E$63:E1578=E1579,ROW($E$63:E1578)-MIN(ROW($E$63:E1578))+1))</f>
        <v>1471</v>
      </c>
      <c r="AJ1579" s="53" cm="1">
        <f t="array" ref="AJ1579">MAX(IF($I$105:I1578=I1579,ROW($I$105:I1578)-MIN(ROW($I$105:I1578))+1))</f>
        <v>1429</v>
      </c>
      <c r="AK1579" s="23">
        <f>IF(AI1579=0,_xlfn.XLOOKUP(E1579,'Starting GF'!A:A,'Starting GF'!B:B),INDEX($AL$63:$AL1579,AI1579))</f>
        <v>2.96</v>
      </c>
      <c r="AL1579" s="23">
        <f t="shared" si="73"/>
        <v>2.9493390663816252</v>
      </c>
      <c r="AM1579" s="23">
        <f>IF(AI1579=0,_xlfn.XLOOKUP(E1579,'Starting GF'!A:A,'Starting GF'!C:C),INDEX($AN$63:$AN1579,AI1579))</f>
        <v>2.9206275810430773</v>
      </c>
      <c r="AN1579" s="23">
        <v>2.95</v>
      </c>
      <c r="AO1579" s="23">
        <f>IF(AJ1579=0,_xlfn.XLOOKUP(I1579,Goalies!B:B,Goalies!I:I),INDEX($AP$105:$AP1579,AJ1579))</f>
        <v>2.9698078920463611</v>
      </c>
      <c r="AP1579" s="23">
        <f t="shared" si="23"/>
        <v>2.9922768362945096</v>
      </c>
      <c r="AQ1579" s="23">
        <f t="shared" si="24"/>
        <v>2.9790401326639389</v>
      </c>
      <c r="AR1579" s="66">
        <v>-0.03</v>
      </c>
      <c r="AS1579" s="96" t="s">
        <v>1593</v>
      </c>
      <c r="AT1579" s="20">
        <f t="shared" ref="AT1579" si="185">(AK1579*V1579*X1579*Z1578*AA1579*AB1578*AC1579*AD1578*AG1579*AH1578)+AR1579</f>
        <v>3.0970735288469657</v>
      </c>
      <c r="AU1579" s="20">
        <f t="shared" ref="AU1579" si="186">AT1578</f>
        <v>3.074508565309138</v>
      </c>
      <c r="AV1579" s="12">
        <f t="shared" ref="AV1579" si="187">AK1579*W1579*X1579*Z1578*AA1579*AB1578</f>
        <v>3.1219105429294389</v>
      </c>
      <c r="AW1579" s="12">
        <f t="shared" ref="AW1579" si="188">AV1578</f>
        <v>3.0445085653091382</v>
      </c>
      <c r="AX1579" s="8">
        <f t="shared" si="29"/>
        <v>4.7073528846975687E-2</v>
      </c>
      <c r="AY1579" s="8">
        <f t="shared" si="30"/>
        <v>-0.17549143469085182</v>
      </c>
      <c r="AZ1579" s="8">
        <f t="shared" si="31"/>
        <v>-0.12841790584387613</v>
      </c>
      <c r="BA1579" s="8">
        <f t="shared" si="32"/>
        <v>0.22256496353782751</v>
      </c>
      <c r="BB1579" s="62">
        <f t="shared" si="33"/>
        <v>-104</v>
      </c>
      <c r="BC1579" s="21">
        <f t="shared" si="34"/>
        <v>143</v>
      </c>
      <c r="BD1579" s="21">
        <f t="shared" si="35"/>
        <v>116</v>
      </c>
      <c r="BE1579" s="21">
        <f t="shared" si="36"/>
        <v>-110</v>
      </c>
      <c r="BF1579" s="94">
        <f t="shared" si="57"/>
        <v>0.51011938609450969</v>
      </c>
      <c r="BG1579" s="22">
        <f t="shared" ref="BG1579" si="189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0.41076034272349693</v>
      </c>
      <c r="BH1579" s="22">
        <f t="shared" ref="BH1579" si="190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0.46304497889898533</v>
      </c>
      <c r="BI1579" s="22">
        <f t="shared" ref="BI1579" si="191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0.52368021334236103</v>
      </c>
      <c r="BJ1579" s="21">
        <f t="shared" si="39"/>
        <v>-107</v>
      </c>
      <c r="BK1579" s="21">
        <f t="shared" si="40"/>
        <v>143</v>
      </c>
      <c r="BL1579" s="21">
        <f t="shared" si="41"/>
        <v>115</v>
      </c>
      <c r="BM1579" s="21">
        <f t="shared" si="42"/>
        <v>-110</v>
      </c>
      <c r="BN1579" s="22">
        <f t="shared" si="61"/>
        <v>0.51803205463520197</v>
      </c>
      <c r="BO1579" s="22">
        <f t="shared" ref="BO1579" si="192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0.41236429747220887</v>
      </c>
      <c r="BP1579" s="22">
        <f t="shared" ref="BP1579" si="193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0.46442578797598766</v>
      </c>
      <c r="BQ1579" s="22">
        <f t="shared" ref="BQ1579" si="194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0.52445749993503044</v>
      </c>
      <c r="BR1579">
        <v>3.7</v>
      </c>
      <c r="BS1579">
        <v>3.85</v>
      </c>
      <c r="BT1579">
        <v>0.4743</v>
      </c>
      <c r="BU1579">
        <v>0.22955999999999999</v>
      </c>
      <c r="BV1579">
        <v>0.25289736923280298</v>
      </c>
      <c r="BW1579">
        <v>0.32184000000000001</v>
      </c>
    </row>
    <row r="1580" spans="1:75" ht="16.75" customHeight="1" x14ac:dyDescent="0.2">
      <c r="A1580" t="str">
        <f t="shared" si="11"/>
        <v>2025020760 CBJ</v>
      </c>
      <c r="B1580">
        <v>2025020760</v>
      </c>
      <c r="C1580" s="1">
        <v>46039</v>
      </c>
      <c r="D1580" s="2" t="s">
        <v>6</v>
      </c>
      <c r="E1580" t="s">
        <v>32</v>
      </c>
      <c r="F1580" s="2">
        <v>1</v>
      </c>
      <c r="G1580" s="2">
        <v>1</v>
      </c>
      <c r="H1580" t="s">
        <v>46</v>
      </c>
      <c r="I1580" t="str">
        <f t="shared" si="176"/>
        <v>CBJ Elvis Merzlikins</v>
      </c>
      <c r="J1580" s="33" t="s">
        <v>159</v>
      </c>
      <c r="K1580" s="14">
        <v>2.96</v>
      </c>
      <c r="L1580" s="13">
        <v>0.15</v>
      </c>
      <c r="M1580" s="28">
        <v>0.1</v>
      </c>
      <c r="N1580">
        <f>IFERROR(_xlfn.XLOOKUP(A1580,Params!A:A,Params!D:D),0)</f>
        <v>3.2499999999999898</v>
      </c>
      <c r="O1580">
        <f t="shared" ref="O1580" si="195">N1581</f>
        <v>3.3499999999999899</v>
      </c>
      <c r="P1580" s="68">
        <f t="shared" si="14"/>
        <v>3.2499999999999898</v>
      </c>
      <c r="Q1580">
        <f t="shared" ref="Q1580" si="196">P1581</f>
        <v>3.3499999999999899</v>
      </c>
      <c r="R1580" s="5">
        <f t="shared" ref="R1580" si="197">N1580/W1580/X1580/Z1581/AB1581/AA1580</f>
        <v>3.0706546714553116</v>
      </c>
      <c r="S1580" s="5">
        <f t="shared" ref="S1580" si="198">O1580/W1581/Y1580/Z1580/AA1581/AB1580</f>
        <v>3.0004505553629142</v>
      </c>
      <c r="T1580" s="5">
        <f t="shared" ref="T1580" si="199">P1580/W1580/X1580/Z1581/AB1581</f>
        <v>2.9785350313116523</v>
      </c>
      <c r="U1580" s="5">
        <f t="shared" ref="U1580" si="200">Q1580/W1581/Y1580/Z1580/AA1581</f>
        <v>3.0004505553629142</v>
      </c>
      <c r="V1580" s="5">
        <f>_xlfn.XLOOKUP(H1580,'Rest - Home'!A:A,'Rest - Home'!B:B)</f>
        <v>0.95</v>
      </c>
      <c r="W1580" s="5">
        <f>_xlfn.XLOOKUP(H1580,'Rest - Home'!A:A,'Rest - Home'!C:C)</f>
        <v>0.95302926576458757</v>
      </c>
      <c r="X1580" s="5">
        <f t="shared" ref="X1580" si="201">AM1581/K1580</f>
        <v>1.0844594594594594</v>
      </c>
      <c r="Y1580" s="5">
        <f t="shared" ref="Y1580" si="202">AK1581/K1580</f>
        <v>1.0135135135135136</v>
      </c>
      <c r="Z1580" s="5">
        <f>IF(J1580="",1,(_xlfn.XLOOKUP(I1580,Goalies!B:B,Goalies!J:J)))</f>
        <v>1.05</v>
      </c>
      <c r="AA1580" s="23">
        <v>0.97</v>
      </c>
      <c r="AB1580" s="23">
        <v>1</v>
      </c>
      <c r="AC1580" s="23">
        <f>_xlfn.XLOOKUP(E1580,'Game Adjustments'!A:A,'Game Adjustments'!B:B)</f>
        <v>1</v>
      </c>
      <c r="AD1580" s="23">
        <f>_xlfn.XLOOKUP(E1580,'Game Adjustments'!A:A,'Game Adjustments'!C:C)</f>
        <v>1</v>
      </c>
      <c r="AE1580" s="23">
        <f>IF(D1580="A",_xlfn.XLOOKUP(E1580,'Rest - Home'!F:F,'Rest - Home'!J:J),_xlfn.XLOOKUP(E1580,'Rest - Home'!F:F,'Rest - Home'!I:I))</f>
        <v>1</v>
      </c>
      <c r="AF1580" s="23">
        <f>IF(D1580="A",_xlfn.XLOOKUP(E1580,'Rest - Home'!F:F,'Rest - Home'!L:L),_xlfn.XLOOKUP(E1580,'Rest - Home'!F:F,'Rest - Home'!K:K))</f>
        <v>1</v>
      </c>
      <c r="AG1580" s="26">
        <v>1</v>
      </c>
      <c r="AH1580" s="26">
        <v>1</v>
      </c>
      <c r="AI1580" s="53" cm="1">
        <f t="array" ref="AI1580">MAX(IF($E$63:E1579=E1580,ROW($E$63:E1579)-MIN(ROW($E$63:E1579))+1))</f>
        <v>1487</v>
      </c>
      <c r="AJ1580" s="53" cm="1">
        <f t="array" ref="AJ1580">MAX(IF($I$105:I1579=I1580,ROW($I$105:I1579)-MIN(ROW($I$105:I1579))+1))</f>
        <v>1445</v>
      </c>
      <c r="AK1580" s="23">
        <f>IF(AI1580=0,_xlfn.XLOOKUP(E1580,'Starting GF'!A:A,'Starting GF'!B:B),INDEX($AL$63:$AL1580,AI1580))</f>
        <v>3.02</v>
      </c>
      <c r="AL1580" s="23">
        <v>3.05</v>
      </c>
      <c r="AM1580" s="23">
        <f>IF(AI1580=0,_xlfn.XLOOKUP(E1580,'Starting GF'!A:A,'Starting GF'!C:C),INDEX($AN$63:$AN1580,AI1580))</f>
        <v>3.21</v>
      </c>
      <c r="AN1580" s="23">
        <v>3.16</v>
      </c>
      <c r="AO1580" s="23">
        <f>IF(AJ1580=0,_xlfn.XLOOKUP(I1580,Goalies!B:B,Goalies!I:I),INDEX($AP$105:$AP1580,AJ1580))</f>
        <v>3.2842154755298347</v>
      </c>
      <c r="AP1580" s="23">
        <f t="shared" si="23"/>
        <v>3.2641541166700181</v>
      </c>
      <c r="AQ1580" s="23">
        <f t="shared" si="24"/>
        <v>3.3705000000000003</v>
      </c>
      <c r="AR1580" s="66">
        <v>0.02</v>
      </c>
      <c r="AS1580" s="96" t="s">
        <v>1594</v>
      </c>
      <c r="AT1580" s="20">
        <f t="shared" ref="AT1580" si="203">(AK1580*V1580*X1580*Z1581*AA1580*AB1581*AC1580*AD1581*AG1580*AH1581)+AR1580</f>
        <v>3.2062268565793914</v>
      </c>
      <c r="AU1580" s="20">
        <f t="shared" ref="AU1580" si="204">AT1581</f>
        <v>3.5600175675675678</v>
      </c>
      <c r="AV1580" s="12">
        <f t="shared" ref="AV1580" si="205">AK1580*V1580*X1580*Z1581*AA1580*AB1581</f>
        <v>3.1862268565793914</v>
      </c>
      <c r="AW1580" s="12">
        <f t="shared" ref="AW1580" si="206">AV1581</f>
        <v>3.583961742272169</v>
      </c>
      <c r="AX1580" s="8">
        <f t="shared" si="29"/>
        <v>-4.3773143420598348E-2</v>
      </c>
      <c r="AY1580" s="8">
        <f t="shared" si="30"/>
        <v>0.21001756756757795</v>
      </c>
      <c r="AZ1580" s="8">
        <f t="shared" si="31"/>
        <v>0.1662444241469796</v>
      </c>
      <c r="BA1580" s="8">
        <f t="shared" si="32"/>
        <v>-0.25379071098817629</v>
      </c>
      <c r="BB1580" s="62">
        <f t="shared" si="33"/>
        <v>126</v>
      </c>
      <c r="BC1580" s="21">
        <f t="shared" si="34"/>
        <v>-207</v>
      </c>
      <c r="BD1580" s="21">
        <f t="shared" si="35"/>
        <v>-174</v>
      </c>
      <c r="BE1580" s="21">
        <f t="shared" si="36"/>
        <v>-131</v>
      </c>
      <c r="BF1580" s="94">
        <f t="shared" ref="BF1580" si="207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IF(AT1580&gt;AT1581, 1-_xlpm.interp, _xlpm.interp)
)</f>
        <v>0.44310926973232978</v>
      </c>
      <c r="BG1580" s="22">
        <f t="shared" si="38"/>
        <v>0.67474946943291747</v>
      </c>
      <c r="BH1580" s="22">
        <f t="shared" si="38"/>
        <v>0.63557119002115103</v>
      </c>
      <c r="BI1580" s="22">
        <f t="shared" si="38"/>
        <v>0.56724026667355765</v>
      </c>
      <c r="BJ1580" s="21">
        <f t="shared" si="39"/>
        <v>129</v>
      </c>
      <c r="BK1580" s="21">
        <f t="shared" si="40"/>
        <v>-210</v>
      </c>
      <c r="BL1580" s="21">
        <f t="shared" si="41"/>
        <v>-176</v>
      </c>
      <c r="BM1580" s="21">
        <f t="shared" si="42"/>
        <v>-132</v>
      </c>
      <c r="BN1580" s="22">
        <f t="shared" ref="BN1580" si="208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IF(AV1580&gt;AV1581, 1-_xlpm.interp, _xlpm.interp)
)</f>
        <v>0.43672147667532346</v>
      </c>
      <c r="BO1580" s="22">
        <f t="shared" si="44"/>
        <v>0.67708682560912714</v>
      </c>
      <c r="BP1580" s="22">
        <f t="shared" si="44"/>
        <v>0.63807396122715521</v>
      </c>
      <c r="BQ1580" s="22">
        <f t="shared" si="44"/>
        <v>0.56928852045493983</v>
      </c>
      <c r="BR1580">
        <v>3.7</v>
      </c>
      <c r="BS1580">
        <v>3.9</v>
      </c>
      <c r="BT1580">
        <v>0.46905000000000002</v>
      </c>
      <c r="BU1580">
        <v>0.2233</v>
      </c>
      <c r="BV1580">
        <v>0.24599554938638801</v>
      </c>
      <c r="BW1580">
        <v>0.31556000000000001</v>
      </c>
    </row>
    <row r="1581" spans="1:75" ht="16.75" customHeight="1" x14ac:dyDescent="0.2">
      <c r="A1581" t="str">
        <f t="shared" si="11"/>
        <v>2025020760 PIT</v>
      </c>
      <c r="B1581">
        <v>2025020760</v>
      </c>
      <c r="C1581" s="1">
        <v>46039</v>
      </c>
      <c r="D1581" s="2" t="s">
        <v>9</v>
      </c>
      <c r="E1581" t="s">
        <v>21</v>
      </c>
      <c r="F1581" s="2">
        <v>1</v>
      </c>
      <c r="G1581" s="2">
        <v>1</v>
      </c>
      <c r="H1581" t="s">
        <v>47</v>
      </c>
      <c r="I1581" t="str">
        <f t="shared" si="176"/>
        <v>PIT Arturs Silovs</v>
      </c>
      <c r="J1581" s="33" t="s">
        <v>232</v>
      </c>
      <c r="K1581" s="14">
        <v>2.96</v>
      </c>
      <c r="L1581" s="13">
        <v>0.15</v>
      </c>
      <c r="M1581" s="28">
        <v>0.1</v>
      </c>
      <c r="N1581">
        <f>IFERROR(_xlfn.XLOOKUP(A1581,Params!A:A,Params!D:D),0)</f>
        <v>3.3499999999999899</v>
      </c>
      <c r="O1581">
        <f t="shared" ref="O1581" si="209">N1580</f>
        <v>3.2499999999999898</v>
      </c>
      <c r="P1581" s="68">
        <f t="shared" si="14"/>
        <v>3.3499999999999899</v>
      </c>
      <c r="Q1581">
        <f t="shared" ref="Q1581" si="210">P1580</f>
        <v>3.2499999999999898</v>
      </c>
      <c r="R1581" s="5">
        <f t="shared" ref="R1581" si="211">N1581/W1581/X1581/Z1580/AB1580/AA1581</f>
        <v>2.8041593975354342</v>
      </c>
      <c r="S1581" s="5">
        <f t="shared" ref="S1581" si="212">O1581/W1580/Y1581/Z1581/AA1580/AB1581</f>
        <v>3.2638415547587907</v>
      </c>
      <c r="T1581" s="5">
        <f t="shared" ref="T1581" si="213">P1581/W1581/X1581/Z1580/AB1580</f>
        <v>2.8041593975354342</v>
      </c>
      <c r="U1581" s="5">
        <f t="shared" ref="U1581" si="214">Q1581/W1580/Y1581/Z1581/AA1580</f>
        <v>3.3454375936277603</v>
      </c>
      <c r="V1581" s="5">
        <f>_xlfn.XLOOKUP(H1581,'Rest - Home'!A:A,'Rest - Home'!B:B)</f>
        <v>1.048</v>
      </c>
      <c r="W1581" s="5">
        <f>_xlfn.XLOOKUP(H1581,'Rest - Home'!A:A,'Rest - Home'!C:C)</f>
        <v>1.0491546019013618</v>
      </c>
      <c r="X1581" s="5">
        <f t="shared" ref="X1581" si="215">AM1580/K1581</f>
        <v>1.0844594594594594</v>
      </c>
      <c r="Y1581" s="5">
        <f t="shared" ref="Y1581" si="216">AK1580/K1581</f>
        <v>1.0202702702702704</v>
      </c>
      <c r="Z1581" s="5">
        <f>IF(J1581="",1,(_xlfn.XLOOKUP(I1581,Goalies!B:B,Goalies!J:J)))</f>
        <v>1.03</v>
      </c>
      <c r="AA1581" s="23">
        <v>1</v>
      </c>
      <c r="AB1581" s="23">
        <v>1.0249999999999999</v>
      </c>
      <c r="AC1581" s="23">
        <f>_xlfn.XLOOKUP(E1581,'Game Adjustments'!A:A,'Game Adjustments'!B:B)</f>
        <v>1</v>
      </c>
      <c r="AD1581" s="23">
        <f>_xlfn.XLOOKUP(E1581,'Game Adjustments'!A:A,'Game Adjustments'!C:C)</f>
        <v>1</v>
      </c>
      <c r="AE1581" s="23">
        <f>IF(D1581="A",_xlfn.XLOOKUP(E1581,'Rest - Home'!F:F,'Rest - Home'!J:J),_xlfn.XLOOKUP(E1581,'Rest - Home'!F:F,'Rest - Home'!I:I))</f>
        <v>1</v>
      </c>
      <c r="AF1581" s="23">
        <f>IF(D1581="A",_xlfn.XLOOKUP(E1581,'Rest - Home'!F:F,'Rest - Home'!L:L),_xlfn.XLOOKUP(E1581,'Rest - Home'!F:F,'Rest - Home'!K:K))</f>
        <v>1</v>
      </c>
      <c r="AG1581" s="26">
        <v>1</v>
      </c>
      <c r="AH1581" s="26">
        <v>1</v>
      </c>
      <c r="AI1581" s="53" cm="1">
        <f t="array" ref="AI1581">MAX(IF($E$63:E1580=E1581,ROW($E$63:E1580)-MIN(ROW($E$63:E1580))+1))</f>
        <v>1481</v>
      </c>
      <c r="AJ1581" s="53" cm="1">
        <f t="array" ref="AJ1581">MAX(IF($I$105:I1580=I1581,ROW($I$105:I1580)-MIN(ROW($I$105:I1580))+1))</f>
        <v>1355</v>
      </c>
      <c r="AK1581" s="23">
        <f>IF(AI1581=0,_xlfn.XLOOKUP(E1581,'Starting GF'!A:A,'Starting GF'!B:B),INDEX($AL$63:$AL1581,AI1581))</f>
        <v>3</v>
      </c>
      <c r="AL1581" s="23">
        <v>2.98</v>
      </c>
      <c r="AM1581" s="23">
        <f>IF(AI1581=0,_xlfn.XLOOKUP(E1581,'Starting GF'!A:A,'Starting GF'!C:C),INDEX($AN$63:$AN1581,AI1581))</f>
        <v>3.21</v>
      </c>
      <c r="AN1581" s="23">
        <v>3.21</v>
      </c>
      <c r="AO1581" s="23">
        <f>IF(AJ1581=0,_xlfn.XLOOKUP(I1581,Goalies!B:B,Goalies!I:I),INDEX($AP$105:$AP1581,AJ1581))</f>
        <v>3.2859629317864623</v>
      </c>
      <c r="AP1581" s="23">
        <f t="shared" si="23"/>
        <v>3.297332012228726</v>
      </c>
      <c r="AQ1581" s="23">
        <f t="shared" si="24"/>
        <v>3.3063000000000002</v>
      </c>
      <c r="AR1581" s="66">
        <v>-0.02</v>
      </c>
      <c r="AS1581" s="96" t="s">
        <v>1594</v>
      </c>
      <c r="AT1581" s="20">
        <f t="shared" ref="AT1581" si="217">(AK1581*V1581*X1581*Z1580*AA1581*AB1580*AC1581*AD1580*AG1581*AH1580)+AR1581</f>
        <v>3.5600175675675678</v>
      </c>
      <c r="AU1581" s="20">
        <f t="shared" ref="AU1581" si="218">AT1580</f>
        <v>3.2062268565793914</v>
      </c>
      <c r="AV1581" s="12">
        <f t="shared" ref="AV1581" si="219">AK1581*W1581*X1581*Z1580*AA1581*AB1580</f>
        <v>3.583961742272169</v>
      </c>
      <c r="AW1581" s="12">
        <f t="shared" ref="AW1581" si="220">AV1580</f>
        <v>3.1862268565793914</v>
      </c>
      <c r="AX1581" s="8">
        <f t="shared" si="29"/>
        <v>0.21001756756757795</v>
      </c>
      <c r="AY1581" s="8">
        <f t="shared" si="30"/>
        <v>-4.3773143420598348E-2</v>
      </c>
      <c r="AZ1581" s="8">
        <f t="shared" si="31"/>
        <v>0.1662444241469796</v>
      </c>
      <c r="BA1581" s="8">
        <f t="shared" si="32"/>
        <v>0.25379071098817629</v>
      </c>
      <c r="BB1581" s="62">
        <f t="shared" si="33"/>
        <v>-126</v>
      </c>
      <c r="BC1581" s="21">
        <f t="shared" si="34"/>
        <v>207</v>
      </c>
      <c r="BD1581" s="21">
        <f t="shared" si="35"/>
        <v>174</v>
      </c>
      <c r="BE1581" s="21">
        <f t="shared" si="36"/>
        <v>131</v>
      </c>
      <c r="BF1581" s="94">
        <f t="shared" si="57"/>
        <v>0.55689073026767022</v>
      </c>
      <c r="BG1581" s="22">
        <f t="shared" ref="BG1581" si="221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0.32525053056708259</v>
      </c>
      <c r="BH1581" s="22">
        <f t="shared" ref="BH1581" si="222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0.36442880997884897</v>
      </c>
      <c r="BI1581" s="22">
        <f t="shared" ref="BI1581" si="223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0.43275973332644241</v>
      </c>
      <c r="BJ1581" s="21">
        <f t="shared" si="39"/>
        <v>-129</v>
      </c>
      <c r="BK1581" s="21">
        <f t="shared" si="40"/>
        <v>210</v>
      </c>
      <c r="BL1581" s="21">
        <f t="shared" si="41"/>
        <v>176</v>
      </c>
      <c r="BM1581" s="21">
        <f t="shared" si="42"/>
        <v>132</v>
      </c>
      <c r="BN1581" s="22">
        <f t="shared" si="61"/>
        <v>0.56327852332467654</v>
      </c>
      <c r="BO1581" s="22">
        <f t="shared" ref="BO1581" si="224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0.32291317439087286</v>
      </c>
      <c r="BP1581" s="22">
        <f t="shared" ref="BP1581" si="225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0.36192603877284479</v>
      </c>
      <c r="BQ1581" s="22">
        <f t="shared" ref="BQ1581" si="226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0.43071147954506017</v>
      </c>
      <c r="BR1581">
        <v>3.7</v>
      </c>
      <c r="BS1581">
        <v>3.95</v>
      </c>
      <c r="BT1581">
        <v>0.46099000000000001</v>
      </c>
      <c r="BU1581">
        <v>0.2185</v>
      </c>
      <c r="BV1581">
        <v>0.24029737487490199</v>
      </c>
      <c r="BW1581">
        <v>0.30920999999999998</v>
      </c>
    </row>
    <row r="1582" spans="1:75" ht="16.75" customHeight="1" x14ac:dyDescent="0.2">
      <c r="A1582" t="str">
        <f t="shared" si="11"/>
        <v>2025020761 FLA</v>
      </c>
      <c r="B1582">
        <v>2025020761</v>
      </c>
      <c r="C1582" s="1">
        <v>46039</v>
      </c>
      <c r="D1582" s="2" t="s">
        <v>6</v>
      </c>
      <c r="E1582" t="s">
        <v>10</v>
      </c>
      <c r="F1582" s="2">
        <v>0</v>
      </c>
      <c r="G1582" s="2">
        <v>1</v>
      </c>
      <c r="H1582" t="s">
        <v>26</v>
      </c>
      <c r="I1582" t="str">
        <f t="shared" si="176"/>
        <v>FLA Daniil Tarasov</v>
      </c>
      <c r="J1582" s="33" t="s">
        <v>166</v>
      </c>
      <c r="K1582" s="14">
        <v>2.96</v>
      </c>
      <c r="L1582" s="13">
        <v>0.15</v>
      </c>
      <c r="M1582" s="28">
        <v>0.1</v>
      </c>
      <c r="N1582">
        <f>IFERROR(_xlfn.XLOOKUP(A1582,Params!A:A,Params!D:D),0)</f>
        <v>2.7499999999999898</v>
      </c>
      <c r="O1582">
        <f t="shared" ref="O1582" si="227">N1583</f>
        <v>3.3499999999999899</v>
      </c>
      <c r="P1582" s="68">
        <f t="shared" si="14"/>
        <v>2.7499999999999898</v>
      </c>
      <c r="Q1582">
        <f t="shared" ref="Q1582" si="228">P1583</f>
        <v>3.3499999999999899</v>
      </c>
      <c r="R1582" s="5">
        <f t="shared" ref="R1582" si="229">N1582/W1582/X1582/Z1583/AB1583/AA1582</f>
        <v>3.097610397536275</v>
      </c>
      <c r="S1582" s="5">
        <f t="shared" ref="S1582" si="230">O1582/W1583/Y1582/Z1582/AA1583/AB1582</f>
        <v>3.0730642876584269</v>
      </c>
      <c r="T1582" s="5">
        <f t="shared" ref="T1582" si="231">P1582/W1582/X1582/Z1583/AB1583</f>
        <v>2.9891940336225051</v>
      </c>
      <c r="U1582" s="5">
        <f t="shared" ref="U1582" si="232">Q1582/W1583/Y1582/Z1582/AA1583</f>
        <v>3.1959868591647642</v>
      </c>
      <c r="V1582" s="5">
        <f>_xlfn.XLOOKUP(H1582,'Rest - Home'!A:A,'Rest - Home'!B:B)</f>
        <v>0.95</v>
      </c>
      <c r="W1582" s="5">
        <f>_xlfn.XLOOKUP(H1582,'Rest - Home'!A:A,'Rest - Home'!C:C)</f>
        <v>0.92554174501717079</v>
      </c>
      <c r="X1582" s="5">
        <f t="shared" ref="X1582" si="233">AM1583/K1582</f>
        <v>1.0194782381434842</v>
      </c>
      <c r="Y1582" s="5">
        <f t="shared" ref="Y1582" si="234">AK1583/K1582</f>
        <v>1.0236486486486487</v>
      </c>
      <c r="Z1582" s="5">
        <f>IF(J1582="",1,(_xlfn.XLOOKUP(I1582,Goalies!B:B,Goalies!J:J)))</f>
        <v>1.0049999999999999</v>
      </c>
      <c r="AA1582" s="23">
        <v>0.96499999999999997</v>
      </c>
      <c r="AB1582" s="23">
        <v>1.04</v>
      </c>
      <c r="AC1582" s="23">
        <f>_xlfn.XLOOKUP(E1582,'Game Adjustments'!A:A,'Game Adjustments'!B:B)</f>
        <v>1</v>
      </c>
      <c r="AD1582" s="23">
        <f>_xlfn.XLOOKUP(E1582,'Game Adjustments'!A:A,'Game Adjustments'!C:C)</f>
        <v>1</v>
      </c>
      <c r="AE1582" s="23">
        <f>IF(D1582="A",_xlfn.XLOOKUP(E1582,'Rest - Home'!F:F,'Rest - Home'!J:J),_xlfn.XLOOKUP(E1582,'Rest - Home'!F:F,'Rest - Home'!I:I))</f>
        <v>1</v>
      </c>
      <c r="AF1582" s="23">
        <f>IF(D1582="A",_xlfn.XLOOKUP(E1582,'Rest - Home'!F:F,'Rest - Home'!L:L),_xlfn.XLOOKUP(E1582,'Rest - Home'!F:F,'Rest - Home'!K:K))</f>
        <v>1</v>
      </c>
      <c r="AG1582" s="26">
        <v>1</v>
      </c>
      <c r="AH1582" s="26">
        <v>1</v>
      </c>
      <c r="AI1582" s="53" cm="1">
        <f t="array" ref="AI1582">MAX(IF($E$63:E1581=E1582,ROW($E$63:E1581)-MIN(ROW($E$63:E1581))+1))</f>
        <v>1498</v>
      </c>
      <c r="AJ1582" s="53" cm="1">
        <f t="array" ref="AJ1582">MAX(IF($I$105:I1581=I1582,ROW($I$105:I1581)-MIN(ROW($I$105:I1581))+1))</f>
        <v>1277</v>
      </c>
      <c r="AK1582" s="23">
        <f>IF(AI1582=0,_xlfn.XLOOKUP(E1582,'Starting GF'!A:A,'Starting GF'!B:B),INDEX($AL$63:$AL1582,AI1582))</f>
        <v>3</v>
      </c>
      <c r="AL1582" s="23">
        <f t="shared" si="73"/>
        <v>3.0130153141717346</v>
      </c>
      <c r="AM1582" s="23">
        <f>IF(AI1582=0,_xlfn.XLOOKUP(E1582,'Starting GF'!A:A,'Starting GF'!C:C),INDEX($AN$63:$AN1582,AI1582))</f>
        <v>2.82</v>
      </c>
      <c r="AN1582" s="23">
        <v>2.84</v>
      </c>
      <c r="AO1582" s="23">
        <f>IF(AJ1582=0,_xlfn.XLOOKUP(I1582,Goalies!B:B,Goalies!I:I),INDEX($AP$105:$AP1582,AJ1582))</f>
        <v>2.8909456089376877</v>
      </c>
      <c r="AP1582" s="23">
        <f t="shared" si="23"/>
        <v>2.9205682089615421</v>
      </c>
      <c r="AQ1582" s="23">
        <f t="shared" si="24"/>
        <v>2.8340999999999994</v>
      </c>
      <c r="AR1582" s="66">
        <v>0.02</v>
      </c>
      <c r="AS1582" s="96" t="s">
        <v>1593</v>
      </c>
      <c r="AT1582" s="20">
        <f t="shared" ref="AT1582" si="235">(AK1582*V1582*X1582*Z1583*AA1582*AB1583*AC1582*AD1583*AG1582*AH1583)+AR1582</f>
        <v>2.7537245238427639</v>
      </c>
      <c r="AU1582" s="20">
        <f t="shared" ref="AU1582" si="236">AT1583</f>
        <v>2.9896246216891886</v>
      </c>
      <c r="AV1582" s="12">
        <f t="shared" ref="AV1582" si="237">AK1582*V1582*X1582*Z1583*AA1582*AB1583</f>
        <v>2.7337245238427639</v>
      </c>
      <c r="AW1582" s="12">
        <f t="shared" ref="AW1582" si="238">AV1583</f>
        <v>3.0741302868083733</v>
      </c>
      <c r="AX1582" s="8">
        <f t="shared" si="29"/>
        <v>3.7245238427741079E-3</v>
      </c>
      <c r="AY1582" s="8">
        <f t="shared" si="30"/>
        <v>-0.36037537831080124</v>
      </c>
      <c r="AZ1582" s="8">
        <f t="shared" si="31"/>
        <v>-0.35665085446802713</v>
      </c>
      <c r="BA1582" s="8">
        <f t="shared" si="32"/>
        <v>0.36409990215357535</v>
      </c>
      <c r="BB1582" s="62">
        <f t="shared" si="33"/>
        <v>117</v>
      </c>
      <c r="BC1582" s="21">
        <f t="shared" si="34"/>
        <v>-108</v>
      </c>
      <c r="BD1582" s="21">
        <f t="shared" si="35"/>
        <v>118</v>
      </c>
      <c r="BE1582" s="21">
        <f t="shared" si="36"/>
        <v>146</v>
      </c>
      <c r="BF1582" s="94">
        <f t="shared" ref="BF1582" si="239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IF(AT1582&gt;AT1583, 1-_xlpm.interp, _xlpm.interp)
)</f>
        <v>0.4599758871410991</v>
      </c>
      <c r="BG1582" s="22">
        <f t="shared" si="38"/>
        <v>0.51984939844507161</v>
      </c>
      <c r="BH1582" s="22">
        <f t="shared" si="38"/>
        <v>0.45846576111278681</v>
      </c>
      <c r="BI1582" s="22">
        <f t="shared" si="38"/>
        <v>0.40650111357633401</v>
      </c>
      <c r="BJ1582" s="21">
        <f t="shared" si="39"/>
        <v>126</v>
      </c>
      <c r="BK1582" s="21">
        <f t="shared" si="40"/>
        <v>-113</v>
      </c>
      <c r="BL1582" s="21">
        <f t="shared" si="41"/>
        <v>112</v>
      </c>
      <c r="BM1582" s="21">
        <f t="shared" si="42"/>
        <v>139</v>
      </c>
      <c r="BN1582" s="22">
        <f t="shared" ref="BN1582" si="240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IF(AV1582&gt;AV1583, 1-_xlpm.interp, _xlpm.interp)
)</f>
        <v>0.44157349546515612</v>
      </c>
      <c r="BO1582" s="22">
        <f t="shared" si="44"/>
        <v>0.53068637818425213</v>
      </c>
      <c r="BP1582" s="22">
        <f t="shared" si="44"/>
        <v>0.47092986498101164</v>
      </c>
      <c r="BQ1582" s="22">
        <f t="shared" si="44"/>
        <v>0.4177462349324319</v>
      </c>
      <c r="BR1582">
        <v>3.7</v>
      </c>
      <c r="BS1582">
        <v>4</v>
      </c>
      <c r="BT1582">
        <v>0.45129999999999998</v>
      </c>
      <c r="BU1582">
        <v>0.21512000000000001</v>
      </c>
      <c r="BV1582">
        <v>0.236548971311069</v>
      </c>
      <c r="BW1582">
        <v>0.30570999999999998</v>
      </c>
    </row>
    <row r="1583" spans="1:75" ht="16.75" customHeight="1" x14ac:dyDescent="0.2">
      <c r="A1583" t="str">
        <f t="shared" si="11"/>
        <v>2025020761 WSH</v>
      </c>
      <c r="B1583">
        <v>2025020761</v>
      </c>
      <c r="C1583" s="1">
        <v>46039</v>
      </c>
      <c r="D1583" s="2" t="s">
        <v>9</v>
      </c>
      <c r="E1583" t="s">
        <v>49</v>
      </c>
      <c r="F1583" s="2">
        <v>1</v>
      </c>
      <c r="G1583" s="2">
        <v>0</v>
      </c>
      <c r="H1583" t="s">
        <v>27</v>
      </c>
      <c r="I1583" t="str">
        <f t="shared" si="176"/>
        <v>WSH Logan Thompson</v>
      </c>
      <c r="J1583" s="33" t="s">
        <v>197</v>
      </c>
      <c r="K1583" s="14">
        <v>2.96</v>
      </c>
      <c r="L1583" s="13">
        <v>0.15</v>
      </c>
      <c r="M1583" s="28">
        <v>0.1</v>
      </c>
      <c r="N1583">
        <f>IFERROR(_xlfn.XLOOKUP(A1583,Params!A:A,Params!D:D),0)</f>
        <v>3.3499999999999899</v>
      </c>
      <c r="O1583">
        <f t="shared" ref="O1583" si="241">N1582</f>
        <v>2.7499999999999898</v>
      </c>
      <c r="P1583" s="68">
        <f t="shared" si="14"/>
        <v>3.3499999999999899</v>
      </c>
      <c r="Q1583">
        <f t="shared" ref="Q1583" si="242">P1582</f>
        <v>2.7499999999999898</v>
      </c>
      <c r="R1583" s="5">
        <f t="shared" ref="R1583" si="243">N1583/W1583/X1583/Z1582/AB1582/AA1583</f>
        <v>3.3019095005691614</v>
      </c>
      <c r="S1583" s="5">
        <f t="shared" ref="S1583" si="244">O1583/W1582/Y1583/Z1583/AA1582/AB1583</f>
        <v>3.115840438661416</v>
      </c>
      <c r="T1583" s="5">
        <f t="shared" ref="T1583" si="245">P1583/W1583/X1583/Z1582/AB1582</f>
        <v>3.1368140255407031</v>
      </c>
      <c r="U1583" s="5">
        <f t="shared" ref="U1583" si="246">Q1583/W1582/Y1583/Z1583/AA1582</f>
        <v>3.115840438661416</v>
      </c>
      <c r="V1583" s="5">
        <f>_xlfn.XLOOKUP(H1583,'Rest - Home'!A:A,'Rest - Home'!B:B)</f>
        <v>1.05</v>
      </c>
      <c r="W1583" s="5">
        <f>_xlfn.XLOOKUP(H1583,'Rest - Home'!A:A,'Rest - Home'!C:C)</f>
        <v>1.0725047827848808</v>
      </c>
      <c r="X1583" s="5">
        <f t="shared" ref="X1583" si="247">AM1582/K1583</f>
        <v>0.95270270270270263</v>
      </c>
      <c r="Y1583" s="5">
        <f t="shared" ref="Y1583" si="248">AK1582/K1583</f>
        <v>1.0135135135135136</v>
      </c>
      <c r="Z1583" s="5">
        <f>IF(J1583="",1,(_xlfn.XLOOKUP(I1583,Goalies!B:B,Goalies!J:J)))</f>
        <v>0.97499999999999998</v>
      </c>
      <c r="AA1583" s="23">
        <v>0.95</v>
      </c>
      <c r="AB1583" s="23">
        <v>1</v>
      </c>
      <c r="AC1583" s="23">
        <f>_xlfn.XLOOKUP(E1583,'Game Adjustments'!A:A,'Game Adjustments'!B:B)</f>
        <v>1</v>
      </c>
      <c r="AD1583" s="23">
        <f>_xlfn.XLOOKUP(E1583,'Game Adjustments'!A:A,'Game Adjustments'!C:C)</f>
        <v>1</v>
      </c>
      <c r="AE1583" s="23">
        <f>IF(D1583="A",_xlfn.XLOOKUP(E1583,'Rest - Home'!F:F,'Rest - Home'!J:J),_xlfn.XLOOKUP(E1583,'Rest - Home'!F:F,'Rest - Home'!I:I))</f>
        <v>1</v>
      </c>
      <c r="AF1583" s="23">
        <f>IF(D1583="A",_xlfn.XLOOKUP(E1583,'Rest - Home'!F:F,'Rest - Home'!L:L),_xlfn.XLOOKUP(E1583,'Rest - Home'!F:F,'Rest - Home'!K:K))</f>
        <v>1</v>
      </c>
      <c r="AG1583" s="26">
        <v>1</v>
      </c>
      <c r="AH1583" s="26">
        <v>1</v>
      </c>
      <c r="AI1583" s="53" cm="1">
        <f t="array" ref="AI1583">MAX(IF($E$63:E1582=E1583,ROW($E$63:E1582)-MIN(ROW($E$63:E1582))+1))</f>
        <v>1483</v>
      </c>
      <c r="AJ1583" s="53" cm="1">
        <f t="array" ref="AJ1583">MAX(IF($I$105:I1582=I1583,ROW($I$105:I1582)-MIN(ROW($I$105:I1582))+1))</f>
        <v>1441</v>
      </c>
      <c r="AK1583" s="23">
        <f>IF(AI1583=0,_xlfn.XLOOKUP(E1583,'Starting GF'!A:A,'Starting GF'!B:B),INDEX($AL$63:$AL1583,AI1583))</f>
        <v>3.03</v>
      </c>
      <c r="AL1583" s="23">
        <v>3.03</v>
      </c>
      <c r="AM1583" s="23">
        <f>IF(AI1583=0,_xlfn.XLOOKUP(E1583,'Starting GF'!A:A,'Starting GF'!C:C),INDEX($AN$63:$AN1583,AI1583))</f>
        <v>3.0176555849047131</v>
      </c>
      <c r="AN1583" s="23">
        <v>3.05</v>
      </c>
      <c r="AO1583" s="23">
        <f>IF(AJ1583=0,_xlfn.XLOOKUP(I1583,Goalies!B:B,Goalies!I:I),INDEX($AP$105:$AP1583,AJ1583))</f>
        <v>2.979718458701158</v>
      </c>
      <c r="AP1583" s="23">
        <f t="shared" si="23"/>
        <v>2.9884523540502164</v>
      </c>
      <c r="AQ1583" s="23">
        <f t="shared" si="24"/>
        <v>2.9422141952820953</v>
      </c>
      <c r="AR1583" s="66">
        <v>-0.02</v>
      </c>
      <c r="AS1583" s="96" t="s">
        <v>1593</v>
      </c>
      <c r="AT1583" s="20">
        <f t="shared" ref="AT1583" si="249">(AK1583*V1583*X1583*Z1582*AA1583*AB1582*AC1583*AD1582*AG1583*AH1582)+AR1583</f>
        <v>2.9896246216891886</v>
      </c>
      <c r="AU1583" s="20">
        <f t="shared" ref="AU1583" si="250">AT1582</f>
        <v>2.7537245238427639</v>
      </c>
      <c r="AV1583" s="12">
        <f t="shared" ref="AV1583" si="251">AK1583*W1583*X1583*Z1582*AA1583*AB1582</f>
        <v>3.0741302868083733</v>
      </c>
      <c r="AW1583" s="12">
        <f t="shared" ref="AW1583" si="252">AV1582</f>
        <v>2.7337245238427639</v>
      </c>
      <c r="AX1583" s="8">
        <f t="shared" si="29"/>
        <v>-0.36037537831080124</v>
      </c>
      <c r="AY1583" s="8">
        <f t="shared" si="30"/>
        <v>3.7245238427741079E-3</v>
      </c>
      <c r="AZ1583" s="8">
        <f t="shared" si="31"/>
        <v>-0.35665085446802713</v>
      </c>
      <c r="BA1583" s="8">
        <f t="shared" si="32"/>
        <v>-0.36409990215357535</v>
      </c>
      <c r="BB1583" s="62">
        <f t="shared" si="33"/>
        <v>-117</v>
      </c>
      <c r="BC1583" s="21">
        <f t="shared" si="34"/>
        <v>108</v>
      </c>
      <c r="BD1583" s="21">
        <f t="shared" si="35"/>
        <v>-118</v>
      </c>
      <c r="BE1583" s="21">
        <f t="shared" si="36"/>
        <v>-146</v>
      </c>
      <c r="BF1583" s="94">
        <f t="shared" si="57"/>
        <v>0.54002411285890095</v>
      </c>
      <c r="BG1583" s="22">
        <f t="shared" ref="BG1583" si="253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0.48015060155492834</v>
      </c>
      <c r="BH1583" s="22">
        <f t="shared" ref="BH1583" si="254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0.54153423888721319</v>
      </c>
      <c r="BI1583" s="22">
        <f t="shared" ref="BI1583" si="255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0.59349888642366599</v>
      </c>
      <c r="BJ1583" s="21">
        <f t="shared" si="39"/>
        <v>-126</v>
      </c>
      <c r="BK1583" s="21">
        <f t="shared" si="40"/>
        <v>113</v>
      </c>
      <c r="BL1583" s="21">
        <f t="shared" si="41"/>
        <v>-112</v>
      </c>
      <c r="BM1583" s="21">
        <f t="shared" si="42"/>
        <v>-139</v>
      </c>
      <c r="BN1583" s="22">
        <f t="shared" si="61"/>
        <v>0.55842650453484388</v>
      </c>
      <c r="BO1583" s="22">
        <f t="shared" ref="BO1583" si="256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0.46931362181574787</v>
      </c>
      <c r="BP1583" s="22">
        <f t="shared" ref="BP1583" si="257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0.52907013501898836</v>
      </c>
      <c r="BQ1583" s="22">
        <f t="shared" ref="BQ1583" si="258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0.5822537650675681</v>
      </c>
      <c r="BR1583">
        <v>3.7</v>
      </c>
      <c r="BS1583">
        <v>4.05</v>
      </c>
      <c r="BT1583">
        <v>0.44813999999999998</v>
      </c>
      <c r="BU1583">
        <v>0.21096000000000001</v>
      </c>
      <c r="BV1583">
        <v>0.23112065471038701</v>
      </c>
      <c r="BW1583">
        <v>0.29819000000000001</v>
      </c>
    </row>
    <row r="1584" spans="1:75" ht="16.75" customHeight="1" x14ac:dyDescent="0.2">
      <c r="A1584" t="str">
        <f t="shared" si="11"/>
        <v>2025020758 MTL</v>
      </c>
      <c r="B1584">
        <v>2025020758</v>
      </c>
      <c r="C1584" s="1">
        <v>46039</v>
      </c>
      <c r="D1584" s="2" t="s">
        <v>6</v>
      </c>
      <c r="E1584" t="s">
        <v>19</v>
      </c>
      <c r="F1584" s="2">
        <v>1</v>
      </c>
      <c r="G1584" s="2">
        <v>2</v>
      </c>
      <c r="H1584" t="s">
        <v>36</v>
      </c>
      <c r="I1584" t="str">
        <f t="shared" si="176"/>
        <v>MTL Sam Montembeault</v>
      </c>
      <c r="J1584" s="33" t="s">
        <v>170</v>
      </c>
      <c r="K1584" s="14">
        <v>2.96</v>
      </c>
      <c r="L1584" s="13">
        <v>0.15</v>
      </c>
      <c r="M1584" s="28">
        <v>0.1</v>
      </c>
      <c r="N1584">
        <f>IFERROR(_xlfn.XLOOKUP(A1584,Params!A:A,Params!D:D),0)</f>
        <v>2.9999999999999898</v>
      </c>
      <c r="O1584">
        <f t="shared" ref="O1584" si="259">N1585</f>
        <v>3.19999999999999</v>
      </c>
      <c r="P1584" s="68">
        <f t="shared" si="14"/>
        <v>2.9999999999999898</v>
      </c>
      <c r="Q1584">
        <f t="shared" ref="Q1584" si="260">P1585</f>
        <v>3.19999999999999</v>
      </c>
      <c r="R1584" s="5">
        <f t="shared" ref="R1584" si="261">N1584/W1584/X1584/Z1585/AB1585/AA1584</f>
        <v>2.9830148529213574</v>
      </c>
      <c r="S1584" s="5">
        <f t="shared" ref="S1584" si="262">O1584/W1585/Y1584/Z1584/AA1585/AB1584</f>
        <v>2.9767298757670035</v>
      </c>
      <c r="T1584" s="5">
        <f t="shared" ref="T1584" si="263">P1584/W1584/X1584/Z1585/AB1585</f>
        <v>2.9233545558629301</v>
      </c>
      <c r="U1584" s="5">
        <f t="shared" ref="U1584" si="264">Q1584/W1585/Y1584/Z1584/AA1585</f>
        <v>2.9767298757670035</v>
      </c>
      <c r="V1584" s="5">
        <f>_xlfn.XLOOKUP(H1584,'Rest - Home'!A:A,'Rest - Home'!B:B)</f>
        <v>0.97</v>
      </c>
      <c r="W1584" s="5">
        <f>_xlfn.XLOOKUP(H1584,'Rest - Home'!A:A,'Rest - Home'!C:C)</f>
        <v>0.95751047349149665</v>
      </c>
      <c r="X1584" s="5">
        <f t="shared" ref="X1584" si="265">AM1585/K1584</f>
        <v>1.0405405405405406</v>
      </c>
      <c r="Y1584" s="5">
        <f t="shared" ref="Y1584" si="266">AK1585/K1584</f>
        <v>1.0337837837837838</v>
      </c>
      <c r="Z1584" s="5">
        <f>IF(J1584="",1,(_xlfn.XLOOKUP(I1584,Goalies!B:B,Goalies!J:J)))</f>
        <v>1</v>
      </c>
      <c r="AA1584" s="23">
        <v>0.98</v>
      </c>
      <c r="AB1584" s="23">
        <v>1</v>
      </c>
      <c r="AC1584" s="23">
        <f>_xlfn.XLOOKUP(E1584,'Game Adjustments'!A:A,'Game Adjustments'!B:B)</f>
        <v>1</v>
      </c>
      <c r="AD1584" s="23">
        <f>_xlfn.XLOOKUP(E1584,'Game Adjustments'!A:A,'Game Adjustments'!C:C)</f>
        <v>1</v>
      </c>
      <c r="AE1584" s="23">
        <f>IF(D1584="A",_xlfn.XLOOKUP(E1584,'Rest - Home'!F:F,'Rest - Home'!J:J),_xlfn.XLOOKUP(E1584,'Rest - Home'!F:F,'Rest - Home'!I:I))</f>
        <v>1</v>
      </c>
      <c r="AF1584" s="23">
        <f>IF(D1584="A",_xlfn.XLOOKUP(E1584,'Rest - Home'!F:F,'Rest - Home'!L:L),_xlfn.XLOOKUP(E1584,'Rest - Home'!F:F,'Rest - Home'!K:K))</f>
        <v>1</v>
      </c>
      <c r="AG1584" s="26">
        <v>1</v>
      </c>
      <c r="AH1584" s="26">
        <v>1</v>
      </c>
      <c r="AI1584" s="53" cm="1">
        <f t="array" ref="AI1584">MAX(IF($E$63:E1583=E1584,ROW($E$63:E1583)-MIN(ROW($E$63:E1583))+1))</f>
        <v>1478</v>
      </c>
      <c r="AJ1584" s="53" cm="1">
        <f t="array" ref="AJ1584">MAX(IF($I$105:I1583=I1584,ROW($I$105:I1583)-MIN(ROW($I$105:I1583))+1))</f>
        <v>1410</v>
      </c>
      <c r="AK1584" s="23">
        <f>IF(AI1584=0,_xlfn.XLOOKUP(E1584,'Starting GF'!A:A,'Starting GF'!B:B),INDEX($AL$63:$AL1584,AI1584))</f>
        <v>3.091716268933987</v>
      </c>
      <c r="AL1584" s="23">
        <f t="shared" si="73"/>
        <v>3.0745161520762161</v>
      </c>
      <c r="AM1584" s="23">
        <f>IF(AI1584=0,_xlfn.XLOOKUP(E1584,'Starting GF'!A:A,'Starting GF'!C:C),INDEX($AN$63:$AN1584,AI1584))</f>
        <v>2.9760330294921973</v>
      </c>
      <c r="AN1584" s="23">
        <v>3.01</v>
      </c>
      <c r="AO1584" s="23">
        <f>IF(AJ1584=0,_xlfn.XLOOKUP(I1584,Goalies!B:B,Goalies!I:I),INDEX($AP$105:$AP1584,AJ1584))</f>
        <v>3.0489269638691425</v>
      </c>
      <c r="AP1584" s="23">
        <f t="shared" si="23"/>
        <v>3.0380974006538217</v>
      </c>
      <c r="AQ1584" s="23">
        <f t="shared" si="24"/>
        <v>2.9760330294921973</v>
      </c>
      <c r="AR1584" s="66">
        <v>0</v>
      </c>
      <c r="AS1584" s="96" t="s">
        <v>1594</v>
      </c>
      <c r="AT1584" s="20">
        <f t="shared" ref="AT1584" si="267">(AK1584*V1584*X1584*Z1585*AA1584*AB1585*AC1584*AD1585*AG1584*AH1585)+AR1584</f>
        <v>3.1498775518252744</v>
      </c>
      <c r="AU1584" s="20">
        <f t="shared" ref="AU1584" si="268">AT1585</f>
        <v>3.2150205467591886</v>
      </c>
      <c r="AV1584" s="12">
        <f t="shared" ref="AV1584" si="269">AK1584*V1584*X1584*Z1585*AA1584*AB1585</f>
        <v>3.1498775518252744</v>
      </c>
      <c r="AW1584" s="12">
        <f t="shared" ref="AW1584" si="270">AV1585</f>
        <v>3.1992508866533163</v>
      </c>
      <c r="AX1584" s="8">
        <f t="shared" si="29"/>
        <v>0.14987755182528462</v>
      </c>
      <c r="AY1584" s="8">
        <f t="shared" si="30"/>
        <v>1.5020546759198616E-2</v>
      </c>
      <c r="AZ1584" s="8">
        <f t="shared" si="31"/>
        <v>0.16489809858448323</v>
      </c>
      <c r="BA1584" s="8">
        <f t="shared" si="32"/>
        <v>0.134857005066086</v>
      </c>
      <c r="BB1584" s="62">
        <f t="shared" si="33"/>
        <v>106</v>
      </c>
      <c r="BC1584" s="21">
        <f t="shared" si="34"/>
        <v>-161</v>
      </c>
      <c r="BD1584" s="21">
        <f t="shared" si="35"/>
        <v>-133</v>
      </c>
      <c r="BE1584" s="21">
        <f t="shared" si="36"/>
        <v>-103</v>
      </c>
      <c r="BF1584" s="94">
        <f t="shared" ref="BF1584" si="271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IF(AT1584&gt;AT1585, 1-_xlpm.interp, _xlpm.interp)
)</f>
        <v>0.48600158456996317</v>
      </c>
      <c r="BG1584" s="22">
        <f t="shared" si="38"/>
        <v>0.61758997806474614</v>
      </c>
      <c r="BH1584" s="22">
        <f t="shared" si="38"/>
        <v>0.57007113498284734</v>
      </c>
      <c r="BI1584" s="22">
        <f t="shared" si="38"/>
        <v>0.50705873351984665</v>
      </c>
      <c r="BJ1584" s="21">
        <f t="shared" si="39"/>
        <v>105</v>
      </c>
      <c r="BK1584" s="21">
        <f t="shared" si="40"/>
        <v>-160</v>
      </c>
      <c r="BL1584" s="21">
        <f t="shared" si="41"/>
        <v>-131</v>
      </c>
      <c r="BM1584" s="21">
        <f t="shared" si="42"/>
        <v>-102</v>
      </c>
      <c r="BN1584" s="22">
        <f t="shared" ref="BN1584" si="272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IF(AV1584&gt;AV1585, 1-_xlpm.interp, _xlpm.interp)
)</f>
        <v>0.48746550322818505</v>
      </c>
      <c r="BO1584" s="22">
        <f t="shared" si="44"/>
        <v>0.61551799374766336</v>
      </c>
      <c r="BP1584" s="22">
        <f t="shared" si="44"/>
        <v>0.56789983129036381</v>
      </c>
      <c r="BQ1584" s="22">
        <f t="shared" si="44"/>
        <v>0.50531675378741114</v>
      </c>
      <c r="BR1584">
        <v>3.7</v>
      </c>
      <c r="BS1584">
        <v>4.0999999999999996</v>
      </c>
      <c r="BT1584">
        <v>0.43852000000000002</v>
      </c>
      <c r="BU1584">
        <v>0.20411000000000001</v>
      </c>
      <c r="BV1584">
        <v>0.22357193712689599</v>
      </c>
      <c r="BW1584">
        <v>0.29115999999999997</v>
      </c>
    </row>
    <row r="1585" spans="1:75" ht="16.75" customHeight="1" x14ac:dyDescent="0.2">
      <c r="A1585" t="str">
        <f t="shared" si="11"/>
        <v>2025020758 OTT</v>
      </c>
      <c r="B1585">
        <v>2025020758</v>
      </c>
      <c r="C1585" s="1">
        <v>46039</v>
      </c>
      <c r="D1585" s="2" t="s">
        <v>9</v>
      </c>
      <c r="E1585" t="s">
        <v>39</v>
      </c>
      <c r="F1585" s="2">
        <v>2</v>
      </c>
      <c r="G1585" s="2">
        <v>1</v>
      </c>
      <c r="H1585" t="s">
        <v>38</v>
      </c>
      <c r="I1585" t="str">
        <f t="shared" si="176"/>
        <v>OTT Leevi Merilainen</v>
      </c>
      <c r="J1585" s="33" t="s">
        <v>450</v>
      </c>
      <c r="K1585" s="14">
        <v>2.96</v>
      </c>
      <c r="L1585" s="13">
        <v>0.15</v>
      </c>
      <c r="M1585" s="28">
        <v>0.1</v>
      </c>
      <c r="N1585">
        <f>IFERROR(_xlfn.XLOOKUP(A1585,Params!A:A,Params!D:D),0)</f>
        <v>3.19999999999999</v>
      </c>
      <c r="O1585">
        <f t="shared" ref="O1585" si="273">N1584</f>
        <v>2.9999999999999898</v>
      </c>
      <c r="P1585" s="68">
        <f t="shared" si="14"/>
        <v>3.19999999999999</v>
      </c>
      <c r="Q1585">
        <f t="shared" ref="Q1585" si="274">P1584</f>
        <v>2.9999999999999898</v>
      </c>
      <c r="R1585" s="5">
        <f t="shared" ref="R1585" si="275">N1585/W1585/X1585/Z1584/AB1584/AA1585</f>
        <v>3.0607165073706426</v>
      </c>
      <c r="S1585" s="5">
        <f t="shared" ref="S1585" si="276">O1585/W1584/Y1585/Z1585/AA1584/AB1585</f>
        <v>2.9717105153913952</v>
      </c>
      <c r="T1585" s="5">
        <f t="shared" ref="T1585" si="277">P1585/W1585/X1585/Z1584/AB1584</f>
        <v>3.0607165073706426</v>
      </c>
      <c r="U1585" s="5">
        <f t="shared" ref="U1585" si="278">Q1585/W1584/Y1585/Z1585/AA1584</f>
        <v>2.9717105153913952</v>
      </c>
      <c r="V1585" s="5">
        <f>_xlfn.XLOOKUP(H1585,'Rest - Home'!A:A,'Rest - Home'!B:B)</f>
        <v>1.0449999999999999</v>
      </c>
      <c r="W1585" s="5">
        <f>_xlfn.XLOOKUP(H1585,'Rest - Home'!A:A,'Rest - Home'!C:C)</f>
        <v>1.0398742800952707</v>
      </c>
      <c r="X1585" s="5">
        <f t="shared" ref="X1585" si="279">AM1584/K1585</f>
        <v>1.0054165640176342</v>
      </c>
      <c r="Y1585" s="5">
        <f t="shared" ref="Y1585" si="280">AK1584/K1585</f>
        <v>1.0444987395047254</v>
      </c>
      <c r="Z1585" s="5">
        <f>IF(J1585="",1,(_xlfn.XLOOKUP(I1585,Goalies!B:B,Goalies!J:J)))</f>
        <v>1.03</v>
      </c>
      <c r="AA1585" s="23">
        <v>1</v>
      </c>
      <c r="AB1585" s="23">
        <v>1</v>
      </c>
      <c r="AC1585" s="23">
        <f>_xlfn.XLOOKUP(E1585,'Game Adjustments'!A:A,'Game Adjustments'!B:B)</f>
        <v>1</v>
      </c>
      <c r="AD1585" s="23">
        <f>_xlfn.XLOOKUP(E1585,'Game Adjustments'!A:A,'Game Adjustments'!C:C)</f>
        <v>1</v>
      </c>
      <c r="AE1585" s="23">
        <f>IF(D1585="A",_xlfn.XLOOKUP(E1585,'Rest - Home'!F:F,'Rest - Home'!J:J),_xlfn.XLOOKUP(E1585,'Rest - Home'!F:F,'Rest - Home'!I:I))</f>
        <v>1</v>
      </c>
      <c r="AF1585" s="23">
        <f>IF(D1585="A",_xlfn.XLOOKUP(E1585,'Rest - Home'!F:F,'Rest - Home'!L:L),_xlfn.XLOOKUP(E1585,'Rest - Home'!F:F,'Rest - Home'!K:K))</f>
        <v>1</v>
      </c>
      <c r="AG1585" s="26">
        <v>1</v>
      </c>
      <c r="AH1585" s="26">
        <v>1</v>
      </c>
      <c r="AI1585" s="53" cm="1">
        <f t="array" ref="AI1585">MAX(IF($E$63:E1584=E1585,ROW($E$63:E1584)-MIN(ROW($E$63:E1584))+1))</f>
        <v>1472</v>
      </c>
      <c r="AJ1585" s="53" cm="1">
        <f t="array" ref="AJ1585">MAX(IF($I$105:I1584=I1585,ROW($I$105:I1584)-MIN(ROW($I$105:I1584))+1))</f>
        <v>1430</v>
      </c>
      <c r="AK1585" s="23">
        <f>IF(AI1585=0,_xlfn.XLOOKUP(E1585,'Starting GF'!A:A,'Starting GF'!B:B),INDEX($AL$63:$AL1585,AI1585))</f>
        <v>3.06</v>
      </c>
      <c r="AL1585" s="23">
        <f t="shared" si="73"/>
        <v>3.0601074761055962</v>
      </c>
      <c r="AM1585" s="23">
        <f>IF(AI1585=0,_xlfn.XLOOKUP(E1585,'Starting GF'!A:A,'Starting GF'!C:C),INDEX($AN$63:$AN1585,AI1585))</f>
        <v>3.08</v>
      </c>
      <c r="AN1585" s="23">
        <v>3.12</v>
      </c>
      <c r="AO1585" s="23">
        <f>IF(AJ1585=0,_xlfn.XLOOKUP(I1585,Goalies!B:B,Goalies!I:I),INDEX($AP$105:$AP1585,AJ1585))</f>
        <v>3.0406616754575326</v>
      </c>
      <c r="AP1585" s="23">
        <f t="shared" si="23"/>
        <v>3.0436916987668732</v>
      </c>
      <c r="AQ1585" s="23">
        <f t="shared" si="24"/>
        <v>3.1724000000000001</v>
      </c>
      <c r="AR1585" s="66">
        <v>0</v>
      </c>
      <c r="AS1585" s="96" t="s">
        <v>1594</v>
      </c>
      <c r="AT1585" s="20">
        <f t="shared" ref="AT1585" si="281">(AK1585*V1585*X1585*Z1584*AA1585*AB1584*AC1585*AD1584*AG1585*AH1584)+AR1585</f>
        <v>3.2150205467591886</v>
      </c>
      <c r="AU1585" s="20">
        <f t="shared" ref="AU1585" si="282">AT1584</f>
        <v>3.1498775518252744</v>
      </c>
      <c r="AV1585" s="12">
        <f t="shared" ref="AV1585" si="283">AK1585*W1585*X1585*Z1584*AA1585*AB1584</f>
        <v>3.1992508866533163</v>
      </c>
      <c r="AW1585" s="12">
        <f t="shared" ref="AW1585" si="284">AV1584</f>
        <v>3.1498775518252744</v>
      </c>
      <c r="AX1585" s="8">
        <f t="shared" si="29"/>
        <v>1.5020546759198616E-2</v>
      </c>
      <c r="AY1585" s="8">
        <f t="shared" si="30"/>
        <v>0.14987755182528462</v>
      </c>
      <c r="AZ1585" s="8">
        <f t="shared" si="31"/>
        <v>0.16489809858448323</v>
      </c>
      <c r="BA1585" s="8">
        <f t="shared" si="32"/>
        <v>-0.134857005066086</v>
      </c>
      <c r="BB1585" s="62">
        <f t="shared" si="33"/>
        <v>-106</v>
      </c>
      <c r="BC1585" s="21">
        <f t="shared" si="34"/>
        <v>161</v>
      </c>
      <c r="BD1585" s="21">
        <f t="shared" si="35"/>
        <v>133</v>
      </c>
      <c r="BE1585" s="21">
        <f t="shared" si="36"/>
        <v>103</v>
      </c>
      <c r="BF1585" s="94">
        <f t="shared" si="57"/>
        <v>0.51399841543003677</v>
      </c>
      <c r="BG1585" s="22">
        <f t="shared" ref="BG1585" si="285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0.38241002193525386</v>
      </c>
      <c r="BH1585" s="22">
        <f t="shared" ref="BH1585" si="286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0.42992886501715261</v>
      </c>
      <c r="BI1585" s="22">
        <f t="shared" ref="BI1585" si="287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0.4929412664801533</v>
      </c>
      <c r="BJ1585" s="21">
        <f t="shared" si="39"/>
        <v>-105</v>
      </c>
      <c r="BK1585" s="21">
        <f t="shared" si="40"/>
        <v>160</v>
      </c>
      <c r="BL1585" s="21">
        <f t="shared" si="41"/>
        <v>131</v>
      </c>
      <c r="BM1585" s="21">
        <f t="shared" si="42"/>
        <v>102</v>
      </c>
      <c r="BN1585" s="22">
        <f t="shared" si="61"/>
        <v>0.51253449677181495</v>
      </c>
      <c r="BO1585" s="22">
        <f t="shared" ref="BO1585" si="288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0.38448200625233664</v>
      </c>
      <c r="BP1585" s="22">
        <f t="shared" ref="BP1585" si="289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0.43210016870963619</v>
      </c>
      <c r="BQ1585" s="22">
        <f t="shared" ref="BQ1585" si="290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0.49468324621258886</v>
      </c>
      <c r="BR1585">
        <v>3.7</v>
      </c>
      <c r="BS1585">
        <v>4.1500000000000004</v>
      </c>
      <c r="BT1585">
        <v>0.43636000000000003</v>
      </c>
      <c r="BU1585">
        <v>0.20157</v>
      </c>
      <c r="BV1585">
        <v>0.22070755181815099</v>
      </c>
      <c r="BW1585">
        <v>0.28827999999999998</v>
      </c>
    </row>
    <row r="1586" spans="1:75" ht="16.75" customHeight="1" x14ac:dyDescent="0.2">
      <c r="A1586" t="str">
        <f t="shared" si="11"/>
        <v>2025020762 TOR</v>
      </c>
      <c r="B1586">
        <v>2025020762</v>
      </c>
      <c r="C1586" s="1">
        <v>46039</v>
      </c>
      <c r="D1586" s="2" t="s">
        <v>6</v>
      </c>
      <c r="E1586" t="s">
        <v>18</v>
      </c>
      <c r="F1586" s="2">
        <v>1</v>
      </c>
      <c r="G1586" s="2">
        <v>1</v>
      </c>
      <c r="H1586" t="s">
        <v>46</v>
      </c>
      <c r="I1586" t="str">
        <f t="shared" si="176"/>
        <v>TOR Dennis Hildeby</v>
      </c>
      <c r="J1586" s="33" t="s">
        <v>804</v>
      </c>
      <c r="K1586" s="14">
        <v>2.96</v>
      </c>
      <c r="L1586" s="13">
        <v>0.15</v>
      </c>
      <c r="M1586" s="28">
        <v>0.1</v>
      </c>
      <c r="N1586">
        <f>IFERROR(_xlfn.XLOOKUP(A1586,Params!A:A,Params!D:D),0)</f>
        <v>2.8499999999999899</v>
      </c>
      <c r="O1586">
        <f t="shared" ref="O1586" si="291">N1587</f>
        <v>3.19999999999999</v>
      </c>
      <c r="P1586" s="68">
        <f t="shared" si="14"/>
        <v>2.8499999999999899</v>
      </c>
      <c r="Q1586">
        <f t="shared" ref="Q1586" si="292">P1587</f>
        <v>3.19999999999999</v>
      </c>
      <c r="R1586" s="5">
        <f t="shared" ref="R1586" si="293">N1586/W1586/X1586/Z1587/AB1587/AA1586</f>
        <v>3.1330002344068193</v>
      </c>
      <c r="S1586" s="5">
        <f t="shared" ref="S1586" si="294">O1586/W1587/Y1586/Z1586/AA1587/AB1586</f>
        <v>3.0092521476992866</v>
      </c>
      <c r="T1586" s="5">
        <f t="shared" ref="T1586" si="295">P1586/W1586/X1586/Z1587/AB1587</f>
        <v>3.0076802250305463</v>
      </c>
      <c r="U1586" s="5">
        <f t="shared" ref="U1586" si="296">Q1586/W1587/Y1586/Z1586/AA1587</f>
        <v>3.0393446691762795</v>
      </c>
      <c r="V1586" s="5">
        <f>_xlfn.XLOOKUP(H1586,'Rest - Home'!A:A,'Rest - Home'!B:B)</f>
        <v>0.95</v>
      </c>
      <c r="W1586" s="5">
        <f>_xlfn.XLOOKUP(H1586,'Rest - Home'!A:A,'Rest - Home'!C:C)</f>
        <v>0.95302926576458757</v>
      </c>
      <c r="X1586" s="5">
        <f t="shared" ref="X1586" si="297">AM1587/K1586</f>
        <v>1.0101351351351353</v>
      </c>
      <c r="Y1586" s="5">
        <f t="shared" ref="Y1586" si="298">AK1587/K1586</f>
        <v>0.96959459459459463</v>
      </c>
      <c r="Z1586" s="5">
        <f>IF(J1586="",1,(_xlfn.XLOOKUP(I1586,Goalies!B:B,Goalies!J:J)))</f>
        <v>1.0349999999999999</v>
      </c>
      <c r="AA1586" s="23">
        <v>0.96</v>
      </c>
      <c r="AB1586" s="23">
        <v>1.01</v>
      </c>
      <c r="AC1586" s="23">
        <f>_xlfn.XLOOKUP(E1586,'Game Adjustments'!A:A,'Game Adjustments'!B:B)</f>
        <v>1</v>
      </c>
      <c r="AD1586" s="23">
        <f>_xlfn.XLOOKUP(E1586,'Game Adjustments'!A:A,'Game Adjustments'!C:C)</f>
        <v>1</v>
      </c>
      <c r="AE1586" s="23">
        <f>IF(D1586="A",_xlfn.XLOOKUP(E1586,'Rest - Home'!F:F,'Rest - Home'!J:J),_xlfn.XLOOKUP(E1586,'Rest - Home'!F:F,'Rest - Home'!I:I))</f>
        <v>1</v>
      </c>
      <c r="AF1586" s="23">
        <f>IF(D1586="A",_xlfn.XLOOKUP(E1586,'Rest - Home'!F:F,'Rest - Home'!L:L),_xlfn.XLOOKUP(E1586,'Rest - Home'!F:F,'Rest - Home'!K:K))</f>
        <v>1</v>
      </c>
      <c r="AG1586" s="26">
        <v>1</v>
      </c>
      <c r="AH1586" s="26">
        <v>1</v>
      </c>
      <c r="AI1586" s="53" cm="1">
        <f t="array" ref="AI1586">MAX(IF($E$63:E1585=E1586,ROW($E$63:E1585)-MIN(ROW($E$63:E1585))+1))</f>
        <v>1496</v>
      </c>
      <c r="AJ1586" s="53" cm="1">
        <f t="array" ref="AJ1586">MAX(IF($I$105:I1585=I1586,ROW($I$105:I1585)-MIN(ROW($I$105:I1585))+1))</f>
        <v>1426</v>
      </c>
      <c r="AK1586" s="23">
        <f>IF(AI1586=0,_xlfn.XLOOKUP(E1586,'Starting GF'!A:A,'Starting GF'!B:B),INDEX($AL$63:$AL1586,AI1586))</f>
        <v>3.03</v>
      </c>
      <c r="AL1586" s="23">
        <v>3.06</v>
      </c>
      <c r="AM1586" s="23">
        <f>IF(AI1586=0,_xlfn.XLOOKUP(E1586,'Starting GF'!A:A,'Starting GF'!C:C),INDEX($AN$63:$AN1586,AI1586))</f>
        <v>3</v>
      </c>
      <c r="AN1586" s="23">
        <f t="shared" si="22"/>
        <v>3.0013878221548929</v>
      </c>
      <c r="AO1586" s="23">
        <f>IF(AJ1586=0,_xlfn.XLOOKUP(I1586,Goalies!B:B,Goalies!I:I),INDEX($AP$105:$AP1586,AJ1586))</f>
        <v>3.0956928231886445</v>
      </c>
      <c r="AP1586" s="23">
        <f t="shared" si="23"/>
        <v>3.0985252956406617</v>
      </c>
      <c r="AQ1586" s="23">
        <f t="shared" si="24"/>
        <v>3.1049999999999995</v>
      </c>
      <c r="AR1586" s="66">
        <v>-0.05</v>
      </c>
      <c r="AS1586" s="96" t="s">
        <v>1594</v>
      </c>
      <c r="AT1586" s="20">
        <f t="shared" ref="AT1586" si="299">(AK1586*V1586*X1586*Z1587*AA1586*AB1587*AC1586*AD1587*AG1586*AH1587)+AR1586</f>
        <v>2.6975425647027031</v>
      </c>
      <c r="AU1586" s="20">
        <f t="shared" ref="AU1586" si="300">AT1587</f>
        <v>3.2366505905405405</v>
      </c>
      <c r="AV1586" s="12">
        <f t="shared" ref="AV1586" si="301">AK1586*V1586*X1586*Z1587*AA1586*AB1587</f>
        <v>2.747542564702703</v>
      </c>
      <c r="AW1586" s="12">
        <f t="shared" ref="AW1586" si="302">AV1587</f>
        <v>3.1901613852264314</v>
      </c>
      <c r="AX1586" s="8">
        <f t="shared" si="29"/>
        <v>-0.15245743529728673</v>
      </c>
      <c r="AY1586" s="8">
        <f t="shared" si="30"/>
        <v>3.6650590540550532E-2</v>
      </c>
      <c r="AZ1586" s="8">
        <f t="shared" si="31"/>
        <v>-0.11580684475673619</v>
      </c>
      <c r="BA1586" s="8">
        <f t="shared" si="32"/>
        <v>-0.18910802583783726</v>
      </c>
      <c r="BB1586" s="62">
        <f t="shared" si="33"/>
        <v>142</v>
      </c>
      <c r="BC1586" s="21">
        <f t="shared" si="34"/>
        <v>-121</v>
      </c>
      <c r="BD1586" s="21">
        <f t="shared" si="35"/>
        <v>104</v>
      </c>
      <c r="BE1586" s="21">
        <f t="shared" si="36"/>
        <v>131</v>
      </c>
      <c r="BF1586" s="94">
        <f t="shared" ref="BF1586" si="303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IF(AT1586&gt;AT1587, 1-_xlpm.interp, _xlpm.interp)
)</f>
        <v>0.41367269497794745</v>
      </c>
      <c r="BG1586" s="22">
        <f t="shared" si="38"/>
        <v>0.54831380872109581</v>
      </c>
      <c r="BH1586" s="22">
        <f t="shared" si="38"/>
        <v>0.48991349884854141</v>
      </c>
      <c r="BI1586" s="22">
        <f t="shared" si="38"/>
        <v>0.43382653424262585</v>
      </c>
      <c r="BJ1586" s="21">
        <f t="shared" si="39"/>
        <v>135</v>
      </c>
      <c r="BK1586" s="21">
        <f t="shared" si="40"/>
        <v>-122</v>
      </c>
      <c r="BL1586" s="21">
        <f t="shared" si="41"/>
        <v>103</v>
      </c>
      <c r="BM1586" s="21">
        <f t="shared" si="42"/>
        <v>129</v>
      </c>
      <c r="BN1586" s="22">
        <f t="shared" ref="BN1586" si="304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IF(AV1586&gt;AV1587, 1-_xlpm.interp, _xlpm.interp)
)</f>
        <v>0.42603350629898573</v>
      </c>
      <c r="BO1586" s="22">
        <f t="shared" si="44"/>
        <v>0.54952368105079485</v>
      </c>
      <c r="BP1586" s="22">
        <f t="shared" si="44"/>
        <v>0.49224119493632668</v>
      </c>
      <c r="BQ1586" s="22">
        <f t="shared" si="44"/>
        <v>0.43671190478729172</v>
      </c>
      <c r="BR1586">
        <v>3.7</v>
      </c>
      <c r="BS1586">
        <v>4.2</v>
      </c>
      <c r="BT1586">
        <v>0.42513000000000001</v>
      </c>
      <c r="BU1586">
        <v>0.19485</v>
      </c>
      <c r="BV1586">
        <v>0.21350850856335099</v>
      </c>
      <c r="BW1586">
        <v>0.28223999999999999</v>
      </c>
    </row>
    <row r="1587" spans="1:75" ht="16.75" customHeight="1" x14ac:dyDescent="0.2">
      <c r="A1587" t="str">
        <f t="shared" si="11"/>
        <v>2025020762 WPG</v>
      </c>
      <c r="B1587">
        <v>2025020762</v>
      </c>
      <c r="C1587" s="1">
        <v>46039</v>
      </c>
      <c r="D1587" s="2" t="s">
        <v>9</v>
      </c>
      <c r="E1587" t="s">
        <v>16</v>
      </c>
      <c r="F1587" s="2">
        <v>1</v>
      </c>
      <c r="G1587" s="2">
        <v>1</v>
      </c>
      <c r="H1587" t="s">
        <v>47</v>
      </c>
      <c r="I1587" t="str">
        <f t="shared" si="176"/>
        <v>WPG Connor Hellebuyck</v>
      </c>
      <c r="J1587" s="33" t="s">
        <v>199</v>
      </c>
      <c r="K1587" s="14">
        <v>2.96</v>
      </c>
      <c r="L1587" s="13">
        <v>0.15</v>
      </c>
      <c r="M1587" s="28">
        <v>0.1</v>
      </c>
      <c r="N1587">
        <f>IFERROR(_xlfn.XLOOKUP(A1587,Params!A:A,Params!D:D),0)</f>
        <v>3.19999999999999</v>
      </c>
      <c r="O1587">
        <f t="shared" ref="O1587" si="305">N1586</f>
        <v>2.8499999999999899</v>
      </c>
      <c r="P1587" s="68">
        <f t="shared" si="14"/>
        <v>3.19999999999999</v>
      </c>
      <c r="Q1587">
        <f t="shared" ref="Q1587" si="306">P1586</f>
        <v>2.8499999999999899</v>
      </c>
      <c r="R1587" s="5">
        <f t="shared" ref="R1587" si="307">N1587/W1587/X1587/Z1586/AB1586/AA1587</f>
        <v>2.8788512212989841</v>
      </c>
      <c r="S1587" s="5">
        <f t="shared" ref="S1587" si="308">O1587/W1586/Y1587/Z1587/AA1586/AB1587</f>
        <v>3.0916404953387429</v>
      </c>
      <c r="T1587" s="5">
        <f t="shared" ref="T1587" si="309">P1587/W1587/X1587/Z1586/AB1586</f>
        <v>2.8788512212989841</v>
      </c>
      <c r="U1587" s="5">
        <f t="shared" ref="U1587" si="310">Q1587/W1586/Y1587/Z1587/AA1586</f>
        <v>3.1534733052455177</v>
      </c>
      <c r="V1587" s="5">
        <f>_xlfn.XLOOKUP(H1587,'Rest - Home'!A:A,'Rest - Home'!B:B)</f>
        <v>1.048</v>
      </c>
      <c r="W1587" s="5">
        <f>_xlfn.XLOOKUP(H1587,'Rest - Home'!A:A,'Rest - Home'!C:C)</f>
        <v>1.0491546019013618</v>
      </c>
      <c r="X1587" s="5">
        <f t="shared" ref="X1587" si="311">AM1586/K1587</f>
        <v>1.0135135135135136</v>
      </c>
      <c r="Y1587" s="5">
        <f t="shared" ref="Y1587" si="312">AK1586/K1587</f>
        <v>1.0236486486486487</v>
      </c>
      <c r="Z1587" s="5">
        <f>IF(J1587="",1,(_xlfn.XLOOKUP(I1587,Goalies!B:B,Goalies!J:J)))</f>
        <v>0.96499999999999997</v>
      </c>
      <c r="AA1587" s="23">
        <v>1</v>
      </c>
      <c r="AB1587" s="23">
        <v>1.02</v>
      </c>
      <c r="AC1587" s="23">
        <f>_xlfn.XLOOKUP(E1587,'Game Adjustments'!A:A,'Game Adjustments'!B:B)</f>
        <v>1</v>
      </c>
      <c r="AD1587" s="23">
        <f>_xlfn.XLOOKUP(E1587,'Game Adjustments'!A:A,'Game Adjustments'!C:C)</f>
        <v>1</v>
      </c>
      <c r="AE1587" s="23">
        <f>IF(D1587="A",_xlfn.XLOOKUP(E1587,'Rest - Home'!F:F,'Rest - Home'!J:J),_xlfn.XLOOKUP(E1587,'Rest - Home'!F:F,'Rest - Home'!I:I))</f>
        <v>1</v>
      </c>
      <c r="AF1587" s="23">
        <f>IF(D1587="A",_xlfn.XLOOKUP(E1587,'Rest - Home'!F:F,'Rest - Home'!L:L),_xlfn.XLOOKUP(E1587,'Rest - Home'!F:F,'Rest - Home'!K:K))</f>
        <v>1</v>
      </c>
      <c r="AG1587" s="26">
        <v>1</v>
      </c>
      <c r="AH1587" s="26">
        <v>1</v>
      </c>
      <c r="AI1587" s="53" cm="1">
        <f t="array" ref="AI1587">MAX(IF($E$63:E1586=E1587,ROW($E$63:E1586)-MIN(ROW($E$63:E1586))+1))</f>
        <v>1488</v>
      </c>
      <c r="AJ1587" s="53" cm="1">
        <f t="array" ref="AJ1587">MAX(IF($I$105:I1586=I1587,ROW($I$105:I1586)-MIN(ROW($I$105:I1586))+1))</f>
        <v>1446</v>
      </c>
      <c r="AK1587" s="23">
        <f>IF(AI1587=0,_xlfn.XLOOKUP(E1587,'Starting GF'!A:A,'Starting GF'!B:B),INDEX($AL$63:$AL1587,AI1587))</f>
        <v>2.87</v>
      </c>
      <c r="AL1587" s="23">
        <f t="shared" si="73"/>
        <v>2.8713276831948478</v>
      </c>
      <c r="AM1587" s="23">
        <f>IF(AI1587=0,_xlfn.XLOOKUP(E1587,'Starting GF'!A:A,'Starting GF'!C:C),INDEX($AN$63:$AN1587,AI1587))</f>
        <v>2.99</v>
      </c>
      <c r="AN1587" s="23">
        <f t="shared" si="22"/>
        <v>3.0052460743008114</v>
      </c>
      <c r="AO1587" s="23">
        <f>IF(AJ1587=0,_xlfn.XLOOKUP(I1587,Goalies!B:B,Goalies!I:I),INDEX($AP$105:$AP1587,AJ1587))</f>
        <v>2.8679625590918647</v>
      </c>
      <c r="AP1587" s="23">
        <f t="shared" si="23"/>
        <v>2.885283136928368</v>
      </c>
      <c r="AQ1587" s="23">
        <f t="shared" si="24"/>
        <v>2.8853500000000003</v>
      </c>
      <c r="AR1587" s="66">
        <v>0.05</v>
      </c>
      <c r="AS1587" s="96" t="s">
        <v>1594</v>
      </c>
      <c r="AT1587" s="20">
        <f t="shared" ref="AT1587" si="313">(AK1587*V1587*X1587*Z1586*AA1587*AB1586*AC1587*AD1586*AG1587*AH1586)+AR1587</f>
        <v>3.2366505905405405</v>
      </c>
      <c r="AU1587" s="20">
        <f t="shared" ref="AU1587" si="314">AT1586</f>
        <v>2.6975425647027031</v>
      </c>
      <c r="AV1587" s="12">
        <f t="shared" ref="AV1587" si="315">AK1587*W1587*X1587*Z1586*AA1587*AB1586</f>
        <v>3.1901613852264314</v>
      </c>
      <c r="AW1587" s="12">
        <f t="shared" ref="AW1587" si="316">AV1586</f>
        <v>2.747542564702703</v>
      </c>
      <c r="AX1587" s="8">
        <f t="shared" si="29"/>
        <v>3.6650590540550532E-2</v>
      </c>
      <c r="AY1587" s="8">
        <f t="shared" si="30"/>
        <v>-0.15245743529728673</v>
      </c>
      <c r="AZ1587" s="8">
        <f t="shared" si="31"/>
        <v>-0.11580684475673619</v>
      </c>
      <c r="BA1587" s="8">
        <f t="shared" si="32"/>
        <v>0.18910802583783726</v>
      </c>
      <c r="BB1587" s="62">
        <f t="shared" si="33"/>
        <v>-142</v>
      </c>
      <c r="BC1587" s="21">
        <f t="shared" si="34"/>
        <v>121</v>
      </c>
      <c r="BD1587" s="21">
        <f t="shared" si="35"/>
        <v>-104</v>
      </c>
      <c r="BE1587" s="21">
        <f t="shared" si="36"/>
        <v>-131</v>
      </c>
      <c r="BF1587" s="94">
        <f t="shared" si="57"/>
        <v>0.58632730502205255</v>
      </c>
      <c r="BG1587" s="22">
        <f t="shared" ref="BG1587" si="317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0.45168619127890419</v>
      </c>
      <c r="BH1587" s="22">
        <f t="shared" ref="BH1587" si="318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0.51008650115145859</v>
      </c>
      <c r="BI1587" s="22">
        <f t="shared" ref="BI1587" si="319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0.56617346575737415</v>
      </c>
      <c r="BJ1587" s="21">
        <f t="shared" si="39"/>
        <v>-135</v>
      </c>
      <c r="BK1587" s="21">
        <f t="shared" si="40"/>
        <v>122</v>
      </c>
      <c r="BL1587" s="21">
        <f t="shared" si="41"/>
        <v>-103</v>
      </c>
      <c r="BM1587" s="21">
        <f t="shared" si="42"/>
        <v>-129</v>
      </c>
      <c r="BN1587" s="22">
        <f t="shared" si="61"/>
        <v>0.57396649370101427</v>
      </c>
      <c r="BO1587" s="22">
        <f t="shared" ref="BO1587" si="320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0.45047631894920515</v>
      </c>
      <c r="BP1587" s="22">
        <f t="shared" ref="BP1587" si="321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0.50775880506367332</v>
      </c>
      <c r="BQ1587" s="22">
        <f t="shared" ref="BQ1587" si="322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0.56328809521270828</v>
      </c>
      <c r="BR1587">
        <v>3.7</v>
      </c>
      <c r="BS1587">
        <v>4.25</v>
      </c>
      <c r="BT1587">
        <v>0.4224</v>
      </c>
      <c r="BU1587">
        <v>0.19283</v>
      </c>
      <c r="BV1587">
        <v>0.21078924355050199</v>
      </c>
      <c r="BW1587">
        <v>0.27803</v>
      </c>
    </row>
    <row r="1588" spans="1:75" ht="16.75" customHeight="1" x14ac:dyDescent="0.2">
      <c r="A1588" t="str">
        <f t="shared" si="11"/>
        <v>2025020763 BOS</v>
      </c>
      <c r="B1588">
        <v>2025020763</v>
      </c>
      <c r="C1588" s="1">
        <v>46039</v>
      </c>
      <c r="D1588" s="2" t="s">
        <v>6</v>
      </c>
      <c r="E1588" t="s">
        <v>7</v>
      </c>
      <c r="F1588" s="2">
        <v>1</v>
      </c>
      <c r="G1588" s="2">
        <v>1</v>
      </c>
      <c r="H1588" t="s">
        <v>46</v>
      </c>
      <c r="I1588" t="str">
        <f t="shared" si="176"/>
        <v>BOS Joonas Korpisalo</v>
      </c>
      <c r="J1588" s="33" t="s">
        <v>149</v>
      </c>
      <c r="K1588" s="14">
        <v>2.96</v>
      </c>
      <c r="L1588" s="13">
        <v>0.15</v>
      </c>
      <c r="M1588" s="28">
        <v>0.1</v>
      </c>
      <c r="N1588">
        <f>IFERROR(_xlfn.XLOOKUP(A1588,Params!A:A,Params!D:D),0)</f>
        <v>3.19999999999999</v>
      </c>
      <c r="O1588">
        <f t="shared" ref="O1588" si="323">N1589</f>
        <v>2.9999999999999898</v>
      </c>
      <c r="P1588" s="68">
        <f t="shared" si="14"/>
        <v>3.19999999999999</v>
      </c>
      <c r="Q1588">
        <f t="shared" ref="Q1588" si="324">P1589</f>
        <v>2.9999999999999898</v>
      </c>
      <c r="R1588" s="5">
        <f t="shared" ref="R1588" si="325">N1588/W1588/X1588/Z1589/AB1589/AA1588</f>
        <v>2.7507869934803315</v>
      </c>
      <c r="S1588" s="5">
        <f t="shared" ref="S1588" si="326">O1588/W1589/Y1588/Z1588/AA1589/AB1588</f>
        <v>3.1448982539870922</v>
      </c>
      <c r="T1588" s="5">
        <f t="shared" ref="T1588" si="327">P1588/W1588/X1588/Z1589/AB1589</f>
        <v>2.7507869934803315</v>
      </c>
      <c r="U1588" s="5">
        <f t="shared" ref="U1588" si="328">Q1588/W1589/Y1588/Z1588/AA1589</f>
        <v>3.1448982539870922</v>
      </c>
      <c r="V1588" s="5">
        <f>_xlfn.XLOOKUP(H1588,'Rest - Home'!A:A,'Rest - Home'!B:B)</f>
        <v>0.95</v>
      </c>
      <c r="W1588" s="5">
        <f>_xlfn.XLOOKUP(H1588,'Rest - Home'!A:A,'Rest - Home'!C:C)</f>
        <v>0.95302926576458757</v>
      </c>
      <c r="X1588" s="5">
        <f t="shared" ref="X1588" si="329">AM1589/K1588</f>
        <v>1.1515449991113593</v>
      </c>
      <c r="Y1588" s="5">
        <f t="shared" ref="Y1588" si="330">AK1589/K1588</f>
        <v>0.91069005308366724</v>
      </c>
      <c r="Z1588" s="5">
        <f>IF(J1588="",1,(_xlfn.XLOOKUP(I1588,Goalies!B:B,Goalies!J:J)))</f>
        <v>1.04</v>
      </c>
      <c r="AA1588" s="23">
        <v>1</v>
      </c>
      <c r="AB1588" s="23">
        <v>1</v>
      </c>
      <c r="AC1588" s="23">
        <f>_xlfn.XLOOKUP(E1588,'Game Adjustments'!A:A,'Game Adjustments'!B:B)</f>
        <v>1</v>
      </c>
      <c r="AD1588" s="23">
        <f>_xlfn.XLOOKUP(E1588,'Game Adjustments'!A:A,'Game Adjustments'!C:C)</f>
        <v>1</v>
      </c>
      <c r="AE1588" s="23">
        <f>IF(D1588="A",_xlfn.XLOOKUP(E1588,'Rest - Home'!F:F,'Rest - Home'!J:J),_xlfn.XLOOKUP(E1588,'Rest - Home'!F:F,'Rest - Home'!I:I))</f>
        <v>1</v>
      </c>
      <c r="AF1588" s="23">
        <f>IF(D1588="A",_xlfn.XLOOKUP(E1588,'Rest - Home'!F:F,'Rest - Home'!L:L),_xlfn.XLOOKUP(E1588,'Rest - Home'!F:F,'Rest - Home'!K:K))</f>
        <v>1</v>
      </c>
      <c r="AG1588" s="26">
        <v>1</v>
      </c>
      <c r="AH1588" s="26">
        <v>1</v>
      </c>
      <c r="AI1588" s="53" cm="1">
        <f t="array" ref="AI1588">MAX(IF($E$63:E1587=E1588,ROW($E$63:E1587)-MIN(ROW($E$63:E1587))+1))</f>
        <v>1485</v>
      </c>
      <c r="AJ1588" s="53" cm="1">
        <f t="array" ref="AJ1588">MAX(IF($I$105:I1587=I1588,ROW($I$105:I1587)-MIN(ROW($I$105:I1587))+1))</f>
        <v>1383</v>
      </c>
      <c r="AK1588" s="23">
        <v>2.92</v>
      </c>
      <c r="AL1588" s="23">
        <v>2.94</v>
      </c>
      <c r="AM1588" s="23">
        <v>3.1</v>
      </c>
      <c r="AN1588" s="23">
        <v>3.08</v>
      </c>
      <c r="AO1588" s="23">
        <f>IF(AJ1588=0,_xlfn.XLOOKUP(I1588,Goalies!B:B,Goalies!I:I),INDEX($AP$105:$AP1588,AJ1588))</f>
        <v>3.2320515718355916</v>
      </c>
      <c r="AP1588" s="23">
        <f t="shared" si="23"/>
        <v>3.2378479636822393</v>
      </c>
      <c r="AQ1588" s="23">
        <f t="shared" si="24"/>
        <v>3.2240000000000002</v>
      </c>
      <c r="AR1588" s="66">
        <v>0.06</v>
      </c>
      <c r="AS1588" s="96" t="s">
        <v>1594</v>
      </c>
      <c r="AT1588" s="20">
        <f t="shared" ref="AT1588" si="331">(AK1588*V1588*X1588*Z1589*AA1588*AB1589*AC1588*AD1589*AG1588*AH1589)+AR1588</f>
        <v>3.4460489771870058</v>
      </c>
      <c r="AU1588" s="20">
        <f t="shared" ref="AU1588" si="332">AT1589</f>
        <v>2.8939160047070849</v>
      </c>
      <c r="AV1588" s="12">
        <f t="shared" ref="AV1588" si="333">AK1588*V1588*X1588*Z1589*AA1588*AB1589</f>
        <v>3.3860489771870057</v>
      </c>
      <c r="AW1588" s="12">
        <f t="shared" ref="AW1588" si="334">AV1589</f>
        <v>2.957170391191339</v>
      </c>
      <c r="AX1588" s="8">
        <f t="shared" si="29"/>
        <v>0.24604897718701579</v>
      </c>
      <c r="AY1588" s="8">
        <f t="shared" si="30"/>
        <v>-0.10608399529290491</v>
      </c>
      <c r="AZ1588" s="8">
        <f t="shared" si="31"/>
        <v>0.13996498189411088</v>
      </c>
      <c r="BA1588" s="8">
        <f t="shared" si="32"/>
        <v>0.3521329724799207</v>
      </c>
      <c r="BB1588" s="62">
        <f t="shared" si="33"/>
        <v>-143</v>
      </c>
      <c r="BC1588" s="21">
        <f t="shared" si="34"/>
        <v>-159</v>
      </c>
      <c r="BD1588" s="21">
        <f t="shared" si="35"/>
        <v>-129</v>
      </c>
      <c r="BE1588" s="21">
        <f t="shared" si="36"/>
        <v>-100</v>
      </c>
      <c r="BF1588" s="94">
        <f t="shared" ref="BF1588" si="335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IF(AT1588&gt;AT1589, 1-_xlpm.interp, _xlpm.interp)
)</f>
        <v>0.5891019532015086</v>
      </c>
      <c r="BG1588" s="22">
        <f t="shared" si="38"/>
        <v>0.61346210805017953</v>
      </c>
      <c r="BH1588" s="22">
        <f t="shared" si="38"/>
        <v>0.56412773573415964</v>
      </c>
      <c r="BI1588" s="22">
        <f t="shared" si="38"/>
        <v>0.50027493948003032</v>
      </c>
      <c r="BJ1588" s="21">
        <f t="shared" si="39"/>
        <v>-132</v>
      </c>
      <c r="BK1588" s="21">
        <f t="shared" si="40"/>
        <v>-159</v>
      </c>
      <c r="BL1588" s="21">
        <f t="shared" si="41"/>
        <v>-130</v>
      </c>
      <c r="BM1588" s="21">
        <f t="shared" si="42"/>
        <v>-100</v>
      </c>
      <c r="BN1588" s="22">
        <f t="shared" ref="BN1588" si="336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IF(AV1588&gt;AV1589, 1-_xlpm.interp, _xlpm.interp)
)</f>
        <v>0.56878843376827259</v>
      </c>
      <c r="BO1588" s="22">
        <f t="shared" si="44"/>
        <v>0.61430873403504449</v>
      </c>
      <c r="BP1588" s="22">
        <f t="shared" si="44"/>
        <v>0.56501671867204184</v>
      </c>
      <c r="BQ1588" s="22">
        <f t="shared" si="44"/>
        <v>0.50099605581889128</v>
      </c>
      <c r="BR1588">
        <v>3.7</v>
      </c>
      <c r="BS1588">
        <v>4.3</v>
      </c>
      <c r="BT1588">
        <v>0.41394999999999998</v>
      </c>
      <c r="BU1588">
        <v>0.18712999999999999</v>
      </c>
      <c r="BV1588">
        <v>0.204270322784879</v>
      </c>
      <c r="BW1588">
        <v>0.27104</v>
      </c>
    </row>
    <row r="1589" spans="1:75" ht="16.75" customHeight="1" x14ac:dyDescent="0.2">
      <c r="A1589" t="str">
        <f t="shared" si="11"/>
        <v>2025020763 CHI</v>
      </c>
      <c r="B1589">
        <v>2025020763</v>
      </c>
      <c r="C1589" s="1">
        <v>46039</v>
      </c>
      <c r="D1589" s="2" t="s">
        <v>9</v>
      </c>
      <c r="E1589" t="s">
        <v>14</v>
      </c>
      <c r="F1589" s="2">
        <v>1</v>
      </c>
      <c r="G1589" s="2">
        <v>1</v>
      </c>
      <c r="H1589" t="s">
        <v>47</v>
      </c>
      <c r="I1589" t="str">
        <f t="shared" si="176"/>
        <v>CHI Arvid Soderblom</v>
      </c>
      <c r="J1589" s="33" t="s">
        <v>303</v>
      </c>
      <c r="K1589" s="14">
        <v>2.96</v>
      </c>
      <c r="L1589" s="13">
        <v>0.15</v>
      </c>
      <c r="M1589" s="28">
        <v>0.1</v>
      </c>
      <c r="N1589">
        <f>IFERROR(_xlfn.XLOOKUP(A1589,Params!A:A,Params!D:D),0)</f>
        <v>2.9999999999999898</v>
      </c>
      <c r="O1589">
        <f t="shared" ref="O1589" si="337">N1588</f>
        <v>3.19999999999999</v>
      </c>
      <c r="P1589" s="68">
        <f t="shared" si="14"/>
        <v>2.9999999999999898</v>
      </c>
      <c r="Q1589">
        <f t="shared" ref="Q1589" si="338">P1588</f>
        <v>3.19999999999999</v>
      </c>
      <c r="R1589" s="5">
        <f t="shared" ref="R1589" si="339">N1589/W1589/X1589/Z1588/AB1588/AA1589</f>
        <v>2.734684377833569</v>
      </c>
      <c r="S1589" s="5">
        <f t="shared" ref="S1589" si="340">O1589/W1588/Y1589/Z1589/AA1588/AB1589</f>
        <v>3.211047540291105</v>
      </c>
      <c r="T1589" s="5">
        <f t="shared" ref="T1589" si="341">P1589/W1589/X1589/Z1588/AB1588</f>
        <v>2.625297002720226</v>
      </c>
      <c r="U1589" s="5">
        <f t="shared" ref="U1589" si="342">Q1589/W1588/Y1589/Z1589/AA1588</f>
        <v>3.211047540291105</v>
      </c>
      <c r="V1589" s="5">
        <f>_xlfn.XLOOKUP(H1589,'Rest - Home'!A:A,'Rest - Home'!B:B)</f>
        <v>1.048</v>
      </c>
      <c r="W1589" s="5">
        <f>_xlfn.XLOOKUP(H1589,'Rest - Home'!A:A,'Rest - Home'!C:C)</f>
        <v>1.0491546019013618</v>
      </c>
      <c r="X1589" s="5">
        <f t="shared" ref="X1589" si="343">AM1588/K1589</f>
        <v>1.0472972972972974</v>
      </c>
      <c r="Y1589" s="5">
        <f t="shared" ref="Y1589" si="344">AK1588/K1589</f>
        <v>0.98648648648648651</v>
      </c>
      <c r="Z1589" s="5">
        <f>IF(J1589="",1,(_xlfn.XLOOKUP(I1589,Goalies!B:B,Goalies!J:J)))</f>
        <v>1.06</v>
      </c>
      <c r="AA1589" s="23">
        <v>0.96</v>
      </c>
      <c r="AB1589" s="23">
        <v>1</v>
      </c>
      <c r="AC1589" s="23">
        <f>_xlfn.XLOOKUP(E1589,'Game Adjustments'!A:A,'Game Adjustments'!B:B)</f>
        <v>1</v>
      </c>
      <c r="AD1589" s="23">
        <f>_xlfn.XLOOKUP(E1589,'Game Adjustments'!A:A,'Game Adjustments'!C:C)</f>
        <v>1</v>
      </c>
      <c r="AE1589" s="23">
        <f>IF(D1589="A",_xlfn.XLOOKUP(E1589,'Rest - Home'!F:F,'Rest - Home'!J:J),_xlfn.XLOOKUP(E1589,'Rest - Home'!F:F,'Rest - Home'!I:I))</f>
        <v>1</v>
      </c>
      <c r="AF1589" s="23">
        <f>IF(D1589="A",_xlfn.XLOOKUP(E1589,'Rest - Home'!F:F,'Rest - Home'!L:L),_xlfn.XLOOKUP(E1589,'Rest - Home'!F:F,'Rest - Home'!K:K))</f>
        <v>1</v>
      </c>
      <c r="AG1589" s="26">
        <v>1</v>
      </c>
      <c r="AH1589" s="26">
        <v>1</v>
      </c>
      <c r="AI1589" s="53" cm="1">
        <f t="array" ref="AI1589">MAX(IF($E$63:E1588=E1589,ROW($E$63:E1588)-MIN(ROW($E$63:E1588))+1))</f>
        <v>1491</v>
      </c>
      <c r="AJ1589" s="53" cm="1">
        <f t="array" ref="AJ1589">MAX(IF($I$105:I1588=I1589,ROW($I$105:I1588)-MIN(ROW($I$105:I1588))+1))</f>
        <v>1281</v>
      </c>
      <c r="AK1589" s="23">
        <f>IF(AI1589=0,_xlfn.XLOOKUP(E1589,'Starting GF'!A:A,'Starting GF'!B:B),INDEX($AL$63:$AL1589,AI1589))</f>
        <v>2.695642557127655</v>
      </c>
      <c r="AL1589" s="23">
        <f t="shared" si="73"/>
        <v>2.6998580196068418</v>
      </c>
      <c r="AM1589" s="23">
        <f>IF(AI1589=0,_xlfn.XLOOKUP(E1589,'Starting GF'!A:A,'Starting GF'!C:C),INDEX($AN$63:$AN1589,AI1589))</f>
        <v>3.4085731973696234</v>
      </c>
      <c r="AN1589" s="23">
        <v>3.395</v>
      </c>
      <c r="AO1589" s="23">
        <f>IF(AJ1589=0,_xlfn.XLOOKUP(I1589,Goalies!B:B,Goalies!I:I),INDEX($AP$105:$AP1589,AJ1589))</f>
        <v>3.4768874854462961</v>
      </c>
      <c r="AP1589" s="23">
        <f t="shared" si="23"/>
        <v>3.4659109215356372</v>
      </c>
      <c r="AQ1589" s="23">
        <f t="shared" si="24"/>
        <v>3.6130875892118008</v>
      </c>
      <c r="AR1589" s="66">
        <v>-0.06</v>
      </c>
      <c r="AS1589" s="96" t="s">
        <v>1594</v>
      </c>
      <c r="AT1589" s="20">
        <f t="shared" ref="AT1589" si="345">(AK1589*V1589*X1589*Z1588*AA1589*AB1588*AC1589*AD1588*AG1589*AH1588)+AR1589</f>
        <v>2.8939160047070849</v>
      </c>
      <c r="AU1589" s="20">
        <f t="shared" ref="AU1589" si="346">AT1588</f>
        <v>3.4460489771870058</v>
      </c>
      <c r="AV1589" s="12">
        <f t="shared" ref="AV1589" si="347">AK1589*W1589*X1589*Z1588*AA1589*AB1588</f>
        <v>2.957170391191339</v>
      </c>
      <c r="AW1589" s="12">
        <f t="shared" ref="AW1589" si="348">AV1588</f>
        <v>3.3860489771870057</v>
      </c>
      <c r="AX1589" s="8">
        <f t="shared" si="29"/>
        <v>-0.10608399529290491</v>
      </c>
      <c r="AY1589" s="8">
        <f t="shared" si="30"/>
        <v>0.24604897718701579</v>
      </c>
      <c r="AZ1589" s="8">
        <f t="shared" si="31"/>
        <v>0.13996498189411088</v>
      </c>
      <c r="BA1589" s="8">
        <f t="shared" si="32"/>
        <v>-0.3521329724799207</v>
      </c>
      <c r="BB1589" s="62">
        <f t="shared" si="33"/>
        <v>143</v>
      </c>
      <c r="BC1589" s="21">
        <f t="shared" si="34"/>
        <v>159</v>
      </c>
      <c r="BD1589" s="21">
        <f t="shared" si="35"/>
        <v>129</v>
      </c>
      <c r="BE1589" s="21">
        <f t="shared" si="36"/>
        <v>100</v>
      </c>
      <c r="BF1589" s="94">
        <f t="shared" si="57"/>
        <v>0.4108980467984914</v>
      </c>
      <c r="BG1589" s="22">
        <f t="shared" ref="BG1589" si="349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0.38653789194982047</v>
      </c>
      <c r="BH1589" s="22">
        <f t="shared" ref="BH1589" si="350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0.43587226426584036</v>
      </c>
      <c r="BI1589" s="22">
        <f t="shared" ref="BI1589" si="351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0.49972506051996962</v>
      </c>
      <c r="BJ1589" s="21">
        <f t="shared" si="39"/>
        <v>132</v>
      </c>
      <c r="BK1589" s="21">
        <f t="shared" si="40"/>
        <v>159</v>
      </c>
      <c r="BL1589" s="21">
        <f t="shared" si="41"/>
        <v>130</v>
      </c>
      <c r="BM1589" s="21">
        <f t="shared" si="42"/>
        <v>100</v>
      </c>
      <c r="BN1589" s="22">
        <f t="shared" si="61"/>
        <v>0.43121156623172741</v>
      </c>
      <c r="BO1589" s="22">
        <f t="shared" ref="BO1589" si="352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0.38569126596495551</v>
      </c>
      <c r="BP1589" s="22">
        <f t="shared" ref="BP1589" si="353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0.4349832813279581</v>
      </c>
      <c r="BQ1589" s="22">
        <f t="shared" ref="BQ1589" si="354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0.49900394418110866</v>
      </c>
      <c r="BR1589">
        <v>3.7</v>
      </c>
      <c r="BS1589">
        <v>4.3499999999999996</v>
      </c>
      <c r="BT1589">
        <v>0.41127999999999998</v>
      </c>
      <c r="BU1589">
        <v>0.18007000000000001</v>
      </c>
      <c r="BV1589">
        <v>0.196632342181988</v>
      </c>
      <c r="BW1589">
        <v>0.26429999999999998</v>
      </c>
    </row>
    <row r="1590" spans="1:75" ht="16.75" customHeight="1" x14ac:dyDescent="0.2">
      <c r="A1590" t="str">
        <f t="shared" si="11"/>
        <v>2025020764 EDM</v>
      </c>
      <c r="B1590">
        <v>2025020764</v>
      </c>
      <c r="C1590" s="1">
        <v>46039</v>
      </c>
      <c r="D1590" s="2" t="s">
        <v>6</v>
      </c>
      <c r="E1590" t="s">
        <v>17</v>
      </c>
      <c r="F1590" s="2">
        <v>1</v>
      </c>
      <c r="G1590" s="2">
        <v>1</v>
      </c>
      <c r="H1590" t="s">
        <v>46</v>
      </c>
      <c r="I1590" t="str">
        <f t="shared" si="176"/>
        <v>EDM Tristan Jarry</v>
      </c>
      <c r="J1590" s="33" t="s">
        <v>181</v>
      </c>
      <c r="K1590" s="14">
        <v>2.96</v>
      </c>
      <c r="L1590" s="13">
        <v>0.15</v>
      </c>
      <c r="M1590" s="28">
        <v>0.1</v>
      </c>
      <c r="N1590">
        <f>IFERROR(_xlfn.XLOOKUP(A1590,Params!A:A,Params!D:D),0)</f>
        <v>3.5499999999999901</v>
      </c>
      <c r="O1590">
        <f t="shared" ref="O1590" si="355">N1591</f>
        <v>2.7499999999999898</v>
      </c>
      <c r="P1590" s="68">
        <f t="shared" si="14"/>
        <v>3.5499999999999901</v>
      </c>
      <c r="Q1590">
        <f t="shared" ref="Q1590" si="356">P1591</f>
        <v>2.7499999999999898</v>
      </c>
      <c r="R1590" s="5">
        <f t="shared" ref="R1590" si="357">N1590/W1590/X1590/Z1591/AB1591/AA1590</f>
        <v>3.2501889919225668</v>
      </c>
      <c r="S1590" s="5">
        <f t="shared" ref="S1590" si="358">O1590/W1591/Y1590/Z1590/AA1591/AB1590</f>
        <v>2.9046245746318067</v>
      </c>
      <c r="T1590" s="5">
        <f t="shared" ref="T1590" si="359">P1590/W1590/X1590/Z1591/AB1591</f>
        <v>3.1201814322456642</v>
      </c>
      <c r="U1590" s="5">
        <f t="shared" ref="U1590" si="360">Q1590/W1591/Y1590/Z1590/AA1591</f>
        <v>2.9772401889976017</v>
      </c>
      <c r="V1590" s="5">
        <f>_xlfn.XLOOKUP(H1590,'Rest - Home'!A:A,'Rest - Home'!B:B)</f>
        <v>0.95</v>
      </c>
      <c r="W1590" s="5">
        <f>_xlfn.XLOOKUP(H1590,'Rest - Home'!A:A,'Rest - Home'!C:C)</f>
        <v>0.95302926576458757</v>
      </c>
      <c r="X1590" s="5">
        <f t="shared" ref="X1590" si="361">AM1591/K1590</f>
        <v>1.0837231245887493</v>
      </c>
      <c r="Y1590" s="5">
        <f t="shared" ref="Y1590" si="362">AK1591/K1590</f>
        <v>0.93572321018258608</v>
      </c>
      <c r="Z1590" s="5">
        <f>IF(J1590="",1,(_xlfn.XLOOKUP(I1590,Goalies!B:B,Goalies!J:J)))</f>
        <v>0.97499999999999998</v>
      </c>
      <c r="AA1590" s="23">
        <v>0.96</v>
      </c>
      <c r="AB1590" s="23">
        <v>1.0249999999999999</v>
      </c>
      <c r="AC1590" s="23">
        <f>_xlfn.XLOOKUP(E1590,'Game Adjustments'!A:A,'Game Adjustments'!B:B)</f>
        <v>1</v>
      </c>
      <c r="AD1590" s="23">
        <f>_xlfn.XLOOKUP(E1590,'Game Adjustments'!A:A,'Game Adjustments'!C:C)</f>
        <v>1</v>
      </c>
      <c r="AE1590" s="23">
        <f>IF(D1590="A",_xlfn.XLOOKUP(E1590,'Rest - Home'!F:F,'Rest - Home'!J:J),_xlfn.XLOOKUP(E1590,'Rest - Home'!F:F,'Rest - Home'!I:I))</f>
        <v>1</v>
      </c>
      <c r="AF1590" s="23">
        <f>IF(D1590="A",_xlfn.XLOOKUP(E1590,'Rest - Home'!F:F,'Rest - Home'!L:L),_xlfn.XLOOKUP(E1590,'Rest - Home'!F:F,'Rest - Home'!K:K))</f>
        <v>1</v>
      </c>
      <c r="AG1590" s="26">
        <v>1</v>
      </c>
      <c r="AH1590" s="26">
        <v>1</v>
      </c>
      <c r="AI1590" s="53" cm="1">
        <f t="array" ref="AI1590">MAX(IF($E$63:E1589=E1590,ROW($E$63:E1589)-MIN(ROW($E$63:E1589))+1))</f>
        <v>1495</v>
      </c>
      <c r="AJ1590" s="53" cm="1">
        <f t="array" ref="AJ1590">MAX(IF($I$105:I1589=I1590,ROW($I$105:I1589)-MIN(ROW($I$105:I1589))+1))</f>
        <v>1028</v>
      </c>
      <c r="AK1590" s="23">
        <f>IF(AI1590=0,_xlfn.XLOOKUP(E1590,'Starting GF'!A:A,'Starting GF'!B:B),INDEX($AL$63:$AL1590,AI1590))</f>
        <v>3.35</v>
      </c>
      <c r="AL1590" s="23">
        <v>3.36</v>
      </c>
      <c r="AM1590" s="23">
        <f>IF(AI1590=0,_xlfn.XLOOKUP(E1590,'Starting GF'!A:A,'Starting GF'!C:C),INDEX($AN$63:$AN1590,AI1590))</f>
        <v>2.98</v>
      </c>
      <c r="AN1590" s="23">
        <f t="shared" si="22"/>
        <v>2.9686936861947708</v>
      </c>
      <c r="AO1590" s="23">
        <f>IF(AJ1590=0,_xlfn.XLOOKUP(I1590,Goalies!B:B,Goalies!I:I),INDEX($AP$105:$AP1590,AJ1590))</f>
        <v>3.1338982709599605</v>
      </c>
      <c r="AP1590" s="23">
        <f t="shared" si="23"/>
        <v>3.0886148743558683</v>
      </c>
      <c r="AQ1590" s="23">
        <f t="shared" si="24"/>
        <v>2.9055</v>
      </c>
      <c r="AR1590" s="66">
        <v>0</v>
      </c>
      <c r="AS1590" s="96" t="s">
        <v>1594</v>
      </c>
      <c r="AT1590" s="20">
        <f t="shared" ref="AT1590" si="363">(AK1590*V1590*X1590*Z1591*AA1590*AB1591*AC1590*AD1591*AG1590*AH1591)+AR1590</f>
        <v>3.6473875646922913</v>
      </c>
      <c r="AU1590" s="20">
        <f t="shared" ref="AU1590" si="364">AT1591</f>
        <v>2.8182579660278551</v>
      </c>
      <c r="AV1590" s="12">
        <f t="shared" ref="AV1590" si="365">AK1590*V1590*X1590*Z1591*AA1590*AB1591</f>
        <v>3.6473875646922913</v>
      </c>
      <c r="AW1590" s="12">
        <f t="shared" ref="AW1590" si="366">AV1591</f>
        <v>2.8213628954229919</v>
      </c>
      <c r="AX1590" s="8">
        <f t="shared" si="29"/>
        <v>9.7387564692301254E-2</v>
      </c>
      <c r="AY1590" s="8">
        <f t="shared" si="30"/>
        <v>6.8257966027865269E-2</v>
      </c>
      <c r="AZ1590" s="8">
        <f t="shared" si="31"/>
        <v>0.16564553072016652</v>
      </c>
      <c r="BA1590" s="8">
        <f t="shared" si="32"/>
        <v>2.9129598664435985E-2</v>
      </c>
      <c r="BB1590" s="62">
        <f t="shared" si="33"/>
        <v>-168</v>
      </c>
      <c r="BC1590" s="21">
        <f t="shared" si="34"/>
        <v>-173</v>
      </c>
      <c r="BD1590" s="21">
        <f t="shared" si="35"/>
        <v>-142</v>
      </c>
      <c r="BE1590" s="21">
        <f t="shared" si="36"/>
        <v>-109</v>
      </c>
      <c r="BF1590" s="94">
        <f t="shared" ref="BF1590" si="367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IF(AT1590&gt;AT1591, 1-_xlpm.interp, _xlpm.interp)
)</f>
        <v>0.62659805062279883</v>
      </c>
      <c r="BG1590" s="22">
        <f t="shared" si="38"/>
        <v>0.63321827995879665</v>
      </c>
      <c r="BH1590" s="22">
        <f t="shared" si="38"/>
        <v>0.58694814248577454</v>
      </c>
      <c r="BI1590" s="22">
        <f t="shared" si="38"/>
        <v>0.52120694306246551</v>
      </c>
      <c r="BJ1590" s="21">
        <f t="shared" si="39"/>
        <v>-168</v>
      </c>
      <c r="BK1590" s="21">
        <f t="shared" si="40"/>
        <v>-173</v>
      </c>
      <c r="BL1590" s="21">
        <f t="shared" si="41"/>
        <v>-142</v>
      </c>
      <c r="BM1590" s="21">
        <f t="shared" si="42"/>
        <v>-109</v>
      </c>
      <c r="BN1590" s="22">
        <f t="shared" ref="BN1590" si="368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IF(AV1590&gt;AV1591, 1-_xlpm.interp, _xlpm.interp)
)</f>
        <v>0.62619476505659655</v>
      </c>
      <c r="BO1590" s="22">
        <f t="shared" si="44"/>
        <v>0.63360927476643802</v>
      </c>
      <c r="BP1590" s="22">
        <f t="shared" si="44"/>
        <v>0.58743250284687543</v>
      </c>
      <c r="BQ1590" s="22">
        <f t="shared" si="44"/>
        <v>0.52169307397501974</v>
      </c>
      <c r="BR1590">
        <v>3.7</v>
      </c>
      <c r="BS1590">
        <v>4.4000000000000004</v>
      </c>
      <c r="BT1590">
        <v>0.40356999999999998</v>
      </c>
      <c r="BU1590">
        <v>0.17768</v>
      </c>
      <c r="BV1590">
        <v>0.19317662919393699</v>
      </c>
      <c r="BW1590">
        <v>0.25790000000000002</v>
      </c>
    </row>
    <row r="1591" spans="1:75" ht="16.75" customHeight="1" x14ac:dyDescent="0.2">
      <c r="A1591" t="str">
        <f t="shared" si="11"/>
        <v>2025020764 VAN</v>
      </c>
      <c r="B1591">
        <v>2025020764</v>
      </c>
      <c r="C1591" s="1">
        <v>46039</v>
      </c>
      <c r="D1591" s="2" t="s">
        <v>9</v>
      </c>
      <c r="E1591" t="s">
        <v>23</v>
      </c>
      <c r="F1591" s="2">
        <v>1</v>
      </c>
      <c r="G1591" s="2">
        <v>1</v>
      </c>
      <c r="H1591" t="s">
        <v>47</v>
      </c>
      <c r="I1591" t="str">
        <f t="shared" si="176"/>
        <v>VAN Nikita Tolopilo</v>
      </c>
      <c r="J1591" s="33" t="s">
        <v>1294</v>
      </c>
      <c r="K1591" s="14">
        <v>2.96</v>
      </c>
      <c r="L1591" s="13">
        <v>0.15</v>
      </c>
      <c r="M1591" s="28">
        <v>0.1</v>
      </c>
      <c r="N1591">
        <f>IFERROR(_xlfn.XLOOKUP(A1591,Params!A:A,Params!D:D),0)</f>
        <v>2.7499999999999898</v>
      </c>
      <c r="O1591">
        <f t="shared" ref="O1591" si="369">N1590</f>
        <v>3.5499999999999901</v>
      </c>
      <c r="P1591" s="68">
        <f t="shared" si="14"/>
        <v>2.7499999999999898</v>
      </c>
      <c r="Q1591">
        <f t="shared" ref="Q1591" si="370">P1590</f>
        <v>3.5499999999999901</v>
      </c>
      <c r="R1591" s="5">
        <f t="shared" ref="R1591" si="371">N1591/W1591/X1591/Z1590/AB1590/AA1591</f>
        <v>2.6996835264413153</v>
      </c>
      <c r="S1591" s="5">
        <f t="shared" ref="S1591" si="372">O1591/W1590/Y1591/Z1591/AA1590/AB1591</f>
        <v>3.1122455852828756</v>
      </c>
      <c r="T1591" s="5">
        <f t="shared" ref="T1591" si="373">P1591/W1591/X1591/Z1590/AB1590</f>
        <v>2.6051946030158692</v>
      </c>
      <c r="U1591" s="5">
        <f t="shared" ref="U1591" si="374">Q1591/W1590/Y1591/Z1591/AA1590</f>
        <v>3.174490496988533</v>
      </c>
      <c r="V1591" s="5">
        <f>_xlfn.XLOOKUP(H1591,'Rest - Home'!A:A,'Rest - Home'!B:B)</f>
        <v>1.048</v>
      </c>
      <c r="W1591" s="5">
        <f>_xlfn.XLOOKUP(H1591,'Rest - Home'!A:A,'Rest - Home'!C:C)</f>
        <v>1.0491546019013618</v>
      </c>
      <c r="X1591" s="5">
        <f t="shared" ref="X1591" si="375">AM1590/K1591</f>
        <v>1.0067567567567568</v>
      </c>
      <c r="Y1591" s="5">
        <f t="shared" ref="Y1591" si="376">AK1590/K1591</f>
        <v>1.1317567567567568</v>
      </c>
      <c r="Z1591" s="5">
        <f>IF(J1591="",1,(_xlfn.XLOOKUP(I1591,Goalies!B:B,Goalies!J:J)))</f>
        <v>1.08</v>
      </c>
      <c r="AA1591" s="23">
        <v>0.96499999999999997</v>
      </c>
      <c r="AB1591" s="23">
        <v>1.02</v>
      </c>
      <c r="AC1591" s="23">
        <f>_xlfn.XLOOKUP(E1591,'Game Adjustments'!A:A,'Game Adjustments'!B:B)</f>
        <v>1</v>
      </c>
      <c r="AD1591" s="23">
        <f>_xlfn.XLOOKUP(E1591,'Game Adjustments'!A:A,'Game Adjustments'!C:C)</f>
        <v>1</v>
      </c>
      <c r="AE1591" s="23">
        <f>IF(D1591="A",_xlfn.XLOOKUP(E1591,'Rest - Home'!F:F,'Rest - Home'!J:J),_xlfn.XLOOKUP(E1591,'Rest - Home'!F:F,'Rest - Home'!I:I))</f>
        <v>1</v>
      </c>
      <c r="AF1591" s="23">
        <f>IF(D1591="A",_xlfn.XLOOKUP(E1591,'Rest - Home'!F:F,'Rest - Home'!L:L),_xlfn.XLOOKUP(E1591,'Rest - Home'!F:F,'Rest - Home'!K:K))</f>
        <v>1</v>
      </c>
      <c r="AG1591" s="26">
        <v>1</v>
      </c>
      <c r="AH1591" s="26">
        <v>1</v>
      </c>
      <c r="AI1591" s="53" cm="1">
        <f t="array" ref="AI1591">MAX(IF($E$63:E1590=E1591,ROW($E$63:E1590)-MIN(ROW($E$63:E1590))+1))</f>
        <v>1486</v>
      </c>
      <c r="AJ1591" s="53" cm="1">
        <f t="array" ref="AJ1591">MAX(IF($I$105:I1590=I1591,ROW($I$105:I1590)-MIN(ROW($I$105:I1590))+1))</f>
        <v>0</v>
      </c>
      <c r="AK1591" s="23">
        <f>IF(AI1591=0,_xlfn.XLOOKUP(E1591,'Starting GF'!A:A,'Starting GF'!B:B),INDEX($AL$63:$AL1591,AI1591))</f>
        <v>2.7697407021404548</v>
      </c>
      <c r="AL1591" s="23">
        <v>2.75</v>
      </c>
      <c r="AM1591" s="23">
        <f>IF(AI1591=0,_xlfn.XLOOKUP(E1591,'Starting GF'!A:A,'Starting GF'!C:C),INDEX($AN$63:$AN1591,AI1591))</f>
        <v>3.207820448782698</v>
      </c>
      <c r="AN1591" s="23">
        <v>3.22</v>
      </c>
      <c r="AO1591" s="23">
        <f>IF(AJ1591=0,_xlfn.XLOOKUP(I1591,Goalies!B:B,Goalies!I:I),INDEX($AP$105:$AP1591,AJ1591))</f>
        <v>3.0833552458585332</v>
      </c>
      <c r="AP1591" s="23">
        <f t="shared" si="23"/>
        <v>3.1250357437955789</v>
      </c>
      <c r="AQ1591" s="23">
        <f t="shared" si="24"/>
        <v>3.464446084685314</v>
      </c>
      <c r="AR1591" s="66">
        <v>0</v>
      </c>
      <c r="AS1591" s="96" t="s">
        <v>1594</v>
      </c>
      <c r="AT1591" s="20">
        <f t="shared" ref="AT1591" si="377">(AK1591*V1591*X1591*Z1590*AA1591*AB1590*AC1591*AD1590*AG1591*AH1590)+AR1591</f>
        <v>2.8182579660278551</v>
      </c>
      <c r="AU1591" s="20">
        <f t="shared" ref="AU1591" si="378">AT1590</f>
        <v>3.6473875646922913</v>
      </c>
      <c r="AV1591" s="12">
        <f t="shared" ref="AV1591" si="379">AK1591*W1591*X1591*Z1590*AA1591*AB1590</f>
        <v>2.8213628954229919</v>
      </c>
      <c r="AW1591" s="12">
        <f t="shared" ref="AW1591" si="380">AV1590</f>
        <v>3.6473875646922913</v>
      </c>
      <c r="AX1591" s="8">
        <f t="shared" si="29"/>
        <v>6.8257966027865269E-2</v>
      </c>
      <c r="AY1591" s="8">
        <f t="shared" si="30"/>
        <v>9.7387564692301254E-2</v>
      </c>
      <c r="AZ1591" s="8">
        <f t="shared" si="31"/>
        <v>0.16564553072016652</v>
      </c>
      <c r="BA1591" s="8">
        <f t="shared" si="32"/>
        <v>-2.9129598664435985E-2</v>
      </c>
      <c r="BB1591" s="62">
        <f t="shared" si="33"/>
        <v>168</v>
      </c>
      <c r="BC1591" s="21">
        <f t="shared" si="34"/>
        <v>173</v>
      </c>
      <c r="BD1591" s="21">
        <f t="shared" si="35"/>
        <v>142</v>
      </c>
      <c r="BE1591" s="21">
        <f t="shared" si="36"/>
        <v>109</v>
      </c>
      <c r="BF1591" s="94">
        <f t="shared" si="57"/>
        <v>0.37340194937720117</v>
      </c>
      <c r="BG1591" s="22">
        <f t="shared" ref="BG1591" si="381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0.36678172004120341</v>
      </c>
      <c r="BH1591" s="22">
        <f t="shared" ref="BH1591" si="382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0.41305185751422546</v>
      </c>
      <c r="BI1591" s="22">
        <f t="shared" ref="BI1591" si="383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0.47879305693753443</v>
      </c>
      <c r="BJ1591" s="21">
        <f t="shared" si="39"/>
        <v>168</v>
      </c>
      <c r="BK1591" s="21">
        <f t="shared" si="40"/>
        <v>173</v>
      </c>
      <c r="BL1591" s="21">
        <f t="shared" si="41"/>
        <v>142</v>
      </c>
      <c r="BM1591" s="21">
        <f t="shared" si="42"/>
        <v>109</v>
      </c>
      <c r="BN1591" s="22">
        <f t="shared" si="61"/>
        <v>0.37380523494340345</v>
      </c>
      <c r="BO1591" s="22">
        <f t="shared" ref="BO1591" si="384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0.36639072523356198</v>
      </c>
      <c r="BP1591" s="22">
        <f t="shared" ref="BP1591" si="385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0.41256749715312457</v>
      </c>
      <c r="BQ1591" s="22">
        <f t="shared" ref="BQ1591" si="386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0.47830692602498026</v>
      </c>
      <c r="BR1591">
        <v>3.7</v>
      </c>
      <c r="BS1591">
        <v>4.45</v>
      </c>
      <c r="BT1591">
        <v>0.39524999999999999</v>
      </c>
      <c r="BU1591">
        <v>0.17496</v>
      </c>
      <c r="BV1591">
        <v>0.19049278139494299</v>
      </c>
      <c r="BW1591">
        <v>0.25650000000000001</v>
      </c>
    </row>
    <row r="1592" spans="1:75" ht="16.75" customHeight="1" x14ac:dyDescent="0.2">
      <c r="A1592" t="str">
        <f t="shared" si="11"/>
        <v>2025020766 LAK</v>
      </c>
      <c r="B1592">
        <v>2025020766</v>
      </c>
      <c r="C1592" s="1">
        <v>46039</v>
      </c>
      <c r="D1592" s="2" t="s">
        <v>6</v>
      </c>
      <c r="E1592" t="s">
        <v>28</v>
      </c>
      <c r="F1592" s="2">
        <v>0</v>
      </c>
      <c r="G1592" s="2">
        <v>0</v>
      </c>
      <c r="H1592" t="s">
        <v>50</v>
      </c>
      <c r="I1592" t="str">
        <f t="shared" si="176"/>
        <v>LAK Anton Forsberg</v>
      </c>
      <c r="J1592" s="33" t="s">
        <v>168</v>
      </c>
      <c r="K1592" s="14">
        <v>2.96</v>
      </c>
      <c r="L1592" s="13">
        <v>0.15</v>
      </c>
      <c r="M1592" s="28">
        <v>0.1</v>
      </c>
      <c r="N1592">
        <f>IFERROR(_xlfn.XLOOKUP(A1592,Params!A:A,Params!D:D),0)</f>
        <v>3.1499999999999901</v>
      </c>
      <c r="O1592">
        <f t="shared" ref="O1592" si="387">N1593</f>
        <v>2.8999999999999901</v>
      </c>
      <c r="P1592" s="68">
        <f t="shared" si="14"/>
        <v>3.1499999999999901</v>
      </c>
      <c r="Q1592">
        <f t="shared" ref="Q1592" si="388">P1593</f>
        <v>2.8999999999999901</v>
      </c>
      <c r="R1592" s="5">
        <f t="shared" ref="R1592" si="389">N1592/W1592/X1592/Z1593/AB1593/AA1592</f>
        <v>2.8645123440255009</v>
      </c>
      <c r="S1592" s="5">
        <f t="shared" ref="S1592" si="390">O1592/W1593/Y1592/Z1592/AA1593/AB1592</f>
        <v>2.6612961959434753</v>
      </c>
      <c r="T1592" s="5">
        <f t="shared" ref="T1592" si="391">P1592/W1592/X1592/Z1593/AB1593</f>
        <v>2.6926416033839708</v>
      </c>
      <c r="U1592" s="5">
        <f t="shared" ref="U1592" si="392">Q1592/W1593/Y1592/Z1592/AA1593</f>
        <v>2.714522119862345</v>
      </c>
      <c r="V1592" s="5">
        <f>_xlfn.XLOOKUP(H1592,'Rest - Home'!A:A,'Rest - Home'!B:B)</f>
        <v>0.96699999999999997</v>
      </c>
      <c r="W1592" s="5">
        <f>_xlfn.XLOOKUP(H1592,'Rest - Home'!A:A,'Rest - Home'!C:C)</f>
        <v>0.96943075693561398</v>
      </c>
      <c r="X1592" s="5">
        <f t="shared" ref="X1592" si="393">AM1593/K1592</f>
        <v>1.1379011461506126</v>
      </c>
      <c r="Y1592" s="5">
        <f t="shared" ref="Y1592" si="394">AK1593/K1592</f>
        <v>1.0565742970517809</v>
      </c>
      <c r="Z1592" s="5">
        <f>IF(J1592="",1,(_xlfn.XLOOKUP(I1592,Goalies!B:B,Goalies!J:J)))</f>
        <v>1.04</v>
      </c>
      <c r="AA1592" s="23">
        <v>0.94</v>
      </c>
      <c r="AB1592" s="23">
        <v>1.02</v>
      </c>
      <c r="AC1592" s="23">
        <f>_xlfn.XLOOKUP(E1592,'Game Adjustments'!A:A,'Game Adjustments'!B:B)</f>
        <v>1</v>
      </c>
      <c r="AD1592" s="23">
        <f>_xlfn.XLOOKUP(E1592,'Game Adjustments'!A:A,'Game Adjustments'!C:C)</f>
        <v>1</v>
      </c>
      <c r="AE1592" s="23">
        <f>IF(D1592="A",_xlfn.XLOOKUP(E1592,'Rest - Home'!F:F,'Rest - Home'!J:J),_xlfn.XLOOKUP(E1592,'Rest - Home'!F:F,'Rest - Home'!I:I))</f>
        <v>1</v>
      </c>
      <c r="AF1592" s="23">
        <f>IF(D1592="A",_xlfn.XLOOKUP(E1592,'Rest - Home'!F:F,'Rest - Home'!L:L),_xlfn.XLOOKUP(E1592,'Rest - Home'!F:F,'Rest - Home'!K:K))</f>
        <v>1</v>
      </c>
      <c r="AG1592" s="26">
        <v>1</v>
      </c>
      <c r="AH1592" s="26">
        <v>1</v>
      </c>
      <c r="AI1592" s="53" cm="1">
        <f t="array" ref="AI1592">MAX(IF($E$63:E1591=E1592,ROW($E$63:E1591)-MIN(ROW($E$63:E1591))+1))</f>
        <v>1507</v>
      </c>
      <c r="AJ1592" s="53" cm="1">
        <f t="array" ref="AJ1592">MAX(IF($I$105:I1591=I1592,ROW($I$105:I1591)-MIN(ROW($I$105:I1591))+1))</f>
        <v>1376</v>
      </c>
      <c r="AK1592" s="23">
        <f>IF(AI1592=0,_xlfn.XLOOKUP(E1592,'Starting GF'!A:A,'Starting GF'!B:B),INDEX($AL$63:$AL1592,AI1592))</f>
        <v>2.8580439354254525</v>
      </c>
      <c r="AL1592" s="23">
        <f t="shared" si="73"/>
        <v>2.8564361356058368</v>
      </c>
      <c r="AM1592" s="23">
        <f>IF(AI1592=0,_xlfn.XLOOKUP(E1592,'Starting GF'!A:A,'Starting GF'!C:C),INDEX($AN$63:$AN1592,AI1592))</f>
        <v>2.7845841941350011</v>
      </c>
      <c r="AN1592" s="23">
        <f t="shared" si="22"/>
        <v>2.7660909944062722</v>
      </c>
      <c r="AO1592" s="23">
        <f>IF(AJ1592=0,_xlfn.XLOOKUP(I1592,Goalies!B:B,Goalies!I:I),INDEX($AP$105:$AP1592,AJ1592))</f>
        <v>2.8134297302546742</v>
      </c>
      <c r="AP1592" s="23">
        <f t="shared" si="23"/>
        <v>2.8065774772836551</v>
      </c>
      <c r="AQ1592" s="23">
        <f t="shared" si="24"/>
        <v>2.8959675619004015</v>
      </c>
      <c r="AR1592" s="66">
        <v>0.05</v>
      </c>
      <c r="AS1592" s="96" t="s">
        <v>1593</v>
      </c>
      <c r="AT1592" s="20">
        <f t="shared" ref="AT1592" si="395">(AK1592*V1592*X1592*Z1593*AA1592*AB1593*AC1592*AD1593*AG1592*AH1593)+AR1592</f>
        <v>3.1850064314541697</v>
      </c>
      <c r="AU1592" s="20">
        <f t="shared" ref="AU1592" si="396">AT1593</f>
        <v>2.9717531573752041</v>
      </c>
      <c r="AV1592" s="12">
        <f t="shared" ref="AV1592" si="397">AK1592*V1592*X1592*Z1593*AA1592*AB1593</f>
        <v>3.1350064314541699</v>
      </c>
      <c r="AW1592" s="12">
        <f t="shared" ref="AW1592" si="398">AV1593</f>
        <v>3.0343462615323973</v>
      </c>
      <c r="AX1592" s="8">
        <f t="shared" si="29"/>
        <v>3.5006431454179587E-2</v>
      </c>
      <c r="AY1592" s="8">
        <f t="shared" si="30"/>
        <v>7.1753157375213927E-2</v>
      </c>
      <c r="AZ1592" s="8">
        <f t="shared" si="31"/>
        <v>0.10675958882939351</v>
      </c>
      <c r="BA1592" s="8">
        <f t="shared" si="32"/>
        <v>-3.674672592103434E-2</v>
      </c>
      <c r="BB1592" s="62">
        <f t="shared" si="33"/>
        <v>-116</v>
      </c>
      <c r="BC1592" s="21">
        <f t="shared" si="34"/>
        <v>-141</v>
      </c>
      <c r="BD1592" s="21">
        <f t="shared" si="35"/>
        <v>-114</v>
      </c>
      <c r="BE1592" s="21">
        <f t="shared" si="36"/>
        <v>111</v>
      </c>
      <c r="BF1592" s="94">
        <f t="shared" ref="BF1592" si="399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IF(AT1592&gt;AT1593, 1-_xlpm.interp, _xlpm.interp)
)</f>
        <v>0.53788072104361928</v>
      </c>
      <c r="BG1592" s="22">
        <f t="shared" si="38"/>
        <v>0.5856885368496203</v>
      </c>
      <c r="BH1592" s="22">
        <f t="shared" si="38"/>
        <v>0.53314308304473579</v>
      </c>
      <c r="BI1592" s="22">
        <f t="shared" si="38"/>
        <v>0.47312941590223623</v>
      </c>
      <c r="BJ1592" s="21">
        <f t="shared" si="39"/>
        <v>-109</v>
      </c>
      <c r="BK1592" s="21">
        <f t="shared" si="40"/>
        <v>-143</v>
      </c>
      <c r="BL1592" s="21">
        <f t="shared" si="41"/>
        <v>-115</v>
      </c>
      <c r="BM1592" s="21">
        <f t="shared" si="42"/>
        <v>110</v>
      </c>
      <c r="BN1592" s="22">
        <f t="shared" ref="BN1592" si="400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IF(AV1592&gt;AV1593, 1-_xlpm.interp, _xlpm.interp)
)</f>
        <v>0.52093390069342926</v>
      </c>
      <c r="BO1592" s="22">
        <f t="shared" si="44"/>
        <v>0.58781608954002507</v>
      </c>
      <c r="BP1592" s="22">
        <f t="shared" si="44"/>
        <v>0.53579904276220813</v>
      </c>
      <c r="BQ1592" s="22">
        <f t="shared" si="44"/>
        <v>0.47576595037743563</v>
      </c>
      <c r="BR1592">
        <v>3.7</v>
      </c>
      <c r="BS1592">
        <v>4.5</v>
      </c>
      <c r="BT1592">
        <v>0.38925999999999999</v>
      </c>
      <c r="BU1592">
        <v>0.16843</v>
      </c>
      <c r="BV1592">
        <v>0.18260567884905099</v>
      </c>
      <c r="BW1592">
        <v>0.24606</v>
      </c>
    </row>
    <row r="1593" spans="1:75" ht="16.75" customHeight="1" x14ac:dyDescent="0.2">
      <c r="A1593" t="str">
        <f t="shared" si="11"/>
        <v>2025020766 ANA</v>
      </c>
      <c r="B1593">
        <v>2025020766</v>
      </c>
      <c r="C1593" s="1">
        <v>46039</v>
      </c>
      <c r="D1593" s="2" t="s">
        <v>9</v>
      </c>
      <c r="E1593" t="s">
        <v>48</v>
      </c>
      <c r="F1593" s="2">
        <v>0</v>
      </c>
      <c r="G1593" s="2">
        <v>0</v>
      </c>
      <c r="H1593" t="s">
        <v>51</v>
      </c>
      <c r="I1593" t="str">
        <f t="shared" si="176"/>
        <v>ANA Ville Husso</v>
      </c>
      <c r="J1593" s="33" t="s">
        <v>1165</v>
      </c>
      <c r="K1593" s="14">
        <v>2.96</v>
      </c>
      <c r="L1593" s="13">
        <v>0.15</v>
      </c>
      <c r="M1593" s="28">
        <v>0.1</v>
      </c>
      <c r="N1593">
        <f>IFERROR(_xlfn.XLOOKUP(A1593,Params!A:A,Params!D:D),0)</f>
        <v>2.8999999999999901</v>
      </c>
      <c r="O1593">
        <f t="shared" ref="O1593" si="401">N1592</f>
        <v>3.1499999999999901</v>
      </c>
      <c r="P1593" s="68">
        <f t="shared" si="14"/>
        <v>2.8999999999999901</v>
      </c>
      <c r="Q1593">
        <f t="shared" ref="Q1593" si="402">P1592</f>
        <v>3.1499999999999901</v>
      </c>
      <c r="R1593" s="5">
        <f t="shared" ref="R1593" si="403">N1593/W1593/X1593/Z1592/AB1592/AA1593</f>
        <v>2.9889910327215365</v>
      </c>
      <c r="S1593" s="5">
        <f t="shared" ref="S1593" si="404">O1593/W1592/Y1593/Z1593/AA1592/AB1593</f>
        <v>3.3758103727940667</v>
      </c>
      <c r="T1593" s="5">
        <f t="shared" ref="T1593" si="405">P1593/W1593/X1593/Z1592/AB1592</f>
        <v>2.8096515707582443</v>
      </c>
      <c r="U1593" s="5">
        <f t="shared" ref="U1593" si="406">Q1593/W1592/Y1593/Z1593/AA1592</f>
        <v>3.4095684765220073</v>
      </c>
      <c r="V1593" s="5">
        <f>_xlfn.XLOOKUP(H1593,'Rest - Home'!A:A,'Rest - Home'!B:B)</f>
        <v>1.03</v>
      </c>
      <c r="W1593" s="5">
        <f>_xlfn.XLOOKUP(H1593,'Rest - Home'!A:A,'Rest - Home'!C:C)</f>
        <v>1.0342925072321845</v>
      </c>
      <c r="X1593" s="5">
        <f t="shared" ref="X1593" si="407">AM1592/K1593</f>
        <v>0.94073790342398689</v>
      </c>
      <c r="Y1593" s="5">
        <f t="shared" ref="Y1593" si="408">AK1592/K1593</f>
        <v>0.96555538358967996</v>
      </c>
      <c r="Z1593" s="5">
        <f>IF(J1593="",1,(_xlfn.XLOOKUP(I1593,Goalies!B:B,Goalies!J:J)))</f>
        <v>1.05</v>
      </c>
      <c r="AA1593" s="23">
        <v>0.94</v>
      </c>
      <c r="AB1593" s="23">
        <v>1.01</v>
      </c>
      <c r="AC1593" s="23">
        <f>_xlfn.XLOOKUP(E1593,'Game Adjustments'!A:A,'Game Adjustments'!B:B)</f>
        <v>1</v>
      </c>
      <c r="AD1593" s="23">
        <f>_xlfn.XLOOKUP(E1593,'Game Adjustments'!A:A,'Game Adjustments'!C:C)</f>
        <v>1</v>
      </c>
      <c r="AE1593" s="23">
        <f>IF(D1593="A",_xlfn.XLOOKUP(E1593,'Rest - Home'!F:F,'Rest - Home'!J:J),_xlfn.XLOOKUP(E1593,'Rest - Home'!F:F,'Rest - Home'!I:I))</f>
        <v>1</v>
      </c>
      <c r="AF1593" s="23">
        <f>IF(D1593="A",_xlfn.XLOOKUP(E1593,'Rest - Home'!F:F,'Rest - Home'!L:L),_xlfn.XLOOKUP(E1593,'Rest - Home'!F:F,'Rest - Home'!K:K))</f>
        <v>1</v>
      </c>
      <c r="AG1593" s="26">
        <v>1</v>
      </c>
      <c r="AH1593" s="26">
        <v>1</v>
      </c>
      <c r="AI1593" s="53" cm="1">
        <f t="array" ref="AI1593">MAX(IF($E$63:E1592=E1593,ROW($E$63:E1592)-MIN(ROW($E$63:E1592))+1))</f>
        <v>1506</v>
      </c>
      <c r="AJ1593" s="53" cm="1">
        <f t="array" ref="AJ1593">MAX(IF($I$105:I1592=I1593,ROW($I$105:I1592)-MIN(ROW($I$105:I1592))+1))</f>
        <v>1322</v>
      </c>
      <c r="AK1593" s="23">
        <f>IF(AI1593=0,_xlfn.XLOOKUP(E1593,'Starting GF'!A:A,'Starting GF'!B:B),INDEX($AL$63:$AL1593,AI1593))</f>
        <v>3.1274599192732713</v>
      </c>
      <c r="AL1593" s="23">
        <f t="shared" si="73"/>
        <v>3.1039994943610614</v>
      </c>
      <c r="AM1593" s="23">
        <f>IF(AI1593=0,_xlfn.XLOOKUP(E1593,'Starting GF'!A:A,'Starting GF'!C:C),INDEX($AN$63:$AN1593,AI1593))</f>
        <v>3.368187392605813</v>
      </c>
      <c r="AN1593" s="23">
        <f t="shared" si="22"/>
        <v>3.3693308396340509</v>
      </c>
      <c r="AO1593" s="23">
        <f>IF(AJ1593=0,_xlfn.XLOOKUP(I1593,Goalies!B:B,Goalies!I:I),INDEX($AP$105:$AP1593,AJ1593))</f>
        <v>3.3497393489345262</v>
      </c>
      <c r="AP1593" s="23">
        <f t="shared" si="23"/>
        <v>3.3789685803094125</v>
      </c>
      <c r="AQ1593" s="23">
        <f t="shared" si="24"/>
        <v>3.5365967622361039</v>
      </c>
      <c r="AR1593" s="66">
        <v>-0.05</v>
      </c>
      <c r="AS1593" s="96" t="s">
        <v>1593</v>
      </c>
      <c r="AT1593" s="20">
        <f t="shared" ref="AT1593" si="409">(AK1593*V1593*X1593*Z1592*AA1593*AB1592*AC1593*AD1592*AG1593*AH1592)+AR1593</f>
        <v>2.9717531573752041</v>
      </c>
      <c r="AU1593" s="20">
        <f t="shared" ref="AU1593" si="410">AT1592</f>
        <v>3.1850064314541697</v>
      </c>
      <c r="AV1593" s="12">
        <f t="shared" ref="AV1593" si="411">AK1593*W1593*X1593*Z1592*AA1593*AB1592</f>
        <v>3.0343462615323973</v>
      </c>
      <c r="AW1593" s="12">
        <f t="shared" ref="AW1593" si="412">AV1592</f>
        <v>3.1350064314541699</v>
      </c>
      <c r="AX1593" s="8">
        <f t="shared" si="29"/>
        <v>7.1753157375213927E-2</v>
      </c>
      <c r="AY1593" s="8">
        <f t="shared" si="30"/>
        <v>3.5006431454179587E-2</v>
      </c>
      <c r="AZ1593" s="8">
        <f t="shared" si="31"/>
        <v>0.10675958882939351</v>
      </c>
      <c r="BA1593" s="8">
        <f t="shared" si="32"/>
        <v>3.674672592103434E-2</v>
      </c>
      <c r="BB1593" s="62">
        <f t="shared" si="33"/>
        <v>116</v>
      </c>
      <c r="BC1593" s="21">
        <f t="shared" si="34"/>
        <v>141</v>
      </c>
      <c r="BD1593" s="21">
        <f t="shared" si="35"/>
        <v>114</v>
      </c>
      <c r="BE1593" s="21">
        <f t="shared" si="36"/>
        <v>-111</v>
      </c>
      <c r="BF1593" s="94">
        <f t="shared" si="57"/>
        <v>0.46211927895638072</v>
      </c>
      <c r="BG1593" s="22">
        <f t="shared" ref="BG1593" si="413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0.41431146315037976</v>
      </c>
      <c r="BH1593" s="22">
        <f t="shared" ref="BH1593" si="414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0.46685691695526421</v>
      </c>
      <c r="BI1593" s="22">
        <f t="shared" ref="BI1593" si="415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0.52687058409776377</v>
      </c>
      <c r="BJ1593" s="21">
        <f t="shared" si="39"/>
        <v>109</v>
      </c>
      <c r="BK1593" s="21">
        <f t="shared" si="40"/>
        <v>143</v>
      </c>
      <c r="BL1593" s="21">
        <f t="shared" si="41"/>
        <v>115</v>
      </c>
      <c r="BM1593" s="21">
        <f t="shared" si="42"/>
        <v>-110</v>
      </c>
      <c r="BN1593" s="22">
        <f t="shared" si="61"/>
        <v>0.47906609930657074</v>
      </c>
      <c r="BO1593" s="22">
        <f t="shared" ref="BO1593" si="416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0.41218391045997488</v>
      </c>
      <c r="BP1593" s="22">
        <f t="shared" ref="BP1593" si="417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0.46420095723779181</v>
      </c>
      <c r="BQ1593" s="22">
        <f t="shared" ref="BQ1593" si="418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0.52423404962256437</v>
      </c>
      <c r="BR1593">
        <v>3.7</v>
      </c>
      <c r="BS1593">
        <v>4.55</v>
      </c>
      <c r="BT1593">
        <v>0.38440999999999997</v>
      </c>
      <c r="BU1593">
        <v>0.16539000000000001</v>
      </c>
      <c r="BV1593">
        <v>0.17958824679132099</v>
      </c>
      <c r="BW1593">
        <v>0.24445</v>
      </c>
    </row>
    <row r="1594" spans="1:75" ht="16.75" customHeight="1" x14ac:dyDescent="0.2">
      <c r="A1594" t="str">
        <f t="shared" si="11"/>
        <v>2025020765 NSH</v>
      </c>
      <c r="B1594">
        <v>2025020765</v>
      </c>
      <c r="C1594" s="1">
        <v>46039</v>
      </c>
      <c r="D1594" s="2" t="s">
        <v>6</v>
      </c>
      <c r="E1594" t="s">
        <v>35</v>
      </c>
      <c r="F1594" s="2">
        <v>0</v>
      </c>
      <c r="G1594" s="2">
        <v>1</v>
      </c>
      <c r="H1594" t="s">
        <v>26</v>
      </c>
      <c r="I1594" t="str">
        <f t="shared" si="176"/>
        <v>NSH Justus Annunen</v>
      </c>
      <c r="J1594" s="33" t="s">
        <v>230</v>
      </c>
      <c r="K1594" s="14">
        <v>2.96</v>
      </c>
      <c r="L1594" s="13">
        <v>0.15</v>
      </c>
      <c r="M1594" s="28">
        <v>0.1</v>
      </c>
      <c r="N1594">
        <f>IFERROR(_xlfn.XLOOKUP(A1594,Params!A:A,Params!D:D),0)</f>
        <v>2.5499999999999901</v>
      </c>
      <c r="O1594">
        <f t="shared" ref="O1594" si="419">N1595</f>
        <v>3.5499999999999901</v>
      </c>
      <c r="P1594" s="68">
        <f t="shared" si="14"/>
        <v>2.5499999999999901</v>
      </c>
      <c r="Q1594">
        <f t="shared" ref="Q1594" si="420">P1595</f>
        <v>3.5499999999999901</v>
      </c>
      <c r="R1594" s="5">
        <f t="shared" ref="R1594" si="421">N1594/W1594/X1594/Z1595/AB1595/AA1594</f>
        <v>2.8946516708883157</v>
      </c>
      <c r="S1594" s="5">
        <f t="shared" ref="S1594" si="422">O1594/W1595/Y1594/Z1594/AA1595/AB1594</f>
        <v>3.0980535414663195</v>
      </c>
      <c r="T1594" s="5">
        <f t="shared" ref="T1594" si="423">P1594/W1594/X1594/Z1595/AB1595</f>
        <v>2.8946516708883157</v>
      </c>
      <c r="U1594" s="5">
        <f t="shared" ref="U1594" si="424">Q1594/W1595/Y1594/Z1594/AA1595</f>
        <v>3.0980535414663195</v>
      </c>
      <c r="V1594" s="5">
        <f>_xlfn.XLOOKUP(H1594,'Rest - Home'!A:A,'Rest - Home'!B:B)</f>
        <v>0.95</v>
      </c>
      <c r="W1594" s="5">
        <f>_xlfn.XLOOKUP(H1594,'Rest - Home'!A:A,'Rest - Home'!C:C)</f>
        <v>0.92554174501717079</v>
      </c>
      <c r="X1594" s="5">
        <f t="shared" ref="X1594" si="425">AM1595/K1594</f>
        <v>0.94256756756756754</v>
      </c>
      <c r="Y1594" s="5">
        <f t="shared" ref="Y1594" si="426">AK1595/K1594</f>
        <v>1.0743243243243243</v>
      </c>
      <c r="Z1594" s="5">
        <f>IF(J1594="",1,(_xlfn.XLOOKUP(I1594,Goalies!B:B,Goalies!J:J)))</f>
        <v>1.02</v>
      </c>
      <c r="AA1594" s="23">
        <v>1</v>
      </c>
      <c r="AB1594" s="23">
        <v>1</v>
      </c>
      <c r="AC1594" s="23">
        <f>_xlfn.XLOOKUP(E1594,'Game Adjustments'!A:A,'Game Adjustments'!B:B)</f>
        <v>1</v>
      </c>
      <c r="AD1594" s="23">
        <f>_xlfn.XLOOKUP(E1594,'Game Adjustments'!A:A,'Game Adjustments'!C:C)</f>
        <v>1</v>
      </c>
      <c r="AE1594" s="23">
        <f>IF(D1594="A",_xlfn.XLOOKUP(E1594,'Rest - Home'!F:F,'Rest - Home'!J:J),_xlfn.XLOOKUP(E1594,'Rest - Home'!F:F,'Rest - Home'!I:I))</f>
        <v>1</v>
      </c>
      <c r="AF1594" s="23">
        <f>IF(D1594="A",_xlfn.XLOOKUP(E1594,'Rest - Home'!F:F,'Rest - Home'!L:L),_xlfn.XLOOKUP(E1594,'Rest - Home'!F:F,'Rest - Home'!K:K))</f>
        <v>1</v>
      </c>
      <c r="AG1594" s="26">
        <v>1</v>
      </c>
      <c r="AH1594" s="26">
        <v>1</v>
      </c>
      <c r="AI1594" s="53" cm="1">
        <f t="array" ref="AI1594">MAX(IF($E$63:E1593=E1594,ROW($E$63:E1593)-MIN(ROW($E$63:E1593))+1))</f>
        <v>1504</v>
      </c>
      <c r="AJ1594" s="53" cm="1">
        <f t="array" ref="AJ1594">MAX(IF($I$105:I1593=I1594,ROW($I$105:I1593)-MIN(ROW($I$105:I1593))+1))</f>
        <v>1387</v>
      </c>
      <c r="AK1594" s="23">
        <f>IF(AI1594=0,_xlfn.XLOOKUP(E1594,'Starting GF'!A:A,'Starting GF'!B:B),INDEX($AL$63:$AL1594,AI1594))</f>
        <v>2.81</v>
      </c>
      <c r="AL1594" s="23">
        <f t="shared" si="73"/>
        <v>2.8226977506332473</v>
      </c>
      <c r="AM1594" s="23">
        <f>IF(AI1594=0,_xlfn.XLOOKUP(E1594,'Starting GF'!A:A,'Starting GF'!C:C),INDEX($AN$63:$AN1594,AI1594))</f>
        <v>3.13</v>
      </c>
      <c r="AN1594" s="23">
        <f t="shared" si="22"/>
        <v>3.1252080312199477</v>
      </c>
      <c r="AO1594" s="23">
        <f>IF(AJ1594=0,_xlfn.XLOOKUP(I1594,Goalies!B:B,Goalies!I:I),INDEX($AP$105:$AP1594,AJ1594))</f>
        <v>3.2544902014345776</v>
      </c>
      <c r="AP1594" s="23">
        <f t="shared" si="23"/>
        <v>3.2403188630637381</v>
      </c>
      <c r="AQ1594" s="23">
        <f t="shared" si="24"/>
        <v>3.1926000000000001</v>
      </c>
      <c r="AR1594" s="66">
        <v>0</v>
      </c>
      <c r="AS1594" s="96" t="s">
        <v>1594</v>
      </c>
      <c r="AT1594" s="20">
        <f t="shared" ref="AT1594" si="427">(AK1594*V1594*X1594*Z1595*AA1594*AB1595*AC1594*AD1595*AG1594*AH1595)+AR1594</f>
        <v>2.5408427260135129</v>
      </c>
      <c r="AU1594" s="20">
        <f t="shared" ref="AU1594" si="428">AT1595</f>
        <v>3.5113476739864868</v>
      </c>
      <c r="AV1594" s="12">
        <f t="shared" ref="AV1594" si="429">AK1594*V1594*X1594*Z1595*AA1594*AB1595</f>
        <v>2.5408427260135129</v>
      </c>
      <c r="AW1594" s="12">
        <f t="shared" ref="AW1594" si="430">AV1595</f>
        <v>3.586606832734355</v>
      </c>
      <c r="AX1594" s="8">
        <f t="shared" si="29"/>
        <v>-9.1572739864771435E-3</v>
      </c>
      <c r="AY1594" s="8">
        <f t="shared" si="30"/>
        <v>-3.8652326013503213E-2</v>
      </c>
      <c r="AZ1594" s="8">
        <f t="shared" si="31"/>
        <v>-4.7809599999980357E-2</v>
      </c>
      <c r="BA1594" s="8">
        <f t="shared" si="32"/>
        <v>2.949505202702607E-2</v>
      </c>
      <c r="BB1594" s="62">
        <f t="shared" si="33"/>
        <v>186</v>
      </c>
      <c r="BC1594" s="21">
        <f t="shared" si="34"/>
        <v>-132</v>
      </c>
      <c r="BD1594" s="21">
        <f t="shared" si="35"/>
        <v>-105</v>
      </c>
      <c r="BE1594" s="21">
        <f t="shared" si="36"/>
        <v>120</v>
      </c>
      <c r="BF1594" s="94">
        <f t="shared" ref="BF1594" si="431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IF(AT1594&gt;AT1595, 1-_xlpm.interp, _xlpm.interp)
)</f>
        <v>0.34957170011038707</v>
      </c>
      <c r="BG1594" s="22">
        <f t="shared" si="38"/>
        <v>0.56952313072532745</v>
      </c>
      <c r="BH1594" s="22">
        <f t="shared" si="38"/>
        <v>0.51303269079532765</v>
      </c>
      <c r="BI1594" s="22">
        <f t="shared" si="38"/>
        <v>0.45352274906406453</v>
      </c>
      <c r="BJ1594" s="21">
        <f t="shared" si="39"/>
        <v>196</v>
      </c>
      <c r="BK1594" s="21">
        <f t="shared" si="40"/>
        <v>-139</v>
      </c>
      <c r="BL1594" s="21">
        <f t="shared" si="41"/>
        <v>-111</v>
      </c>
      <c r="BM1594" s="21">
        <f t="shared" si="42"/>
        <v>115</v>
      </c>
      <c r="BN1594" s="22">
        <f t="shared" ref="BN1594" si="432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IF(AV1594&gt;AV1595, 1-_xlpm.interp, _xlpm.interp)
)</f>
        <v>0.33783707495811144</v>
      </c>
      <c r="BO1594" s="22">
        <f t="shared" si="44"/>
        <v>0.58130359629635664</v>
      </c>
      <c r="BP1594" s="22">
        <f t="shared" si="44"/>
        <v>0.52604588825962773</v>
      </c>
      <c r="BQ1594" s="22">
        <f t="shared" si="44"/>
        <v>0.46470546925320499</v>
      </c>
      <c r="BR1594">
        <v>3.7</v>
      </c>
      <c r="BS1594">
        <v>4.5999999999999996</v>
      </c>
      <c r="BT1594">
        <v>0.37624999999999997</v>
      </c>
      <c r="BU1594">
        <v>0.16206999999999999</v>
      </c>
      <c r="BV1594">
        <v>0.175737072096982</v>
      </c>
      <c r="BW1594">
        <v>0.23984</v>
      </c>
    </row>
    <row r="1595" spans="1:75" ht="16.75" customHeight="1" x14ac:dyDescent="0.2">
      <c r="A1595" t="str">
        <f t="shared" si="11"/>
        <v>2025020765 VGK</v>
      </c>
      <c r="B1595">
        <v>2025020765</v>
      </c>
      <c r="C1595" s="1">
        <v>46039</v>
      </c>
      <c r="D1595" s="2" t="s">
        <v>9</v>
      </c>
      <c r="E1595" t="s">
        <v>25</v>
      </c>
      <c r="F1595" s="2">
        <v>1</v>
      </c>
      <c r="G1595" s="2">
        <v>0</v>
      </c>
      <c r="H1595" t="s">
        <v>27</v>
      </c>
      <c r="I1595" t="str">
        <f t="shared" si="176"/>
        <v>VGK Akira Schmid</v>
      </c>
      <c r="J1595" s="33" t="s">
        <v>196</v>
      </c>
      <c r="K1595" s="14">
        <v>2.96</v>
      </c>
      <c r="L1595" s="13">
        <v>0.15</v>
      </c>
      <c r="M1595" s="28">
        <v>0.1</v>
      </c>
      <c r="N1595">
        <f>IFERROR(_xlfn.XLOOKUP(A1595,Params!A:A,Params!D:D),0)</f>
        <v>3.5499999999999901</v>
      </c>
      <c r="O1595">
        <f t="shared" ref="O1595" si="433">N1594</f>
        <v>2.5499999999999901</v>
      </c>
      <c r="P1595" s="68">
        <f t="shared" si="14"/>
        <v>3.5499999999999901</v>
      </c>
      <c r="Q1595">
        <f t="shared" ref="Q1595" si="434">P1594</f>
        <v>2.5499999999999901</v>
      </c>
      <c r="R1595" s="5">
        <f t="shared" ref="R1595" si="435">N1595/W1595/X1595/Z1594/AB1594/AA1595</f>
        <v>3.1475432146526825</v>
      </c>
      <c r="S1595" s="5">
        <f t="shared" ref="S1595" si="436">O1595/W1594/Y1595/Z1595/AA1594/AB1595</f>
        <v>2.874049167892669</v>
      </c>
      <c r="T1595" s="5">
        <f t="shared" ref="T1595" si="437">P1595/W1595/X1595/Z1594/AB1594</f>
        <v>3.0688546342863652</v>
      </c>
      <c r="U1595" s="5">
        <f t="shared" ref="U1595" si="438">Q1595/W1594/Y1595/Z1595/AA1594</f>
        <v>2.9315301512505223</v>
      </c>
      <c r="V1595" s="5">
        <f>_xlfn.XLOOKUP(H1595,'Rest - Home'!A:A,'Rest - Home'!B:B)</f>
        <v>1.05</v>
      </c>
      <c r="W1595" s="5">
        <f>_xlfn.XLOOKUP(H1595,'Rest - Home'!A:A,'Rest - Home'!C:C)</f>
        <v>1.0725047827848808</v>
      </c>
      <c r="X1595" s="5">
        <f t="shared" ref="X1595" si="439">AM1594/K1595</f>
        <v>1.0574324324324325</v>
      </c>
      <c r="Y1595" s="5">
        <f t="shared" ref="Y1595" si="440">AK1594/K1595</f>
        <v>0.94932432432432434</v>
      </c>
      <c r="Z1595" s="5">
        <f>IF(J1595="",1,(_xlfn.XLOOKUP(I1595,Goalies!B:B,Goalies!J:J)))</f>
        <v>0.99</v>
      </c>
      <c r="AA1595" s="23">
        <v>0.97499999999999998</v>
      </c>
      <c r="AB1595" s="23">
        <v>1.02</v>
      </c>
      <c r="AC1595" s="23">
        <f>_xlfn.XLOOKUP(E1595,'Game Adjustments'!A:A,'Game Adjustments'!B:B)</f>
        <v>1</v>
      </c>
      <c r="AD1595" s="23">
        <f>_xlfn.XLOOKUP(E1595,'Game Adjustments'!A:A,'Game Adjustments'!C:C)</f>
        <v>1</v>
      </c>
      <c r="AE1595" s="23">
        <f>IF(D1595="A",_xlfn.XLOOKUP(E1595,'Rest - Home'!F:F,'Rest - Home'!J:J),_xlfn.XLOOKUP(E1595,'Rest - Home'!F:F,'Rest - Home'!I:I))</f>
        <v>1</v>
      </c>
      <c r="AF1595" s="23">
        <f>IF(D1595="A",_xlfn.XLOOKUP(E1595,'Rest - Home'!F:F,'Rest - Home'!L:L),_xlfn.XLOOKUP(E1595,'Rest - Home'!F:F,'Rest - Home'!K:K))</f>
        <v>1</v>
      </c>
      <c r="AG1595" s="26">
        <v>1</v>
      </c>
      <c r="AH1595" s="26">
        <v>1</v>
      </c>
      <c r="AI1595" s="53" cm="1">
        <f t="array" ref="AI1595">MAX(IF($E$63:E1594=E1595,ROW($E$63:E1594)-MIN(ROW($E$63:E1594))+1))</f>
        <v>1497</v>
      </c>
      <c r="AJ1595" s="53" cm="1">
        <f t="array" ref="AJ1595">MAX(IF($I$105:I1594=I1595,ROW($I$105:I1594)-MIN(ROW($I$105:I1594))+1))</f>
        <v>1434</v>
      </c>
      <c r="AK1595" s="23">
        <f>IF(AI1595=0,_xlfn.XLOOKUP(E1595,'Starting GF'!A:A,'Starting GF'!B:B),INDEX($AL$63:$AL1595,AI1595))</f>
        <v>3.18</v>
      </c>
      <c r="AL1595" s="23">
        <f t="shared" si="73"/>
        <v>3.1739511534924074</v>
      </c>
      <c r="AM1595" s="23">
        <f>IF(AI1595=0,_xlfn.XLOOKUP(E1595,'Starting GF'!A:A,'Starting GF'!C:C),INDEX($AN$63:$AN1595,AI1595))</f>
        <v>2.79</v>
      </c>
      <c r="AN1595" s="23">
        <f t="shared" si="22"/>
        <v>2.8026073751839005</v>
      </c>
      <c r="AO1595" s="23">
        <f>IF(AJ1595=0,_xlfn.XLOOKUP(I1595,Goalies!B:B,Goalies!I:I),INDEX($AP$105:$AP1595,AJ1595))</f>
        <v>2.7682145119787132</v>
      </c>
      <c r="AP1595" s="23">
        <f t="shared" si="23"/>
        <v>2.7797786366139676</v>
      </c>
      <c r="AQ1595" s="23">
        <f t="shared" si="24"/>
        <v>2.7621000000000002</v>
      </c>
      <c r="AR1595" s="66">
        <v>0</v>
      </c>
      <c r="AS1595" s="96" t="s">
        <v>1594</v>
      </c>
      <c r="AT1595" s="20">
        <f t="shared" ref="AT1595" si="441">(AK1595*V1595*X1595*Z1594*AA1595*AB1594*AC1595*AD1594*AG1595*AH1594)+AR1595</f>
        <v>3.5113476739864868</v>
      </c>
      <c r="AU1595" s="20">
        <f t="shared" ref="AU1595" si="442">AT1594</f>
        <v>2.5408427260135129</v>
      </c>
      <c r="AV1595" s="12">
        <f t="shared" ref="AV1595" si="443">AK1595*W1595*X1595*Z1594*AA1595*AB1594</f>
        <v>3.586606832734355</v>
      </c>
      <c r="AW1595" s="12">
        <f t="shared" ref="AW1595" si="444">AV1594</f>
        <v>2.5408427260135129</v>
      </c>
      <c r="AX1595" s="8">
        <f t="shared" si="29"/>
        <v>-3.8652326013503213E-2</v>
      </c>
      <c r="AY1595" s="8">
        <f t="shared" si="30"/>
        <v>-9.1572739864771435E-3</v>
      </c>
      <c r="AZ1595" s="8">
        <f t="shared" si="31"/>
        <v>-4.7809599999980357E-2</v>
      </c>
      <c r="BA1595" s="8">
        <f t="shared" si="32"/>
        <v>-2.949505202702607E-2</v>
      </c>
      <c r="BB1595" s="62">
        <f t="shared" si="33"/>
        <v>-186</v>
      </c>
      <c r="BC1595" s="21">
        <f t="shared" si="34"/>
        <v>132</v>
      </c>
      <c r="BD1595" s="21">
        <f t="shared" si="35"/>
        <v>105</v>
      </c>
      <c r="BE1595" s="21">
        <f t="shared" si="36"/>
        <v>-120</v>
      </c>
      <c r="BF1595" s="94">
        <f t="shared" si="57"/>
        <v>0.65042829988961293</v>
      </c>
      <c r="BG1595" s="22">
        <f t="shared" ref="BG1595" si="445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0.43047686927467249</v>
      </c>
      <c r="BH1595" s="22">
        <f t="shared" ref="BH1595" si="446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0.48696730920467235</v>
      </c>
      <c r="BI1595" s="22">
        <f t="shared" ref="BI1595" si="447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0.54647725093593547</v>
      </c>
      <c r="BJ1595" s="21">
        <f t="shared" si="39"/>
        <v>-196</v>
      </c>
      <c r="BK1595" s="21">
        <f t="shared" si="40"/>
        <v>139</v>
      </c>
      <c r="BL1595" s="21">
        <f t="shared" si="41"/>
        <v>111</v>
      </c>
      <c r="BM1595" s="21">
        <f t="shared" si="42"/>
        <v>-115</v>
      </c>
      <c r="BN1595" s="22">
        <f t="shared" si="61"/>
        <v>0.66216292504188856</v>
      </c>
      <c r="BO1595" s="22">
        <f t="shared" ref="BO1595" si="448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0.41869640370364342</v>
      </c>
      <c r="BP1595" s="22">
        <f t="shared" ref="BP1595" si="449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0.47395411174037233</v>
      </c>
      <c r="BQ1595" s="22">
        <f t="shared" ref="BQ1595" si="450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0.53529453074679501</v>
      </c>
      <c r="BR1595">
        <v>3.7</v>
      </c>
      <c r="BS1595">
        <v>4.6500000000000004</v>
      </c>
      <c r="BT1595">
        <v>0.37375000000000003</v>
      </c>
      <c r="BU1595">
        <v>0.15626000000000001</v>
      </c>
      <c r="BV1595">
        <v>0.16956951091143799</v>
      </c>
      <c r="BW1595">
        <v>0.23474999999999999</v>
      </c>
    </row>
    <row r="1596" spans="1:75" ht="16.75" customHeight="1" x14ac:dyDescent="0.2">
      <c r="A1596" t="str">
        <f t="shared" si="11"/>
        <v>2025020767 TBL</v>
      </c>
      <c r="B1596">
        <v>2025020767</v>
      </c>
      <c r="C1596" s="1">
        <v>46040</v>
      </c>
      <c r="D1596" s="2" t="s">
        <v>6</v>
      </c>
      <c r="E1596" t="s">
        <v>41</v>
      </c>
      <c r="F1596" s="2">
        <v>1</v>
      </c>
      <c r="G1596" s="2">
        <v>2</v>
      </c>
      <c r="H1596" t="s">
        <v>36</v>
      </c>
      <c r="I1596" t="str">
        <f t="shared" si="176"/>
        <v>TBL Andrei Vasilevskiy</v>
      </c>
      <c r="J1596" s="33" t="s">
        <v>187</v>
      </c>
      <c r="K1596" s="14">
        <v>2.96</v>
      </c>
      <c r="L1596" s="13">
        <v>0.15</v>
      </c>
      <c r="M1596" s="28">
        <v>0.1</v>
      </c>
      <c r="N1596">
        <f>IFERROR(_xlfn.XLOOKUP(A1596,Params!A:A,Params!D:D),0)</f>
        <v>2.9999999999999898</v>
      </c>
      <c r="O1596">
        <f t="shared" ref="O1596" si="451">N1597</f>
        <v>2.8999999999999901</v>
      </c>
      <c r="P1596" s="68">
        <f t="shared" ref="P1596:P1601" si="452">N1596</f>
        <v>2.9999999999999898</v>
      </c>
      <c r="Q1596">
        <f t="shared" ref="Q1596" si="453">P1597</f>
        <v>2.8999999999999901</v>
      </c>
      <c r="R1596" s="5">
        <f t="shared" ref="R1596" si="454">N1596/W1596/X1596/Z1597/AB1597/AA1596</f>
        <v>3.4248720253900755</v>
      </c>
      <c r="S1596" s="5">
        <f t="shared" ref="S1596" si="455">O1596/W1597/Y1596/Z1596/AA1597/AB1596</f>
        <v>2.5904677260963629</v>
      </c>
      <c r="T1596" s="5">
        <f t="shared" ref="T1596" si="456">P1596/W1596/X1596/Z1597/AB1597</f>
        <v>3.2536284241205715</v>
      </c>
      <c r="U1596" s="5">
        <f t="shared" ref="U1596" si="457">Q1596/W1597/Y1596/Z1596/AA1597</f>
        <v>2.7070387737706989</v>
      </c>
      <c r="V1596" s="5">
        <f>_xlfn.XLOOKUP(H1596,'Rest - Home'!A:A,'Rest - Home'!B:B)</f>
        <v>0.97</v>
      </c>
      <c r="W1596" s="5">
        <f>_xlfn.XLOOKUP(H1596,'Rest - Home'!A:A,'Rest - Home'!C:C)</f>
        <v>0.95751047349149665</v>
      </c>
      <c r="X1596" s="5">
        <f t="shared" ref="X1596" si="458">AM1597/K1596</f>
        <v>0.96780238364639748</v>
      </c>
      <c r="Y1596" s="5">
        <f t="shared" ref="Y1596" si="459">AK1597/K1596</f>
        <v>1.0675675675675675</v>
      </c>
      <c r="Z1596" s="5">
        <f>IF(J1596="",1,(_xlfn.XLOOKUP(I1596,Goalies!B:B,Goalies!J:J)))</f>
        <v>0.96499999999999997</v>
      </c>
      <c r="AA1596" s="23">
        <v>0.95</v>
      </c>
      <c r="AB1596" s="23">
        <v>1.0449999999999999</v>
      </c>
      <c r="AC1596" s="23">
        <f>_xlfn.XLOOKUP(E1596,'Game Adjustments'!A:A,'Game Adjustments'!B:B)</f>
        <v>1</v>
      </c>
      <c r="AD1596" s="23">
        <f>_xlfn.XLOOKUP(E1596,'Game Adjustments'!A:A,'Game Adjustments'!C:C)</f>
        <v>1</v>
      </c>
      <c r="AE1596" s="23">
        <f>IF(D1596="A",_xlfn.XLOOKUP(E1596,'Rest - Home'!F:F,'Rest - Home'!J:J),_xlfn.XLOOKUP(E1596,'Rest - Home'!F:F,'Rest - Home'!I:I))</f>
        <v>1</v>
      </c>
      <c r="AF1596" s="23">
        <f>IF(D1596="A",_xlfn.XLOOKUP(E1596,'Rest - Home'!F:F,'Rest - Home'!L:L),_xlfn.XLOOKUP(E1596,'Rest - Home'!F:F,'Rest - Home'!K:K))</f>
        <v>1</v>
      </c>
      <c r="AG1596" s="26">
        <v>1</v>
      </c>
      <c r="AH1596" s="26">
        <v>1</v>
      </c>
      <c r="AI1596" s="53" cm="1">
        <f t="array" ref="AI1596">MAX(IF($E$63:E1595=E1596,ROW($E$63:E1595)-MIN(ROW($E$63:E1595))+1))</f>
        <v>1502</v>
      </c>
      <c r="AJ1596" s="53" cm="1">
        <f t="array" ref="AJ1596">MAX(IF($I$105:I1595=I1596,ROW($I$105:I1595)-MIN(ROW($I$105:I1595))+1))</f>
        <v>1460</v>
      </c>
      <c r="AK1596" s="23">
        <f>IF(AI1596=0,_xlfn.XLOOKUP(E1596,'Starting GF'!A:A,'Starting GF'!B:B),INDEX($AL$63:$AL1596,AI1596))</f>
        <v>3.32</v>
      </c>
      <c r="AL1596" s="23">
        <v>3.34</v>
      </c>
      <c r="AM1596" s="23">
        <f>IF(AI1596=0,_xlfn.XLOOKUP(E1596,'Starting GF'!A:A,'Starting GF'!C:C),INDEX($AN$63:$AN1596,AI1596))</f>
        <v>2.6575604339426295</v>
      </c>
      <c r="AN1596" s="23">
        <v>2.64</v>
      </c>
      <c r="AO1596" s="23">
        <f>IF(AJ1596=0,_xlfn.XLOOKUP(I1596,Goalies!B:B,Goalies!I:I),INDEX($AP$105:$AP1596,AJ1596))</f>
        <v>2.6251345221722246</v>
      </c>
      <c r="AP1596" s="23">
        <f t="shared" ref="AP1596:AP1601" si="460">IF(S1596=0,AO1596,S1596*L1596*Z1596+AO1596*(1-L1596))</f>
        <v>2.6063345471988395</v>
      </c>
      <c r="AQ1596" s="23">
        <f t="shared" ref="AQ1596:AQ1601" si="461">AM1596*Z1596</f>
        <v>2.5645458187546373</v>
      </c>
      <c r="AR1596" s="66">
        <v>0</v>
      </c>
      <c r="AS1596" s="96" t="s">
        <v>1594</v>
      </c>
      <c r="AT1596" s="20">
        <f t="shared" ref="AT1596" si="462">(AK1596*V1596*X1596*Z1597*AA1596*AB1597*AC1596*AD1597*AG1596*AH1597)+AR1596</f>
        <v>2.9460708801977145</v>
      </c>
      <c r="AU1596" s="20">
        <f t="shared" ref="AU1596" si="463">AT1597</f>
        <v>2.9897743739232041</v>
      </c>
      <c r="AV1596" s="12">
        <f t="shared" ref="AV1596" si="464">AK1596*V1596*X1596*Z1597*AA1596*AB1597</f>
        <v>2.9460708801977145</v>
      </c>
      <c r="AW1596" s="12">
        <f t="shared" ref="AW1596" si="465">AV1597</f>
        <v>2.9751095451968235</v>
      </c>
      <c r="AX1596" s="8">
        <f t="shared" ref="AX1596:AX1601" si="466">(AT1596-N1596)</f>
        <v>-5.3929119802275327E-2</v>
      </c>
      <c r="AY1596" s="8">
        <f t="shared" ref="AY1596:AY1601" si="467">(AU1596-O1596)</f>
        <v>8.9774373923213968E-2</v>
      </c>
      <c r="AZ1596" s="8">
        <f t="shared" ref="AZ1596:AZ1601" si="468">SUM(AX1596:AY1596)</f>
        <v>3.5845254120938641E-2</v>
      </c>
      <c r="BA1596" s="8">
        <f t="shared" ref="BA1596:BA1601" si="469">AX1596-AY1596</f>
        <v>-0.1437034937254893</v>
      </c>
      <c r="BB1596" s="62">
        <f t="shared" ref="BB1596:BB1601" si="470">IF(BF1596=0.5,100,IF(BF1596&gt;0.5,-ROUND(100*BF1596/(1-BF1596),0),ROUND(100*(1-BF1596)/BF1596,0)))</f>
        <v>106</v>
      </c>
      <c r="BC1596" s="21">
        <f t="shared" ref="BC1596:BC1601" si="471">IF(BG1596=0.5,100,IF(BG1596&gt;0.5,-ROUND(100*BG1596/(1-BG1596),0),ROUND(100*(1-BG1596)/BG1596,0)))</f>
        <v>-123</v>
      </c>
      <c r="BD1596" s="21">
        <f t="shared" ref="BD1596:BD1601" si="472">IF(BH1596=0.5,100,IF(BH1596&gt;0.5,-ROUND(100*BH1596/(1-BH1596),0),ROUND(100*(1-BH1596)/BH1596,0)))</f>
        <v>102</v>
      </c>
      <c r="BE1596" s="21">
        <f t="shared" ref="BE1596:BE1601" si="473">IF(BI1596=0.5,100,IF(BI1596&gt;0.5,-ROUND(100*BI1596/(1-BI1596),0),ROUND(100*(1-BI1596)/BI1596,0)))</f>
        <v>128</v>
      </c>
      <c r="BF1596" s="94">
        <f t="shared" ref="BF1596" si="47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IF(AT1596&gt;AT1597, 1-_xlpm.interp, _xlpm.interp)
)</f>
        <v>0.48548763249551874</v>
      </c>
      <c r="BG1596" s="22">
        <f t="shared" ref="BG1596:BI1596" si="475">1-BG1597</f>
        <v>0.55236740869619561</v>
      </c>
      <c r="BH1596" s="22">
        <f t="shared" si="475"/>
        <v>0.49532966196365069</v>
      </c>
      <c r="BI1596" s="22">
        <f t="shared" si="475"/>
        <v>0.43933864118897148</v>
      </c>
      <c r="BJ1596" s="21">
        <f t="shared" ref="BJ1596:BJ1601" si="476">IF(BN1596=0.5,100,IF(BN1596&gt;0.5,-ROUND(100*BN1596/(1-BN1596),0),ROUND(100*(1-BN1596)/BN1596,0)))</f>
        <v>105</v>
      </c>
      <c r="BK1596" s="21">
        <f t="shared" ref="BK1596:BK1601" si="477">IF(BO1596=0.5,100,IF(BO1596&gt;0.5,-ROUND(100*BO1596/(1-BO1596),0),ROUND(100*(1-BO1596)/BO1596,0)))</f>
        <v>-122</v>
      </c>
      <c r="BL1596" s="21">
        <f t="shared" ref="BL1596:BL1601" si="478">IF(BP1596=0.5,100,IF(BP1596&gt;0.5,-ROUND(100*BP1596/(1-BP1596),0),ROUND(100*(1-BP1596)/BP1596,0)))</f>
        <v>103</v>
      </c>
      <c r="BM1596" s="21">
        <f t="shared" ref="BM1596:BM1601" si="479">IF(BQ1596=0.5,100,IF(BQ1596&gt;0.5,-ROUND(100*BQ1596/(1-BQ1596),0),ROUND(100*(1-BQ1596)/BQ1596,0)))</f>
        <v>129</v>
      </c>
      <c r="BN1596" s="22">
        <f t="shared" ref="BN1596" si="480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IF(AV1596&gt;AV1597, 1-_xlpm.interp, _xlpm.interp)
)</f>
        <v>0.48885655267723466</v>
      </c>
      <c r="BO1596" s="22">
        <f t="shared" ref="BO1596:BQ1596" si="481">1-BO1597</f>
        <v>0.54938199299839963</v>
      </c>
      <c r="BP1596" s="22">
        <f t="shared" si="481"/>
        <v>0.49245709658542514</v>
      </c>
      <c r="BQ1596" s="22">
        <f t="shared" si="481"/>
        <v>0.43721248508658261</v>
      </c>
      <c r="BR1596">
        <v>3.7</v>
      </c>
      <c r="BS1596">
        <v>4.7</v>
      </c>
      <c r="BT1596">
        <v>0.36659999999999998</v>
      </c>
      <c r="BU1596">
        <v>0.15390999999999999</v>
      </c>
      <c r="BV1596">
        <v>0.16645577149778801</v>
      </c>
      <c r="BW1596">
        <v>0.22928000000000001</v>
      </c>
    </row>
    <row r="1597" spans="1:75" ht="16.75" customHeight="1" x14ac:dyDescent="0.2">
      <c r="A1597" t="str">
        <f t="shared" si="11"/>
        <v>2025020767 DAL</v>
      </c>
      <c r="B1597">
        <v>2025020767</v>
      </c>
      <c r="C1597" s="1">
        <v>46040</v>
      </c>
      <c r="D1597" s="2" t="s">
        <v>9</v>
      </c>
      <c r="E1597" t="s">
        <v>34</v>
      </c>
      <c r="F1597" s="2">
        <v>2</v>
      </c>
      <c r="G1597" s="2">
        <v>1</v>
      </c>
      <c r="H1597" t="s">
        <v>38</v>
      </c>
      <c r="I1597" t="str">
        <f t="shared" si="176"/>
        <v>DAL Jake Oettinger</v>
      </c>
      <c r="J1597" s="33" t="s">
        <v>160</v>
      </c>
      <c r="K1597" s="14">
        <v>2.96</v>
      </c>
      <c r="L1597" s="13">
        <v>0.15</v>
      </c>
      <c r="M1597" s="28">
        <v>0.1</v>
      </c>
      <c r="N1597">
        <f>IFERROR(_xlfn.XLOOKUP(A1597,Params!A:A,Params!D:D),0)</f>
        <v>2.8999999999999901</v>
      </c>
      <c r="O1597">
        <f t="shared" ref="O1597" si="482">N1596</f>
        <v>2.9999999999999898</v>
      </c>
      <c r="P1597" s="68">
        <f t="shared" si="452"/>
        <v>2.8999999999999901</v>
      </c>
      <c r="Q1597">
        <f t="shared" ref="Q1597" si="483">P1596</f>
        <v>2.9999999999999898</v>
      </c>
      <c r="R1597" s="5">
        <f t="shared" ref="R1597" si="484">N1597/W1597/X1597/Z1596/AB1596/AA1597</f>
        <v>3.0802227147550996</v>
      </c>
      <c r="S1597" s="5">
        <f t="shared" ref="S1597" si="485">O1597/W1596/Y1597/Z1597/AA1596/AB1597</f>
        <v>2.9551849268599057</v>
      </c>
      <c r="T1597" s="5">
        <f t="shared" ref="T1597" si="486">P1597/W1597/X1597/Z1596/AB1596</f>
        <v>3.0802227147550996</v>
      </c>
      <c r="U1597" s="5">
        <f t="shared" ref="U1597" si="487">Q1597/W1596/Y1597/Z1597/AA1596</f>
        <v>2.9551849268599057</v>
      </c>
      <c r="V1597" s="5">
        <f>_xlfn.XLOOKUP(H1597,'Rest - Home'!A:A,'Rest - Home'!B:B)</f>
        <v>1.0449999999999999</v>
      </c>
      <c r="W1597" s="5">
        <f>_xlfn.XLOOKUP(H1597,'Rest - Home'!A:A,'Rest - Home'!C:C)</f>
        <v>1.0398742800952707</v>
      </c>
      <c r="X1597" s="5">
        <f t="shared" ref="X1597" si="488">AM1596/K1597</f>
        <v>0.89782447092656403</v>
      </c>
      <c r="Y1597" s="5">
        <f t="shared" ref="Y1597" si="489">AK1596/K1597</f>
        <v>1.1216216216216215</v>
      </c>
      <c r="Z1597" s="5">
        <f>IF(J1597="",1,(_xlfn.XLOOKUP(I1597,Goalies!B:B,Goalies!J:J)))</f>
        <v>0.995</v>
      </c>
      <c r="AA1597" s="23">
        <v>1</v>
      </c>
      <c r="AB1597" s="23">
        <v>1</v>
      </c>
      <c r="AC1597" s="23">
        <f>_xlfn.XLOOKUP(E1597,'Game Adjustments'!A:A,'Game Adjustments'!B:B)</f>
        <v>1</v>
      </c>
      <c r="AD1597" s="23">
        <f>_xlfn.XLOOKUP(E1597,'Game Adjustments'!A:A,'Game Adjustments'!C:C)</f>
        <v>1</v>
      </c>
      <c r="AE1597" s="23">
        <f>IF(D1597="A",_xlfn.XLOOKUP(E1597,'Rest - Home'!F:F,'Rest - Home'!J:J),_xlfn.XLOOKUP(E1597,'Rest - Home'!F:F,'Rest - Home'!I:I))</f>
        <v>1</v>
      </c>
      <c r="AF1597" s="23">
        <f>IF(D1597="A",_xlfn.XLOOKUP(E1597,'Rest - Home'!F:F,'Rest - Home'!L:L),_xlfn.XLOOKUP(E1597,'Rest - Home'!F:F,'Rest - Home'!K:K))</f>
        <v>1</v>
      </c>
      <c r="AG1597" s="26">
        <v>1</v>
      </c>
      <c r="AH1597" s="26">
        <v>1</v>
      </c>
      <c r="AI1597" s="53" cm="1">
        <f t="array" ref="AI1597">MAX(IF($E$63:E1596=E1597,ROW($E$63:E1596)-MIN(ROW($E$63:E1596))+1))</f>
        <v>1492</v>
      </c>
      <c r="AJ1597" s="53" cm="1">
        <f t="array" ref="AJ1597">MAX(IF($I$105:I1596=I1597,ROW($I$105:I1596)-MIN(ROW($I$105:I1596))+1))</f>
        <v>1450</v>
      </c>
      <c r="AK1597" s="23">
        <f>IF(AI1597=0,_xlfn.XLOOKUP(E1597,'Starting GF'!A:A,'Starting GF'!B:B),INDEX($AL$63:$AL1597,AI1597))</f>
        <v>3.16</v>
      </c>
      <c r="AL1597" s="23">
        <v>3.14</v>
      </c>
      <c r="AM1597" s="23">
        <f>IF(AI1597=0,_xlfn.XLOOKUP(E1597,'Starting GF'!A:A,'Starting GF'!C:C),INDEX($AN$63:$AN1597,AI1597))</f>
        <v>2.8646950555933364</v>
      </c>
      <c r="AN1597" s="23">
        <v>2.89</v>
      </c>
      <c r="AO1597" s="23">
        <f>IF(AJ1597=0,_xlfn.XLOOKUP(I1597,Goalies!B:B,Goalies!I:I),INDEX($AP$105:$AP1597,AJ1597))</f>
        <v>2.8482259315861889</v>
      </c>
      <c r="AP1597" s="23">
        <f t="shared" si="460"/>
        <v>2.8620533921821014</v>
      </c>
      <c r="AQ1597" s="23">
        <f t="shared" si="461"/>
        <v>2.8503715803153695</v>
      </c>
      <c r="AR1597" s="66">
        <v>0</v>
      </c>
      <c r="AS1597" s="96" t="s">
        <v>1594</v>
      </c>
      <c r="AT1597" s="20">
        <f t="shared" ref="AT1597" si="490">(AK1597*V1597*X1597*Z1596*AA1597*AB1596*AC1597*AD1596*AG1597*AH1596)+AR1597</f>
        <v>2.9897743739232041</v>
      </c>
      <c r="AU1597" s="20">
        <f t="shared" ref="AU1597" si="491">AT1596</f>
        <v>2.9460708801977145</v>
      </c>
      <c r="AV1597" s="12">
        <f t="shared" ref="AV1597" si="492">AK1597*W1597*X1597*Z1596*AA1597*AB1596</f>
        <v>2.9751095451968235</v>
      </c>
      <c r="AW1597" s="12">
        <f t="shared" ref="AW1597" si="493">AV1596</f>
        <v>2.9460708801977145</v>
      </c>
      <c r="AX1597" s="8">
        <f t="shared" si="466"/>
        <v>8.9774373923213968E-2</v>
      </c>
      <c r="AY1597" s="8">
        <f t="shared" si="467"/>
        <v>-5.3929119802275327E-2</v>
      </c>
      <c r="AZ1597" s="8">
        <f t="shared" si="468"/>
        <v>3.5845254120938641E-2</v>
      </c>
      <c r="BA1597" s="8">
        <f t="shared" si="469"/>
        <v>0.1437034937254893</v>
      </c>
      <c r="BB1597" s="62">
        <f t="shared" si="470"/>
        <v>-106</v>
      </c>
      <c r="BC1597" s="21">
        <f t="shared" si="471"/>
        <v>123</v>
      </c>
      <c r="BD1597" s="21">
        <f t="shared" si="472"/>
        <v>-102</v>
      </c>
      <c r="BE1597" s="21">
        <f t="shared" si="473"/>
        <v>-128</v>
      </c>
      <c r="BF1597" s="94">
        <f t="shared" si="57"/>
        <v>0.51451236750448126</v>
      </c>
      <c r="BG1597" s="22">
        <f t="shared" ref="BG1597" si="49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0.44763259130380445</v>
      </c>
      <c r="BH1597" s="22">
        <f t="shared" ref="BH1597" si="495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0.50467033803634931</v>
      </c>
      <c r="BI1597" s="22">
        <f t="shared" ref="BI1597" si="496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0.56066135881102852</v>
      </c>
      <c r="BJ1597" s="21">
        <f t="shared" si="476"/>
        <v>-105</v>
      </c>
      <c r="BK1597" s="21">
        <f t="shared" si="477"/>
        <v>122</v>
      </c>
      <c r="BL1597" s="21">
        <f t="shared" si="478"/>
        <v>-103</v>
      </c>
      <c r="BM1597" s="21">
        <f t="shared" si="479"/>
        <v>-129</v>
      </c>
      <c r="BN1597" s="22">
        <f t="shared" si="61"/>
        <v>0.5111434473227654</v>
      </c>
      <c r="BO1597" s="22">
        <f t="shared" ref="BO1597" si="497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0.45061800700160037</v>
      </c>
      <c r="BP1597" s="22">
        <f t="shared" ref="BP1597" si="498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0.50754290341457486</v>
      </c>
      <c r="BQ1597" s="22">
        <f t="shared" ref="BQ1597" si="499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0.56278751491341739</v>
      </c>
      <c r="BR1597">
        <v>3.7</v>
      </c>
      <c r="BS1597">
        <v>4.75</v>
      </c>
      <c r="BT1597">
        <v>0.35919000000000001</v>
      </c>
      <c r="BU1597">
        <v>0.15095</v>
      </c>
      <c r="BV1597">
        <v>0.16282481366024101</v>
      </c>
      <c r="BW1597">
        <v>0.22388</v>
      </c>
    </row>
    <row r="1598" spans="1:75" ht="16.75" customHeight="1" x14ac:dyDescent="0.2">
      <c r="A1598" t="str">
        <f t="shared" si="11"/>
        <v>2025020768 OTT</v>
      </c>
      <c r="B1598">
        <v>2025020768</v>
      </c>
      <c r="C1598" s="1">
        <v>46040</v>
      </c>
      <c r="D1598" s="2" t="s">
        <v>6</v>
      </c>
      <c r="E1598" t="s">
        <v>39</v>
      </c>
      <c r="F1598" s="2">
        <v>0</v>
      </c>
      <c r="G1598" s="2">
        <v>1</v>
      </c>
      <c r="H1598" t="s">
        <v>26</v>
      </c>
      <c r="I1598" t="str">
        <f t="shared" si="176"/>
        <v>OTT James Reimer</v>
      </c>
      <c r="J1598" t="s">
        <v>1950</v>
      </c>
      <c r="K1598" s="14">
        <v>2.96</v>
      </c>
      <c r="L1598" s="13">
        <v>0.15</v>
      </c>
      <c r="M1598" s="28">
        <v>0.1</v>
      </c>
      <c r="N1598">
        <f>IFERROR(_xlfn.XLOOKUP(A1598,Params!A:A,Params!D:D),0)</f>
        <v>2.94999999999999</v>
      </c>
      <c r="O1598">
        <f t="shared" ref="O1598" si="500">N1599</f>
        <v>3.0999999999999899</v>
      </c>
      <c r="P1598" s="68">
        <f t="shared" si="452"/>
        <v>2.94999999999999</v>
      </c>
      <c r="Q1598">
        <f t="shared" ref="Q1598" si="501">P1599</f>
        <v>3.0999999999999899</v>
      </c>
      <c r="R1598" s="5">
        <f t="shared" ref="R1598" si="502">N1598/W1598/X1598/Z1599/AB1599/AA1598</f>
        <v>3.0840686831386792</v>
      </c>
      <c r="S1598" s="5">
        <f t="shared" ref="S1598" si="503">O1598/W1599/Y1598/Z1598/AA1599/AB1598</f>
        <v>2.8433608514185327</v>
      </c>
      <c r="T1598" s="5">
        <f t="shared" ref="T1598" si="504">P1598/W1598/X1598/Z1599/AB1599</f>
        <v>3.0840686831386792</v>
      </c>
      <c r="U1598" s="5">
        <f t="shared" ref="U1598" si="505">Q1598/W1599/Y1598/Z1598/AA1599</f>
        <v>2.8433608514185327</v>
      </c>
      <c r="V1598" s="5">
        <f>_xlfn.XLOOKUP(H1598,'Rest - Home'!A:A,'Rest - Home'!B:B)</f>
        <v>0.95</v>
      </c>
      <c r="W1598" s="5">
        <f>_xlfn.XLOOKUP(H1598,'Rest - Home'!A:A,'Rest - Home'!C:C)</f>
        <v>0.92554174501717079</v>
      </c>
      <c r="X1598" s="5">
        <f t="shared" ref="X1598" si="506">AM1599/K1598</f>
        <v>1.0439189189189189</v>
      </c>
      <c r="Y1598" s="5">
        <f t="shared" ref="Y1598" si="507">AK1599/K1598</f>
        <v>0.99662162162162171</v>
      </c>
      <c r="Z1598" s="5">
        <f>IF(J1598="",1,(_xlfn.XLOOKUP(I1598,Goalies!B:B,Goalies!J:J)))</f>
        <v>1.02</v>
      </c>
      <c r="AA1598" s="23">
        <v>1</v>
      </c>
      <c r="AB1598" s="23">
        <v>1</v>
      </c>
      <c r="AC1598" s="23">
        <f>_xlfn.XLOOKUP(E1598,'Game Adjustments'!A:A,'Game Adjustments'!B:B)</f>
        <v>1</v>
      </c>
      <c r="AD1598" s="23">
        <f>_xlfn.XLOOKUP(E1598,'Game Adjustments'!A:A,'Game Adjustments'!C:C)</f>
        <v>1</v>
      </c>
      <c r="AE1598" s="23">
        <f>IF(D1598="A",_xlfn.XLOOKUP(E1598,'Rest - Home'!F:F,'Rest - Home'!J:J),_xlfn.XLOOKUP(E1598,'Rest - Home'!F:F,'Rest - Home'!I:I))</f>
        <v>1</v>
      </c>
      <c r="AF1598" s="23">
        <f>IF(D1598="A",_xlfn.XLOOKUP(E1598,'Rest - Home'!F:F,'Rest - Home'!L:L),_xlfn.XLOOKUP(E1598,'Rest - Home'!F:F,'Rest - Home'!K:K))</f>
        <v>1</v>
      </c>
      <c r="AG1598" s="26">
        <v>1</v>
      </c>
      <c r="AH1598" s="26">
        <v>1</v>
      </c>
      <c r="AI1598" s="53" cm="1">
        <f t="array" ref="AI1598">MAX(IF($E$63:E1597=E1598,ROW($E$63:E1597)-MIN(ROW($E$63:E1597))+1))</f>
        <v>1523</v>
      </c>
      <c r="AJ1598" s="53" cm="1">
        <f t="array" ref="AJ1598">MAX(IF($I$105:I1597=I1598,ROW($I$105:I1597)-MIN(ROW($I$105:I1597))+1))</f>
        <v>0</v>
      </c>
      <c r="AK1598" s="23">
        <f>IF(AI1598=0,_xlfn.XLOOKUP(E1598,'Starting GF'!A:A,'Starting GF'!B:B),INDEX($AL$63:$AL1598,AI1598))</f>
        <v>3.0601074761055962</v>
      </c>
      <c r="AL1598" s="23">
        <f t="shared" ref="AL1598:AL1601" si="508">IF(R1598=0,AK1598,R1598*L1598*(1-M1598)+T1598*L1598*M1598+AK1598*(1-L1598))</f>
        <v>3.0637016571605584</v>
      </c>
      <c r="AM1598" s="23">
        <f>IF(AI1598=0,_xlfn.XLOOKUP(E1598,'Starting GF'!A:A,'Starting GF'!C:C),INDEX($AN$63:$AN1598,AI1598))</f>
        <v>3.12</v>
      </c>
      <c r="AN1598" s="23">
        <v>3.1</v>
      </c>
      <c r="AO1598" s="23">
        <f>IF(AJ1598=0,_xlfn.XLOOKUP(I1598,Goalies!B:B,Goalies!I:I),INDEX($AP$105:$AP1598,AJ1598))</f>
        <v>3.0953642384105962</v>
      </c>
      <c r="AP1598" s="23">
        <f t="shared" si="460"/>
        <v>3.0660938129160424</v>
      </c>
      <c r="AQ1598" s="23">
        <f t="shared" si="461"/>
        <v>3.1824000000000003</v>
      </c>
      <c r="AR1598" s="66">
        <v>-0.03</v>
      </c>
      <c r="AS1598" s="96" t="s">
        <v>1594</v>
      </c>
      <c r="AT1598" s="20">
        <f t="shared" ref="AT1598" si="509">(AK1598*V1598*X1598*Z1599*AA1598*AB1599*AC1598*AD1599*AG1598*AH1599)+AR1598</f>
        <v>2.97443109498206</v>
      </c>
      <c r="AU1598" s="20">
        <f t="shared" ref="AU1598" si="510">AT1599</f>
        <v>3.3602310810810816</v>
      </c>
      <c r="AV1598" s="12">
        <f t="shared" ref="AV1598" si="511">AK1598*V1598*X1598*Z1599*AA1598*AB1599</f>
        <v>3.0044310949820598</v>
      </c>
      <c r="AW1598" s="12">
        <f t="shared" ref="AW1598" si="512">AV1599</f>
        <v>3.4016083449888805</v>
      </c>
      <c r="AX1598" s="8">
        <f t="shared" si="466"/>
        <v>2.4431094982070078E-2</v>
      </c>
      <c r="AY1598" s="8">
        <f t="shared" si="467"/>
        <v>0.26023108108109172</v>
      </c>
      <c r="AZ1598" s="8">
        <f t="shared" si="468"/>
        <v>0.2846621760631618</v>
      </c>
      <c r="BA1598" s="8">
        <f t="shared" si="469"/>
        <v>-0.23579998609902164</v>
      </c>
      <c r="BB1598" s="62">
        <f t="shared" si="470"/>
        <v>129</v>
      </c>
      <c r="BC1598" s="21">
        <f t="shared" si="471"/>
        <v>-159</v>
      </c>
      <c r="BD1598" s="21">
        <f t="shared" si="472"/>
        <v>-130</v>
      </c>
      <c r="BE1598" s="21">
        <f t="shared" si="473"/>
        <v>-100</v>
      </c>
      <c r="BF1598" s="94">
        <f t="shared" ref="BF1598" si="513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IF(AT1598&gt;AT1599, 1-_xlpm.interp, _xlpm.interp)
)</f>
        <v>0.43587043385954305</v>
      </c>
      <c r="BG1598" s="22">
        <f t="shared" ref="BG1598:BI1598" si="514">1-BG1599</f>
        <v>0.61355244401944009</v>
      </c>
      <c r="BH1598" s="22">
        <f t="shared" si="514"/>
        <v>0.56431008261721693</v>
      </c>
      <c r="BI1598" s="22">
        <f t="shared" si="514"/>
        <v>0.50054248467374407</v>
      </c>
      <c r="BJ1598" s="21">
        <f t="shared" si="476"/>
        <v>130</v>
      </c>
      <c r="BK1598" s="21">
        <f t="shared" si="477"/>
        <v>-167</v>
      </c>
      <c r="BL1598" s="21">
        <f t="shared" si="478"/>
        <v>-137</v>
      </c>
      <c r="BM1598" s="21">
        <f t="shared" si="479"/>
        <v>-105</v>
      </c>
      <c r="BN1598" s="22">
        <f t="shared" ref="BN1598" si="51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IF(AV1598&gt;AV1599, 1-_xlpm.interp, _xlpm.interp)
)</f>
        <v>0.43549015411354469</v>
      </c>
      <c r="BO1598" s="22">
        <f t="shared" ref="BO1598:BQ1598" si="516">1-BO1599</f>
        <v>0.62482151854398305</v>
      </c>
      <c r="BP1598" s="22">
        <f t="shared" si="516"/>
        <v>0.57741130584400557</v>
      </c>
      <c r="BQ1598" s="22">
        <f t="shared" si="516"/>
        <v>0.51263184047293742</v>
      </c>
      <c r="BR1598">
        <v>3.7</v>
      </c>
      <c r="BS1598">
        <v>4.8</v>
      </c>
      <c r="BT1598">
        <v>0.35665000000000002</v>
      </c>
      <c r="BU1598">
        <v>0.14498</v>
      </c>
      <c r="BV1598">
        <v>0.156618306344456</v>
      </c>
      <c r="BW1598">
        <v>0.21929000000000001</v>
      </c>
    </row>
    <row r="1599" spans="1:75" ht="16.75" customHeight="1" x14ac:dyDescent="0.2">
      <c r="A1599" t="str">
        <f t="shared" si="11"/>
        <v>2025020768 DET</v>
      </c>
      <c r="B1599">
        <v>2025020768</v>
      </c>
      <c r="C1599" s="1">
        <v>46040</v>
      </c>
      <c r="D1599" s="2" t="s">
        <v>9</v>
      </c>
      <c r="E1599" t="s">
        <v>30</v>
      </c>
      <c r="F1599" s="2">
        <v>1</v>
      </c>
      <c r="G1599" s="2">
        <v>0</v>
      </c>
      <c r="H1599" t="s">
        <v>27</v>
      </c>
      <c r="I1599" t="str">
        <f t="shared" si="176"/>
        <v>DET John Gibson</v>
      </c>
      <c r="J1599" s="33" t="s">
        <v>161</v>
      </c>
      <c r="K1599" s="14">
        <v>2.96</v>
      </c>
      <c r="L1599" s="13">
        <v>0.15</v>
      </c>
      <c r="M1599" s="28">
        <v>0.1</v>
      </c>
      <c r="N1599">
        <f>IFERROR(_xlfn.XLOOKUP(A1599,Params!A:A,Params!D:D),0)</f>
        <v>3.0999999999999899</v>
      </c>
      <c r="O1599">
        <f t="shared" ref="O1599" si="517">N1598</f>
        <v>2.94999999999999</v>
      </c>
      <c r="P1599" s="68">
        <f t="shared" si="452"/>
        <v>3.0999999999999899</v>
      </c>
      <c r="Q1599">
        <f t="shared" ref="Q1599" si="518">P1598</f>
        <v>2.94999999999999</v>
      </c>
      <c r="R1599" s="5">
        <f t="shared" ref="R1599" si="519">N1599/W1599/X1599/Z1598/AB1598/AA1599</f>
        <v>2.6884341383604715</v>
      </c>
      <c r="S1599" s="5">
        <f t="shared" ref="S1599" si="520">O1599/W1598/Y1599/Z1599/AA1598/AB1599</f>
        <v>3.1141952710191902</v>
      </c>
      <c r="T1599" s="5">
        <f t="shared" ref="T1599" si="521">P1599/W1599/X1599/Z1598/AB1598</f>
        <v>2.6884341383604715</v>
      </c>
      <c r="U1599" s="5">
        <f t="shared" ref="U1599" si="522">Q1599/W1598/Y1599/Z1599/AA1598</f>
        <v>3.1141952710191902</v>
      </c>
      <c r="V1599" s="5">
        <f>_xlfn.XLOOKUP(H1599,'Rest - Home'!A:A,'Rest - Home'!B:B)</f>
        <v>1.05</v>
      </c>
      <c r="W1599" s="5">
        <f>_xlfn.XLOOKUP(H1599,'Rest - Home'!A:A,'Rest - Home'!C:C)</f>
        <v>1.0725047827848808</v>
      </c>
      <c r="X1599" s="5">
        <f t="shared" ref="X1599" si="523">AM1598/K1599</f>
        <v>1.0540540540540542</v>
      </c>
      <c r="Y1599" s="5">
        <f t="shared" ref="Y1599" si="524">AK1598/K1599</f>
        <v>1.0338200932789177</v>
      </c>
      <c r="Z1599" s="5">
        <f>IF(J1599="",1,(_xlfn.XLOOKUP(I1599,Goalies!B:B,Goalies!J:J)))</f>
        <v>0.99</v>
      </c>
      <c r="AA1599" s="23">
        <v>1</v>
      </c>
      <c r="AB1599" s="23">
        <v>1</v>
      </c>
      <c r="AC1599" s="23">
        <f>_xlfn.XLOOKUP(E1599,'Game Adjustments'!A:A,'Game Adjustments'!B:B)</f>
        <v>1</v>
      </c>
      <c r="AD1599" s="23">
        <f>_xlfn.XLOOKUP(E1599,'Game Adjustments'!A:A,'Game Adjustments'!C:C)</f>
        <v>1</v>
      </c>
      <c r="AE1599" s="23">
        <f>IF(D1599="A",_xlfn.XLOOKUP(E1599,'Rest - Home'!F:F,'Rest - Home'!J:J),_xlfn.XLOOKUP(E1599,'Rest - Home'!F:F,'Rest - Home'!I:I))</f>
        <v>1</v>
      </c>
      <c r="AF1599" s="23">
        <f>IF(D1599="A",_xlfn.XLOOKUP(E1599,'Rest - Home'!F:F,'Rest - Home'!L:L),_xlfn.XLOOKUP(E1599,'Rest - Home'!F:F,'Rest - Home'!K:K))</f>
        <v>1</v>
      </c>
      <c r="AG1599" s="26">
        <v>1</v>
      </c>
      <c r="AH1599" s="26">
        <v>1</v>
      </c>
      <c r="AI1599" s="53" cm="1">
        <f t="array" ref="AI1599">MAX(IF($E$63:E1598=E1599,ROW($E$63:E1598)-MIN(ROW($E$63:E1598))+1))</f>
        <v>1501</v>
      </c>
      <c r="AJ1599" s="53" cm="1">
        <f t="array" ref="AJ1599">MAX(IF($I$105:I1598=I1599,ROW($I$105:I1598)-MIN(ROW($I$105:I1598))+1))</f>
        <v>1459</v>
      </c>
      <c r="AK1599" s="23">
        <f>IF(AI1599=0,_xlfn.XLOOKUP(E1599,'Starting GF'!A:A,'Starting GF'!B:B),INDEX($AL$63:$AL1599,AI1599))</f>
        <v>2.95</v>
      </c>
      <c r="AL1599" s="23">
        <v>2.93</v>
      </c>
      <c r="AM1599" s="23">
        <f>IF(AI1599=0,_xlfn.XLOOKUP(E1599,'Starting GF'!A:A,'Starting GF'!C:C),INDEX($AN$63:$AN1599,AI1599))</f>
        <v>3.09</v>
      </c>
      <c r="AN1599" s="23">
        <f t="shared" ref="AN1599:AN1601" si="525">IF(S1599=0,AM1599,S1599*L1599+AM1599*(1-L1599))</f>
        <v>3.0936292906528782</v>
      </c>
      <c r="AO1599" s="23">
        <f>IF(AJ1599=0,_xlfn.XLOOKUP(I1599,Goalies!B:B,Goalies!I:I),INDEX($AP$105:$AP1599,AJ1599))</f>
        <v>3.119725265150993</v>
      </c>
      <c r="AP1599" s="23">
        <f t="shared" si="460"/>
        <v>3.1142244731246937</v>
      </c>
      <c r="AQ1599" s="23">
        <f t="shared" si="461"/>
        <v>3.0590999999999999</v>
      </c>
      <c r="AR1599" s="66">
        <v>0.03</v>
      </c>
      <c r="AS1599" s="96" t="s">
        <v>1594</v>
      </c>
      <c r="AT1599" s="20">
        <f t="shared" ref="AT1599" si="526">(AK1599*V1599*X1599*Z1598*AA1599*AB1598*AC1599*AD1598*AG1599*AH1598)+AR1599</f>
        <v>3.3602310810810816</v>
      </c>
      <c r="AU1599" s="20">
        <f t="shared" ref="AU1599" si="527">AT1598</f>
        <v>2.97443109498206</v>
      </c>
      <c r="AV1599" s="12">
        <f t="shared" ref="AV1599" si="528">AK1599*W1599*X1599*Z1598*AA1599*AB1598</f>
        <v>3.4016083449888805</v>
      </c>
      <c r="AW1599" s="12">
        <f t="shared" ref="AW1599" si="529">AV1598</f>
        <v>3.0044310949820598</v>
      </c>
      <c r="AX1599" s="8">
        <f t="shared" si="466"/>
        <v>0.26023108108109172</v>
      </c>
      <c r="AY1599" s="8">
        <f t="shared" si="467"/>
        <v>2.4431094982070078E-2</v>
      </c>
      <c r="AZ1599" s="8">
        <f t="shared" si="468"/>
        <v>0.2846621760631618</v>
      </c>
      <c r="BA1599" s="8">
        <f t="shared" si="469"/>
        <v>0.23579998609902164</v>
      </c>
      <c r="BB1599" s="62">
        <f t="shared" si="470"/>
        <v>-129</v>
      </c>
      <c r="BC1599" s="21">
        <f t="shared" si="471"/>
        <v>159</v>
      </c>
      <c r="BD1599" s="21">
        <f t="shared" si="472"/>
        <v>130</v>
      </c>
      <c r="BE1599" s="21">
        <f t="shared" si="473"/>
        <v>100</v>
      </c>
      <c r="BF1599" s="94">
        <f t="shared" si="57"/>
        <v>0.56412956614045695</v>
      </c>
      <c r="BG1599" s="22">
        <f t="shared" ref="BG1599" si="530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0.38644755598055991</v>
      </c>
      <c r="BH1599" s="22">
        <f t="shared" ref="BH1599" si="531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0.43568991738278312</v>
      </c>
      <c r="BI1599" s="22">
        <f t="shared" ref="BI1599" si="532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0.49945751532625587</v>
      </c>
      <c r="BJ1599" s="21">
        <f t="shared" si="476"/>
        <v>-130</v>
      </c>
      <c r="BK1599" s="21">
        <f t="shared" si="477"/>
        <v>167</v>
      </c>
      <c r="BL1599" s="21">
        <f t="shared" si="478"/>
        <v>137</v>
      </c>
      <c r="BM1599" s="21">
        <f t="shared" si="479"/>
        <v>105</v>
      </c>
      <c r="BN1599" s="22">
        <f t="shared" si="61"/>
        <v>0.56450984588645525</v>
      </c>
      <c r="BO1599" s="22">
        <f t="shared" ref="BO1599" si="533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0.37517848145601695</v>
      </c>
      <c r="BP1599" s="22">
        <f t="shared" ref="BP1599" si="534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0.42258869415599443</v>
      </c>
      <c r="BQ1599" s="22">
        <f t="shared" ref="BQ1599" si="53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0.48736815952706258</v>
      </c>
      <c r="BR1599">
        <v>3.7</v>
      </c>
      <c r="BS1599">
        <v>4.8499999999999996</v>
      </c>
      <c r="BT1599">
        <v>0.34769</v>
      </c>
      <c r="BU1599">
        <v>0.14423</v>
      </c>
      <c r="BV1599">
        <v>0.15554429178439699</v>
      </c>
      <c r="BW1599">
        <v>0.21697</v>
      </c>
    </row>
    <row r="1600" spans="1:75" ht="16.75" customHeight="1" x14ac:dyDescent="0.2">
      <c r="A1600" t="str">
        <f t="shared" ref="A1600:A1663" si="536">B1600&amp;" "&amp;E1600</f>
        <v>2025020769 STL</v>
      </c>
      <c r="B1600">
        <v>2025020769</v>
      </c>
      <c r="C1600" s="1">
        <v>46040</v>
      </c>
      <c r="D1600" s="2" t="s">
        <v>6</v>
      </c>
      <c r="E1600" t="s">
        <v>12</v>
      </c>
      <c r="F1600" s="2">
        <v>1</v>
      </c>
      <c r="G1600" s="2">
        <v>0</v>
      </c>
      <c r="H1600" t="s">
        <v>52</v>
      </c>
      <c r="I1600" t="str">
        <f t="shared" si="176"/>
        <v>STL Jordan Binnington</v>
      </c>
      <c r="J1600" s="33" t="s">
        <v>186</v>
      </c>
      <c r="K1600" s="14">
        <v>2.96</v>
      </c>
      <c r="L1600" s="13">
        <v>0.15</v>
      </c>
      <c r="M1600" s="28">
        <v>0.1</v>
      </c>
      <c r="N1600">
        <f>IFERROR(_xlfn.XLOOKUP(A1600,Params!A:A,Params!D:D),0)</f>
        <v>2.8499999999999899</v>
      </c>
      <c r="O1600">
        <f t="shared" ref="O1600" si="537">N1601</f>
        <v>3.3999999999999901</v>
      </c>
      <c r="P1600" s="68">
        <f t="shared" si="452"/>
        <v>2.8499999999999899</v>
      </c>
      <c r="Q1600">
        <f t="shared" ref="Q1600" si="538">P1601</f>
        <v>3.3999999999999901</v>
      </c>
      <c r="R1600" s="5">
        <f t="shared" ref="R1600" si="539">N1600/W1600/X1600/Z1601/AB1601/AA1600</f>
        <v>2.8398930007421233</v>
      </c>
      <c r="S1600" s="5">
        <f t="shared" ref="S1600" si="540">O1600/W1601/Y1600/Z1600/AA1601/AB1600</f>
        <v>3.0461520570819314</v>
      </c>
      <c r="T1600" s="5">
        <f t="shared" ref="T1600" si="541">P1600/W1600/X1600/Z1601/AB1601</f>
        <v>2.6978983507050169</v>
      </c>
      <c r="U1600" s="5">
        <f t="shared" ref="U1600" si="542">Q1600/W1601/Y1600/Z1600/AA1601</f>
        <v>3.0766135776527506</v>
      </c>
      <c r="V1600" s="5">
        <f>_xlfn.XLOOKUP(H1600,'Rest - Home'!A:A,'Rest - Home'!B:B)</f>
        <v>1.04</v>
      </c>
      <c r="W1600" s="5">
        <f>_xlfn.XLOOKUP(H1600,'Rest - Home'!A:A,'Rest - Home'!C:C)</f>
        <v>1.0074936850113505</v>
      </c>
      <c r="X1600" s="5">
        <f t="shared" ref="X1600" si="543">AM1601/K1600</f>
        <v>1.002937056146882</v>
      </c>
      <c r="Y1600" s="5">
        <f t="shared" ref="Y1600" si="544">AK1601/K1600</f>
        <v>1.1351351351351351</v>
      </c>
      <c r="Z1600" s="5">
        <f>IF(J1600="",1,(_xlfn.XLOOKUP(I1600,Goalies!B:B,Goalies!J:J)))</f>
        <v>1.02</v>
      </c>
      <c r="AA1600" s="23">
        <v>0.95</v>
      </c>
      <c r="AB1600" s="23">
        <v>1.01</v>
      </c>
      <c r="AC1600" s="23">
        <f>_xlfn.XLOOKUP(E1600,'Game Adjustments'!A:A,'Game Adjustments'!B:B)</f>
        <v>1</v>
      </c>
      <c r="AD1600" s="23">
        <f>_xlfn.XLOOKUP(E1600,'Game Adjustments'!A:A,'Game Adjustments'!C:C)</f>
        <v>1</v>
      </c>
      <c r="AE1600" s="23">
        <f>IF(D1600="A",_xlfn.XLOOKUP(E1600,'Rest - Home'!F:F,'Rest - Home'!J:J),_xlfn.XLOOKUP(E1600,'Rest - Home'!F:F,'Rest - Home'!I:I))</f>
        <v>1</v>
      </c>
      <c r="AF1600" s="23">
        <f>IF(D1600="A",_xlfn.XLOOKUP(E1600,'Rest - Home'!F:F,'Rest - Home'!L:L),_xlfn.XLOOKUP(E1600,'Rest - Home'!F:F,'Rest - Home'!K:K))</f>
        <v>1</v>
      </c>
      <c r="AG1600" s="26">
        <v>1</v>
      </c>
      <c r="AH1600" s="26">
        <v>1</v>
      </c>
      <c r="AI1600" s="53" cm="1">
        <f t="array" ref="AI1600">MAX(IF($E$63:E1599=E1600,ROW($E$63:E1599)-MIN(ROW($E$63:E1599))+1))</f>
        <v>1503</v>
      </c>
      <c r="AJ1600" s="53" cm="1">
        <f t="array" ref="AJ1600">MAX(IF($I$105:I1599=I1600,ROW($I$105:I1599)-MIN(ROW($I$105:I1599))+1))</f>
        <v>1378</v>
      </c>
      <c r="AK1600" s="23">
        <f>IF(AI1600=0,_xlfn.XLOOKUP(E1600,'Starting GF'!A:A,'Starting GF'!B:B),INDEX($AL$63:$AL1600,AI1600))</f>
        <v>2.72</v>
      </c>
      <c r="AL1600" s="23">
        <v>2.72</v>
      </c>
      <c r="AM1600" s="23">
        <f>IF(AI1600=0,_xlfn.XLOOKUP(E1600,'Starting GF'!A:A,'Starting GF'!C:C),INDEX($AN$63:$AN1600,AI1600))</f>
        <v>3.15</v>
      </c>
      <c r="AN1600" s="23">
        <v>3.16</v>
      </c>
      <c r="AO1600" s="23">
        <f>IF(AJ1600=0,_xlfn.XLOOKUP(I1600,Goalies!B:B,Goalies!I:I),INDEX($AP$105:$AP1600,AJ1600))</f>
        <v>3.1175944670236708</v>
      </c>
      <c r="AP1600" s="23">
        <f t="shared" si="460"/>
        <v>3.1160165617036557</v>
      </c>
      <c r="AQ1600" s="23">
        <f t="shared" si="461"/>
        <v>3.2130000000000001</v>
      </c>
      <c r="AR1600" s="66">
        <v>2.5000000000000001E-2</v>
      </c>
      <c r="AS1600" s="96" t="s">
        <v>1594</v>
      </c>
      <c r="AT1600" s="20">
        <f t="shared" ref="AT1600" si="545">(AK1600*V1600*X1600*Z1601*AA1600*AB1601*AC1600*AD1601*AG1600*AH1601)+AR1600</f>
        <v>2.8427521727484373</v>
      </c>
      <c r="AU1600" s="20">
        <f t="shared" ref="AU1600" si="546">AT1601</f>
        <v>3.4744780270270268</v>
      </c>
      <c r="AV1600" s="12">
        <f t="shared" ref="AV1600" si="547">AK1600*V1600*X1600*Z1601*AA1600*AB1601</f>
        <v>2.8177521727484374</v>
      </c>
      <c r="AW1600" s="12">
        <f t="shared" ref="AW1600" si="548">AV1601</f>
        <v>3.5159111558796052</v>
      </c>
      <c r="AX1600" s="8">
        <f t="shared" si="466"/>
        <v>-7.2478272515525966E-3</v>
      </c>
      <c r="AY1600" s="8">
        <f t="shared" si="467"/>
        <v>7.4478027027036653E-2</v>
      </c>
      <c r="AZ1600" s="8">
        <f t="shared" si="468"/>
        <v>6.7230199775484056E-2</v>
      </c>
      <c r="BA1600" s="8">
        <f t="shared" si="469"/>
        <v>-8.1725854278589249E-2</v>
      </c>
      <c r="BB1600" s="62">
        <f t="shared" si="470"/>
        <v>150</v>
      </c>
      <c r="BC1600" s="21">
        <f t="shared" si="471"/>
        <v>-157</v>
      </c>
      <c r="BD1600" s="21">
        <f t="shared" si="472"/>
        <v>-128</v>
      </c>
      <c r="BE1600" s="21">
        <f t="shared" si="473"/>
        <v>101</v>
      </c>
      <c r="BF1600" s="94">
        <f t="shared" ref="BF1600" si="549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IF(AT1600&gt;AT1601, 1-_xlpm.interp, _xlpm.interp)
)</f>
        <v>0.40063235385592966</v>
      </c>
      <c r="BG1600" s="22">
        <f t="shared" ref="BG1600:BI1664" si="550">1-BG1601</f>
        <v>0.61083650818840118</v>
      </c>
      <c r="BH1600" s="22">
        <f t="shared" si="550"/>
        <v>0.56132538784664077</v>
      </c>
      <c r="BI1600" s="22">
        <f t="shared" si="550"/>
        <v>0.49796339222700436</v>
      </c>
      <c r="BJ1600" s="21">
        <f t="shared" si="476"/>
        <v>156</v>
      </c>
      <c r="BK1600" s="21">
        <f t="shared" si="477"/>
        <v>-158</v>
      </c>
      <c r="BL1600" s="21">
        <f t="shared" si="478"/>
        <v>-129</v>
      </c>
      <c r="BM1600" s="21">
        <f t="shared" si="479"/>
        <v>101</v>
      </c>
      <c r="BN1600" s="22">
        <f t="shared" ref="BN1600" si="551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IF(AV1600&gt;AV1601, 1-_xlpm.interp, _xlpm.interp)
)</f>
        <v>0.39079459075563366</v>
      </c>
      <c r="BO1600" s="22">
        <f t="shared" ref="BO1600:BQ1664" si="552">1-BO1601</f>
        <v>0.61229928176639481</v>
      </c>
      <c r="BP1600" s="22">
        <f t="shared" si="552"/>
        <v>0.56260278518127738</v>
      </c>
      <c r="BQ1600" s="22">
        <f t="shared" si="552"/>
        <v>0.49867790970099957</v>
      </c>
      <c r="BR1600">
        <v>3.7</v>
      </c>
      <c r="BS1600">
        <v>4.9000000000000004</v>
      </c>
      <c r="BT1600">
        <v>0.34495999999999999</v>
      </c>
      <c r="BU1600">
        <v>0.13750000000000001</v>
      </c>
      <c r="BV1600">
        <v>0.14806439455122999</v>
      </c>
      <c r="BW1600">
        <v>0.20885000000000001</v>
      </c>
    </row>
    <row r="1601" spans="1:75" ht="16.75" customHeight="1" x14ac:dyDescent="0.2">
      <c r="A1601" t="str">
        <f t="shared" si="536"/>
        <v>2025020769 EDM</v>
      </c>
      <c r="B1601">
        <v>2025020769</v>
      </c>
      <c r="C1601" s="1">
        <v>46040</v>
      </c>
      <c r="D1601" s="2" t="s">
        <v>9</v>
      </c>
      <c r="E1601" t="s">
        <v>17</v>
      </c>
      <c r="F1601" s="2">
        <v>0</v>
      </c>
      <c r="G1601" s="2">
        <v>1</v>
      </c>
      <c r="H1601" t="s">
        <v>53</v>
      </c>
      <c r="I1601" t="str">
        <f t="shared" si="176"/>
        <v>EDM Calvin Pickard</v>
      </c>
      <c r="J1601" s="33" t="s">
        <v>164</v>
      </c>
      <c r="K1601" s="14">
        <v>2.96</v>
      </c>
      <c r="L1601" s="13">
        <v>0.15</v>
      </c>
      <c r="M1601" s="28">
        <v>0.1</v>
      </c>
      <c r="N1601">
        <f>IFERROR(_xlfn.XLOOKUP(A1601,Params!A:A,Params!D:D),0)</f>
        <v>3.3999999999999901</v>
      </c>
      <c r="O1601">
        <f t="shared" ref="O1601" si="553">N1600</f>
        <v>2.8499999999999899</v>
      </c>
      <c r="P1601" s="68">
        <f t="shared" si="452"/>
        <v>3.3999999999999901</v>
      </c>
      <c r="Q1601">
        <f t="shared" ref="Q1601" si="554">P1600</f>
        <v>2.8499999999999899</v>
      </c>
      <c r="R1601" s="5">
        <f t="shared" ref="R1601" si="555">N1601/W1601/X1601/Z1600/AB1600/AA1601</f>
        <v>3.2492288608873929</v>
      </c>
      <c r="S1601" s="5">
        <f t="shared" ref="S1601" si="556">O1601/W1600/Y1601/Z1601/AA1600/AB1601</f>
        <v>3.0995486841073028</v>
      </c>
      <c r="T1601" s="5">
        <f t="shared" ref="T1601" si="557">P1601/W1601/X1601/Z1600/AB1600</f>
        <v>3.0867674178430233</v>
      </c>
      <c r="U1601" s="5">
        <f t="shared" ref="U1601" si="558">Q1601/W1600/Y1601/Z1601/AA1600</f>
        <v>3.146041914368912</v>
      </c>
      <c r="V1601" s="5">
        <f>_xlfn.XLOOKUP(H1601,'Rest - Home'!A:A,'Rest - Home'!B:B)</f>
        <v>1</v>
      </c>
      <c r="W1601" s="5">
        <f>_xlfn.XLOOKUP(H1601,'Rest - Home'!A:A,'Rest - Home'!C:C)</f>
        <v>1.0046958799928625</v>
      </c>
      <c r="X1601" s="5">
        <f t="shared" ref="X1601" si="559">AM1600/K1601</f>
        <v>1.0641891891891893</v>
      </c>
      <c r="Y1601" s="5">
        <f t="shared" ref="Y1601" si="560">AK1600/K1601</f>
        <v>0.91891891891891897</v>
      </c>
      <c r="Z1601" s="5">
        <f>IF(J1601="",1,(_xlfn.XLOOKUP(I1601,Goalies!B:B,Goalies!J:J)))</f>
        <v>1.03</v>
      </c>
      <c r="AA1601" s="23">
        <v>0.95</v>
      </c>
      <c r="AB1601" s="23">
        <v>1.0149999999999999</v>
      </c>
      <c r="AC1601" s="23">
        <f>_xlfn.XLOOKUP(E1601,'Game Adjustments'!A:A,'Game Adjustments'!B:B)</f>
        <v>1</v>
      </c>
      <c r="AD1601" s="23">
        <f>_xlfn.XLOOKUP(E1601,'Game Adjustments'!A:A,'Game Adjustments'!C:C)</f>
        <v>1</v>
      </c>
      <c r="AE1601" s="23">
        <f>IF(D1601="A",_xlfn.XLOOKUP(E1601,'Rest - Home'!F:F,'Rest - Home'!J:J),_xlfn.XLOOKUP(E1601,'Rest - Home'!F:F,'Rest - Home'!I:I))</f>
        <v>1</v>
      </c>
      <c r="AF1601" s="23">
        <f>IF(D1601="A",_xlfn.XLOOKUP(E1601,'Rest - Home'!F:F,'Rest - Home'!L:L),_xlfn.XLOOKUP(E1601,'Rest - Home'!F:F,'Rest - Home'!K:K))</f>
        <v>1</v>
      </c>
      <c r="AG1601" s="26">
        <v>1</v>
      </c>
      <c r="AH1601" s="26">
        <v>1</v>
      </c>
      <c r="AI1601" s="53" cm="1">
        <f t="array" ref="AI1601">MAX(IF($E$63:E1600=E1601,ROW($E$63:E1600)-MIN(ROW($E$63:E1600))+1))</f>
        <v>1528</v>
      </c>
      <c r="AJ1601" s="53" cm="1">
        <f t="array" ref="AJ1601">MAX(IF($I$105:I1600=I1601,ROW($I$105:I1600)-MIN(ROW($I$105:I1600))+1))</f>
        <v>1453</v>
      </c>
      <c r="AK1601" s="23">
        <f>IF(AI1601=0,_xlfn.XLOOKUP(E1601,'Starting GF'!A:A,'Starting GF'!B:B),INDEX($AL$63:$AL1601,AI1601))</f>
        <v>3.36</v>
      </c>
      <c r="AL1601" s="23">
        <f t="shared" si="508"/>
        <v>3.3409474074874432</v>
      </c>
      <c r="AM1601" s="23">
        <f>IF(AI1601=0,_xlfn.XLOOKUP(E1601,'Starting GF'!A:A,'Starting GF'!C:C),INDEX($AN$63:$AN1601,AI1601))</f>
        <v>2.9686936861947708</v>
      </c>
      <c r="AN1601" s="23">
        <f t="shared" si="525"/>
        <v>2.9883219358816504</v>
      </c>
      <c r="AO1601" s="23">
        <f>IF(AJ1601=0,_xlfn.XLOOKUP(I1601,Goalies!B:B,Goalies!I:I),INDEX($AP$105:$AP1601,AJ1601))</f>
        <v>3.0925711597129282</v>
      </c>
      <c r="AP1601" s="23">
        <f t="shared" si="460"/>
        <v>3.1075657574505668</v>
      </c>
      <c r="AQ1601" s="23">
        <f t="shared" si="461"/>
        <v>3.0577544967806141</v>
      </c>
      <c r="AR1601" s="66">
        <v>-2.5000000000000001E-2</v>
      </c>
      <c r="AS1601" s="96" t="s">
        <v>1594</v>
      </c>
      <c r="AT1601" s="20">
        <f t="shared" ref="AT1601" si="561">(AK1601*V1601*X1601*Z1600*AA1601*AB1600*AC1601*AD1600*AG1601*AH1600)+AR1601</f>
        <v>3.4744780270270268</v>
      </c>
      <c r="AU1601" s="20">
        <f t="shared" ref="AU1601" si="562">AT1600</f>
        <v>2.8427521727484373</v>
      </c>
      <c r="AV1601" s="12">
        <f t="shared" ref="AV1601" si="563">AK1601*W1601*X1601*Z1600*AA1601*AB1600</f>
        <v>3.5159111558796052</v>
      </c>
      <c r="AW1601" s="12">
        <f t="shared" ref="AW1601" si="564">AV1600</f>
        <v>2.8177521727484374</v>
      </c>
      <c r="AX1601" s="8">
        <f t="shared" si="466"/>
        <v>7.4478027027036653E-2</v>
      </c>
      <c r="AY1601" s="8">
        <f t="shared" si="467"/>
        <v>-7.2478272515525966E-3</v>
      </c>
      <c r="AZ1601" s="8">
        <f t="shared" si="468"/>
        <v>6.7230199775484056E-2</v>
      </c>
      <c r="BA1601" s="8">
        <f t="shared" si="469"/>
        <v>8.1725854278589249E-2</v>
      </c>
      <c r="BB1601" s="62">
        <f t="shared" si="470"/>
        <v>-150</v>
      </c>
      <c r="BC1601" s="21">
        <f t="shared" si="471"/>
        <v>157</v>
      </c>
      <c r="BD1601" s="21">
        <f t="shared" si="472"/>
        <v>128</v>
      </c>
      <c r="BE1601" s="21">
        <f t="shared" si="473"/>
        <v>-101</v>
      </c>
      <c r="BF1601" s="94">
        <f t="shared" si="57"/>
        <v>0.59936764614407034</v>
      </c>
      <c r="BG1601" s="22">
        <f t="shared" ref="BG1601" si="565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0.38916349181159882</v>
      </c>
      <c r="BH1601" s="22">
        <f t="shared" ref="BH1601" si="566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0.43867461215335923</v>
      </c>
      <c r="BI1601" s="22">
        <f t="shared" ref="BI1601" si="567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0.50203660777299564</v>
      </c>
      <c r="BJ1601" s="21">
        <f t="shared" si="476"/>
        <v>-156</v>
      </c>
      <c r="BK1601" s="21">
        <f t="shared" si="477"/>
        <v>158</v>
      </c>
      <c r="BL1601" s="21">
        <f t="shared" si="478"/>
        <v>129</v>
      </c>
      <c r="BM1601" s="21">
        <f t="shared" si="479"/>
        <v>-101</v>
      </c>
      <c r="BN1601" s="22">
        <f t="shared" si="61"/>
        <v>0.60920540924436639</v>
      </c>
      <c r="BO1601" s="22">
        <f t="shared" ref="BO1601" si="568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0.38770071823360519</v>
      </c>
      <c r="BP1601" s="22">
        <f t="shared" ref="BP1601" si="569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0.43739721481872257</v>
      </c>
      <c r="BQ1601" s="22">
        <f t="shared" ref="BQ1601" si="570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0.50132209029900043</v>
      </c>
      <c r="BR1601">
        <v>3.7</v>
      </c>
      <c r="BS1601">
        <v>4.95</v>
      </c>
      <c r="BT1601">
        <v>0.33710000000000001</v>
      </c>
      <c r="BU1601">
        <v>0.13621</v>
      </c>
      <c r="BV1601">
        <v>0.14660108489753701</v>
      </c>
      <c r="BW1601">
        <v>0.20709</v>
      </c>
    </row>
    <row r="1602" spans="1:75" ht="16.75" customHeight="1" x14ac:dyDescent="0.2">
      <c r="A1602" t="str">
        <f t="shared" si="536"/>
        <v>2025020770 BUF</v>
      </c>
      <c r="B1602">
        <v>2025020770</v>
      </c>
      <c r="C1602" s="1">
        <v>46041</v>
      </c>
      <c r="D1602" s="2" t="s">
        <v>6</v>
      </c>
      <c r="E1602" t="s">
        <v>5</v>
      </c>
      <c r="F1602" s="2">
        <v>1</v>
      </c>
      <c r="G1602" s="2">
        <v>1</v>
      </c>
      <c r="H1602" t="s">
        <v>46</v>
      </c>
      <c r="I1602" t="str">
        <f t="shared" si="176"/>
        <v>BUF Ukko-Pekka Luukkonen</v>
      </c>
      <c r="J1602" s="33" t="s">
        <v>225</v>
      </c>
      <c r="K1602" s="14">
        <v>2.96</v>
      </c>
      <c r="L1602" s="13">
        <v>0.15</v>
      </c>
      <c r="M1602" s="28">
        <v>0.1</v>
      </c>
      <c r="N1602">
        <f>IFERROR(_xlfn.XLOOKUP(A1602,Params!A:A,Params!D:D),0)</f>
        <v>2.69999999999999</v>
      </c>
      <c r="O1602">
        <f t="shared" ref="O1602" si="571">N1603</f>
        <v>3.5999999999999899</v>
      </c>
      <c r="P1602" s="68">
        <f t="shared" ref="P1602:P1621" si="572">N1602</f>
        <v>2.69999999999999</v>
      </c>
      <c r="Q1602">
        <f t="shared" ref="Q1602" si="573">P1603</f>
        <v>3.5999999999999899</v>
      </c>
      <c r="R1602" s="5">
        <f t="shared" ref="R1602" si="574">N1602/W1602/X1602/Z1603/AB1603/AA1602</f>
        <v>3.1612934773849171</v>
      </c>
      <c r="S1602" s="5">
        <f t="shared" ref="S1602" si="575">O1602/W1603/Y1602/Z1602/AA1603/AB1602</f>
        <v>2.9660672014516654</v>
      </c>
      <c r="T1602" s="5">
        <f t="shared" ref="T1602" si="576">P1602/W1602/X1602/Z1603/AB1603</f>
        <v>3.0980676078372187</v>
      </c>
      <c r="U1602" s="5">
        <f t="shared" ref="U1602" si="577">Q1602/W1603/Y1602/Z1602/AA1603</f>
        <v>2.9660672014516654</v>
      </c>
      <c r="V1602" s="5">
        <f>_xlfn.XLOOKUP(H1602,'Rest - Home'!A:A,'Rest - Home'!B:B)</f>
        <v>0.95</v>
      </c>
      <c r="W1602" s="5">
        <f>_xlfn.XLOOKUP(H1602,'Rest - Home'!A:A,'Rest - Home'!C:C)</f>
        <v>0.95302926576458757</v>
      </c>
      <c r="X1602" s="5">
        <f t="shared" ref="X1602" si="578">AM1603/K1602</f>
        <v>0.92405107803712505</v>
      </c>
      <c r="Y1602" s="5">
        <f t="shared" ref="Y1602" si="579">AK1603/K1602</f>
        <v>1.1397667468215271</v>
      </c>
      <c r="Z1602" s="5">
        <f>IF(J1602="",1,(_xlfn.XLOOKUP(I1602,Goalies!B:B,Goalies!J:J)))</f>
        <v>1.0149999999999999</v>
      </c>
      <c r="AA1602" s="23">
        <v>0.98</v>
      </c>
      <c r="AB1602" s="23">
        <v>1</v>
      </c>
      <c r="AC1602" s="23">
        <f>_xlfn.XLOOKUP(E1602,'Game Adjustments'!A:A,'Game Adjustments'!B:B)</f>
        <v>1</v>
      </c>
      <c r="AD1602" s="23">
        <f>_xlfn.XLOOKUP(E1602,'Game Adjustments'!A:A,'Game Adjustments'!C:C)</f>
        <v>1</v>
      </c>
      <c r="AE1602" s="23">
        <f>IF(D1602="A",_xlfn.XLOOKUP(E1602,'Rest - Home'!F:F,'Rest - Home'!J:J),_xlfn.XLOOKUP(E1602,'Rest - Home'!F:F,'Rest - Home'!I:I))</f>
        <v>1</v>
      </c>
      <c r="AF1602" s="23">
        <f>IF(D1602="A",_xlfn.XLOOKUP(E1602,'Rest - Home'!F:F,'Rest - Home'!L:L),_xlfn.XLOOKUP(E1602,'Rest - Home'!F:F,'Rest - Home'!K:K))</f>
        <v>1</v>
      </c>
      <c r="AG1602" s="26">
        <v>1</v>
      </c>
      <c r="AH1602" s="26">
        <v>1</v>
      </c>
      <c r="AI1602" s="53" cm="1">
        <f t="array" ref="AI1602">MAX(IF($E$63:E1601=E1602,ROW($E$63:E1601)-MIN(ROW($E$63:E1601))+1))</f>
        <v>1509</v>
      </c>
      <c r="AJ1602" s="53" cm="1">
        <f t="array" ref="AJ1602">MAX(IF($I$105:I1601=I1602,ROW($I$105:I1601)-MIN(ROW($I$105:I1601))+1))</f>
        <v>1467</v>
      </c>
      <c r="AK1602" s="23">
        <f>IF(AI1602=0,_xlfn.XLOOKUP(E1602,'Starting GF'!A:A,'Starting GF'!B:B),INDEX($AL$63:$AL1602,AI1602))</f>
        <v>3.08</v>
      </c>
      <c r="AL1602" s="23">
        <f t="shared" ref="AL1602:AL1621" si="580">IF(R1602=0,AK1602,R1602*L1602*(1-M1602)+T1602*L1602*M1602+AK1602*(1-L1602))</f>
        <v>3.091245633564522</v>
      </c>
      <c r="AM1602" s="23">
        <f>IF(AI1602=0,_xlfn.XLOOKUP(E1602,'Starting GF'!A:A,'Starting GF'!C:C),INDEX($AN$63:$AN1602,AI1602))</f>
        <v>3.05</v>
      </c>
      <c r="AN1602" s="23">
        <f t="shared" ref="AN1602:AN1619" si="581">IF(S1602=0,AM1602,S1602*L1602+AM1602*(1-L1602))</f>
        <v>3.0374100802177497</v>
      </c>
      <c r="AO1602" s="23">
        <f>IF(AJ1602=0,_xlfn.XLOOKUP(I1602,Goalies!B:B,Goalies!I:I),INDEX($AP$105:$AP1602,AJ1602))</f>
        <v>3.1550157853695722</v>
      </c>
      <c r="AP1602" s="23">
        <f t="shared" ref="AP1602:AP1621" si="582">IF(S1602=0,AO1602,S1602*L1602*Z1602+AO1602*(1-L1602))</f>
        <v>3.1333471489851523</v>
      </c>
      <c r="AQ1602" s="23">
        <f t="shared" ref="AQ1602:AQ1621" si="583">AM1602*Z1602</f>
        <v>3.0957499999999993</v>
      </c>
      <c r="AR1602" s="66">
        <v>0.05</v>
      </c>
      <c r="AS1602" s="96" t="s">
        <v>1594</v>
      </c>
      <c r="AT1602" s="20">
        <f t="shared" ref="AT1602" si="584">(AK1602*V1602*X1602*Z1603*AA1602*AB1603*AC1602*AD1603*AG1602*AH1603)+AR1602</f>
        <v>2.6722073686529262</v>
      </c>
      <c r="AU1602" s="20">
        <f t="shared" ref="AU1602" si="585">AT1603</f>
        <v>3.6477976859834338</v>
      </c>
      <c r="AV1602" s="12">
        <f t="shared" ref="AV1602" si="586">AK1602*V1602*X1602*Z1603*AA1602*AB1603</f>
        <v>2.6222073686529264</v>
      </c>
      <c r="AW1602" s="12">
        <f t="shared" ref="AW1602" si="587">AV1603</f>
        <v>3.7018716213260743</v>
      </c>
      <c r="AX1602" s="8">
        <f t="shared" ref="AX1602:AX1621" si="588">(AT1602-N1602)</f>
        <v>-2.7792631347063779E-2</v>
      </c>
      <c r="AY1602" s="8">
        <f t="shared" ref="AY1602:AY1621" si="589">(AU1602-O1602)</f>
        <v>4.7797685983443916E-2</v>
      </c>
      <c r="AZ1602" s="8">
        <f t="shared" ref="AZ1602:AZ1621" si="590">SUM(AX1602:AY1602)</f>
        <v>2.0005054636380137E-2</v>
      </c>
      <c r="BA1602" s="8">
        <f t="shared" ref="BA1602:BA1621" si="591">AX1602-AY1602</f>
        <v>-7.5590317330507695E-2</v>
      </c>
      <c r="BB1602" s="62">
        <f t="shared" ref="BB1602:BB1621" si="592">IF(BF1602=0.5,100,IF(BF1602&gt;0.5,-ROUND(100*BF1602/(1-BF1602),0),ROUND(100*(1-BF1602)/BF1602,0)))</f>
        <v>186</v>
      </c>
      <c r="BC1602" s="21">
        <f t="shared" ref="BC1602:BC1621" si="593">IF(BG1602=0.5,100,IF(BG1602&gt;0.5,-ROUND(100*BG1602/(1-BG1602),0),ROUND(100*(1-BG1602)/BG1602,0)))</f>
        <v>-157</v>
      </c>
      <c r="BD1602" s="21">
        <f t="shared" ref="BD1602:BD1621" si="594">IF(BH1602=0.5,100,IF(BH1602&gt;0.5,-ROUND(100*BH1602/(1-BH1602),0),ROUND(100*(1-BH1602)/BH1602,0)))</f>
        <v>-128</v>
      </c>
      <c r="BE1602" s="21">
        <f t="shared" ref="BE1602:BE1621" si="595">IF(BI1602=0.5,100,IF(BI1602&gt;0.5,-ROUND(100*BI1602/(1-BI1602),0),ROUND(100*(1-BI1602)/BI1602,0)))</f>
        <v>101</v>
      </c>
      <c r="BF1602" s="94">
        <f t="shared" ref="BF1602" si="59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IF(AT1602&gt;AT1603, 1-_xlpm.interp, _xlpm.interp)
)</f>
        <v>0.35011808528138355</v>
      </c>
      <c r="BG1602" s="22">
        <f t="shared" si="550"/>
        <v>0.61148850322249715</v>
      </c>
      <c r="BH1602" s="22">
        <f t="shared" si="550"/>
        <v>0.56117646843514046</v>
      </c>
      <c r="BI1602" s="22">
        <f t="shared" si="550"/>
        <v>0.49683798410255053</v>
      </c>
      <c r="BJ1602" s="21">
        <f t="shared" ref="BJ1602:BJ1621" si="597">IF(BN1602=0.5,100,IF(BN1602&gt;0.5,-ROUND(100*BN1602/(1-BN1602),0),ROUND(100*(1-BN1602)/BN1602,0)))</f>
        <v>197</v>
      </c>
      <c r="BK1602" s="21">
        <f t="shared" ref="BK1602:BK1621" si="598">IF(BO1602=0.5,100,IF(BO1602&gt;0.5,-ROUND(100*BO1602/(1-BO1602),0),ROUND(100*(1-BO1602)/BO1602,0)))</f>
        <v>-157</v>
      </c>
      <c r="BL1602" s="21">
        <f t="shared" ref="BL1602:BL1621" si="599">IF(BP1602=0.5,100,IF(BP1602&gt;0.5,-ROUND(100*BP1602/(1-BP1602),0),ROUND(100*(1-BP1602)/BP1602,0)))</f>
        <v>-127</v>
      </c>
      <c r="BM1602" s="21">
        <f t="shared" ref="BM1602:BM1621" si="600">IF(BQ1602=0.5,100,IF(BQ1602&gt;0.5,-ROUND(100*BQ1602/(1-BQ1602),0),ROUND(100*(1-BQ1602)/BQ1602,0)))</f>
        <v>102</v>
      </c>
      <c r="BN1602" s="22">
        <f t="shared" ref="BN1602" si="601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IF(AV1602&gt;AV1603, 1-_xlpm.interp, _xlpm.interp)
)</f>
        <v>0.33686882628175352</v>
      </c>
      <c r="BO1602" s="22">
        <f t="shared" si="552"/>
        <v>0.61028002118062141</v>
      </c>
      <c r="BP1602" s="22">
        <f t="shared" si="552"/>
        <v>0.55936444098102589</v>
      </c>
      <c r="BQ1602" s="22">
        <f t="shared" si="552"/>
        <v>0.49473283831985859</v>
      </c>
      <c r="BR1602">
        <v>3.7</v>
      </c>
      <c r="BS1602">
        <v>5</v>
      </c>
      <c r="BT1602">
        <v>0.33216000000000001</v>
      </c>
      <c r="BU1602">
        <v>0.13098000000000001</v>
      </c>
      <c r="BV1602">
        <v>0.14092053450390499</v>
      </c>
      <c r="BW1602">
        <v>0.20152</v>
      </c>
    </row>
    <row r="1603" spans="1:75" ht="16.75" customHeight="1" x14ac:dyDescent="0.2">
      <c r="A1603" t="str">
        <f t="shared" si="536"/>
        <v>2025020770 CAR</v>
      </c>
      <c r="B1603">
        <v>2025020770</v>
      </c>
      <c r="C1603" s="1">
        <v>46041</v>
      </c>
      <c r="D1603" s="2" t="s">
        <v>9</v>
      </c>
      <c r="E1603" t="s">
        <v>42</v>
      </c>
      <c r="F1603" s="2">
        <v>1</v>
      </c>
      <c r="G1603" s="2">
        <v>1</v>
      </c>
      <c r="H1603" t="s">
        <v>47</v>
      </c>
      <c r="I1603" t="str">
        <f t="shared" si="176"/>
        <v>CAR Brandon Bussi</v>
      </c>
      <c r="J1603" s="33" t="s">
        <v>396</v>
      </c>
      <c r="K1603" s="14">
        <v>2.96</v>
      </c>
      <c r="L1603" s="13">
        <v>0.15</v>
      </c>
      <c r="M1603" s="28">
        <v>0.1</v>
      </c>
      <c r="N1603">
        <f>IFERROR(_xlfn.XLOOKUP(A1603,Params!A:A,Params!D:D),0)</f>
        <v>3.5999999999999899</v>
      </c>
      <c r="O1603">
        <f t="shared" ref="O1603" si="602">N1602</f>
        <v>2.69999999999999</v>
      </c>
      <c r="P1603" s="68">
        <f t="shared" si="572"/>
        <v>3.5999999999999899</v>
      </c>
      <c r="Q1603">
        <f t="shared" ref="Q1603" si="603">P1602</f>
        <v>2.69999999999999</v>
      </c>
      <c r="R1603" s="5">
        <f t="shared" ref="R1603" si="604">N1603/W1603/X1603/Z1602/AB1602/AA1603</f>
        <v>3.2808686244444867</v>
      </c>
      <c r="S1603" s="5">
        <f t="shared" ref="S1603" si="605">O1603/W1602/Y1603/Z1603/AA1602/AB1603</f>
        <v>2.8073837894405917</v>
      </c>
      <c r="T1603" s="5">
        <f t="shared" ref="T1603" si="606">P1603/W1603/X1603/Z1602/AB1602</f>
        <v>3.2808686244444867</v>
      </c>
      <c r="U1603" s="5">
        <f t="shared" ref="U1603" si="607">Q1603/W1602/Y1603/Z1603/AA1602</f>
        <v>2.8494945462822003</v>
      </c>
      <c r="V1603" s="5">
        <f>_xlfn.XLOOKUP(H1603,'Rest - Home'!A:A,'Rest - Home'!B:B)</f>
        <v>1.048</v>
      </c>
      <c r="W1603" s="5">
        <f>_xlfn.XLOOKUP(H1603,'Rest - Home'!A:A,'Rest - Home'!C:C)</f>
        <v>1.0491546019013618</v>
      </c>
      <c r="X1603" s="5">
        <f t="shared" ref="X1603" si="608">AM1602/K1603</f>
        <v>1.0304054054054053</v>
      </c>
      <c r="Y1603" s="5">
        <f t="shared" ref="Y1603" si="609">AK1602/K1603</f>
        <v>1.0405405405405406</v>
      </c>
      <c r="Z1603" s="5">
        <f>IF(J1603="",1,(_xlfn.XLOOKUP(I1603,Goalies!B:B,Goalies!J:J)))</f>
        <v>0.97499999999999998</v>
      </c>
      <c r="AA1603" s="23">
        <v>1</v>
      </c>
      <c r="AB1603" s="23">
        <v>1.0149999999999999</v>
      </c>
      <c r="AC1603" s="23">
        <f>_xlfn.XLOOKUP(E1603,'Game Adjustments'!A:A,'Game Adjustments'!B:B)</f>
        <v>1</v>
      </c>
      <c r="AD1603" s="23">
        <f>_xlfn.XLOOKUP(E1603,'Game Adjustments'!A:A,'Game Adjustments'!C:C)</f>
        <v>1</v>
      </c>
      <c r="AE1603" s="23">
        <f>IF(D1603="A",_xlfn.XLOOKUP(E1603,'Rest - Home'!F:F,'Rest - Home'!J:J),_xlfn.XLOOKUP(E1603,'Rest - Home'!F:F,'Rest - Home'!I:I))</f>
        <v>1</v>
      </c>
      <c r="AF1603" s="23">
        <f>IF(D1603="A",_xlfn.XLOOKUP(E1603,'Rest - Home'!F:F,'Rest - Home'!L:L),_xlfn.XLOOKUP(E1603,'Rest - Home'!F:F,'Rest - Home'!K:K))</f>
        <v>1</v>
      </c>
      <c r="AG1603" s="26">
        <v>1</v>
      </c>
      <c r="AH1603" s="26">
        <v>1</v>
      </c>
      <c r="AI1603" s="53" cm="1">
        <f t="array" ref="AI1603">MAX(IF($E$63:E1602=E1603,ROW($E$63:E1602)-MIN(ROW($E$63:E1602))+1))</f>
        <v>1516</v>
      </c>
      <c r="AJ1603" s="53" cm="1">
        <f t="array" ref="AJ1603">MAX(IF($I$105:I1602=I1603,ROW($I$105:I1602)-MIN(ROW($I$105:I1602))+1))</f>
        <v>1457</v>
      </c>
      <c r="AK1603" s="23">
        <f>IF(AI1603=0,_xlfn.XLOOKUP(E1603,'Starting GF'!A:A,'Starting GF'!B:B),INDEX($AL$63:$AL1603,AI1603))</f>
        <v>3.3737095705917204</v>
      </c>
      <c r="AL1603" s="23">
        <f t="shared" si="580"/>
        <v>3.3597834286696355</v>
      </c>
      <c r="AM1603" s="23">
        <f>IF(AI1603=0,_xlfn.XLOOKUP(E1603,'Starting GF'!A:A,'Starting GF'!C:C),INDEX($AN$63:$AN1603,AI1603))</f>
        <v>2.7351911909898901</v>
      </c>
      <c r="AN1603" s="23">
        <f t="shared" si="581"/>
        <v>2.7460200807574955</v>
      </c>
      <c r="AO1603" s="23">
        <f>IF(AJ1603=0,_xlfn.XLOOKUP(I1603,Goalies!B:B,Goalies!I:I),INDEX($AP$105:$AP1603,AJ1603))</f>
        <v>2.7145359348588074</v>
      </c>
      <c r="AP1603" s="23">
        <f t="shared" si="582"/>
        <v>2.717935423835673</v>
      </c>
      <c r="AQ1603" s="23">
        <f t="shared" si="583"/>
        <v>2.6668114112151429</v>
      </c>
      <c r="AR1603" s="66">
        <v>-0.05</v>
      </c>
      <c r="AS1603" s="96" t="s">
        <v>1594</v>
      </c>
      <c r="AT1603" s="20">
        <f t="shared" ref="AT1603" si="610">(AK1603*V1603*X1603*Z1602*AA1603*AB1602*AC1603*AD1602*AG1603*AH1602)+AR1603</f>
        <v>3.6477976859834338</v>
      </c>
      <c r="AU1603" s="20">
        <f t="shared" ref="AU1603" si="611">AT1602</f>
        <v>2.6722073686529262</v>
      </c>
      <c r="AV1603" s="12">
        <f t="shared" ref="AV1603" si="612">AK1603*W1603*X1603*Z1602*AA1603*AB1602</f>
        <v>3.7018716213260743</v>
      </c>
      <c r="AW1603" s="12">
        <f t="shared" ref="AW1603" si="613">AV1602</f>
        <v>2.6222073686529264</v>
      </c>
      <c r="AX1603" s="8">
        <f t="shared" si="588"/>
        <v>4.7797685983443916E-2</v>
      </c>
      <c r="AY1603" s="8">
        <f t="shared" si="589"/>
        <v>-2.7792631347063779E-2</v>
      </c>
      <c r="AZ1603" s="8">
        <f t="shared" si="590"/>
        <v>2.0005054636380137E-2</v>
      </c>
      <c r="BA1603" s="8">
        <f t="shared" si="591"/>
        <v>7.5590317330507695E-2</v>
      </c>
      <c r="BB1603" s="62">
        <f t="shared" si="592"/>
        <v>-186</v>
      </c>
      <c r="BC1603" s="21">
        <f t="shared" si="593"/>
        <v>157</v>
      </c>
      <c r="BD1603" s="21">
        <f t="shared" si="594"/>
        <v>128</v>
      </c>
      <c r="BE1603" s="21">
        <f t="shared" si="595"/>
        <v>-101</v>
      </c>
      <c r="BF1603" s="94">
        <f t="shared" si="57"/>
        <v>0.64988191471861645</v>
      </c>
      <c r="BG1603" s="22">
        <f t="shared" ref="BG1603" si="614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0.38851149677750285</v>
      </c>
      <c r="BH1603" s="22">
        <f t="shared" ref="BH1603" si="615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0.43882353156485954</v>
      </c>
      <c r="BI1603" s="22">
        <f t="shared" ref="BI1603" si="61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0.50316201589744947</v>
      </c>
      <c r="BJ1603" s="21">
        <f t="shared" si="597"/>
        <v>-197</v>
      </c>
      <c r="BK1603" s="21">
        <f t="shared" si="598"/>
        <v>157</v>
      </c>
      <c r="BL1603" s="21">
        <f t="shared" si="599"/>
        <v>127</v>
      </c>
      <c r="BM1603" s="21">
        <f t="shared" si="600"/>
        <v>-102</v>
      </c>
      <c r="BN1603" s="22">
        <f t="shared" si="61"/>
        <v>0.66313117371824648</v>
      </c>
      <c r="BO1603" s="22">
        <f t="shared" ref="BO1603" si="617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0.38971997881937864</v>
      </c>
      <c r="BP1603" s="22">
        <f t="shared" ref="BP1603" si="618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0.44063555901897405</v>
      </c>
      <c r="BQ1603" s="22">
        <f t="shared" ref="BQ1603" si="619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0.50526716168014141</v>
      </c>
      <c r="BR1603">
        <v>3.75</v>
      </c>
      <c r="BS1603">
        <v>3.75</v>
      </c>
      <c r="BT1603">
        <v>0.49654999999999999</v>
      </c>
      <c r="BU1603">
        <v>0.2356</v>
      </c>
      <c r="BV1603">
        <v>0.26027397260273899</v>
      </c>
      <c r="BW1603">
        <v>0.33040000000000003</v>
      </c>
    </row>
    <row r="1604" spans="1:75" ht="16.75" customHeight="1" x14ac:dyDescent="0.2">
      <c r="A1604" t="str">
        <f t="shared" si="536"/>
        <v>2025020771 WSH</v>
      </c>
      <c r="B1604">
        <v>2025020771</v>
      </c>
      <c r="C1604" s="1">
        <v>46041</v>
      </c>
      <c r="D1604" s="2" t="s">
        <v>6</v>
      </c>
      <c r="E1604" t="s">
        <v>49</v>
      </c>
      <c r="F1604" s="2">
        <v>1</v>
      </c>
      <c r="G1604" s="2">
        <v>2</v>
      </c>
      <c r="H1604" t="s">
        <v>36</v>
      </c>
      <c r="I1604" t="str">
        <f t="shared" si="176"/>
        <v>WSH Charlie Lindgren</v>
      </c>
      <c r="J1604" s="33" t="s">
        <v>198</v>
      </c>
      <c r="K1604" s="14">
        <v>2.96</v>
      </c>
      <c r="L1604" s="13">
        <v>0.15</v>
      </c>
      <c r="M1604" s="28">
        <v>0.1</v>
      </c>
      <c r="N1604">
        <f>IFERROR(_xlfn.XLOOKUP(A1604,Params!A:A,Params!D:D),0)</f>
        <v>2.69999999999999</v>
      </c>
      <c r="O1604">
        <f t="shared" ref="O1604" si="620">N1605</f>
        <v>3.69999999999999</v>
      </c>
      <c r="P1604" s="68">
        <f t="shared" si="572"/>
        <v>2.69999999999999</v>
      </c>
      <c r="Q1604">
        <f t="shared" ref="Q1604" si="621">P1605</f>
        <v>3.69999999999999</v>
      </c>
      <c r="R1604" s="5">
        <f t="shared" ref="R1604" si="622">N1604/W1604/X1604/Z1605/AB1605/AA1604</f>
        <v>3.2299943188867424</v>
      </c>
      <c r="S1604" s="5">
        <f t="shared" ref="S1604" si="623">O1604/W1605/Y1604/Z1604/AA1605/AB1604</f>
        <v>2.9000469181475608</v>
      </c>
      <c r="T1604" s="5">
        <f t="shared" ref="T1604" si="624">P1604/W1604/X1604/Z1605/AB1605</f>
        <v>3.1007945461312727</v>
      </c>
      <c r="U1604" s="5">
        <f t="shared" ref="U1604" si="625">Q1604/W1605/Y1604/Z1604/AA1605</f>
        <v>2.9000469181475608</v>
      </c>
      <c r="V1604" s="5">
        <f>_xlfn.XLOOKUP(H1604,'Rest - Home'!A:A,'Rest - Home'!B:B)</f>
        <v>0.97</v>
      </c>
      <c r="W1604" s="5">
        <f>_xlfn.XLOOKUP(H1604,'Rest - Home'!A:A,'Rest - Home'!C:C)</f>
        <v>0.95751047349149665</v>
      </c>
      <c r="X1604" s="5">
        <f t="shared" ref="X1604" si="626">AM1605/K1604</f>
        <v>0.87841956530797383</v>
      </c>
      <c r="Y1604" s="5">
        <f t="shared" ref="Y1604" si="627">AK1605/K1604</f>
        <v>1.2162162162162162</v>
      </c>
      <c r="Z1604" s="5">
        <f>IF(J1604="",1,(_xlfn.XLOOKUP(I1604,Goalies!B:B,Goalies!J:J)))</f>
        <v>1.04</v>
      </c>
      <c r="AA1604" s="23">
        <v>0.96</v>
      </c>
      <c r="AB1604" s="23">
        <v>1</v>
      </c>
      <c r="AC1604" s="23">
        <f>_xlfn.XLOOKUP(E1604,'Game Adjustments'!A:A,'Game Adjustments'!B:B)</f>
        <v>1</v>
      </c>
      <c r="AD1604" s="23">
        <f>_xlfn.XLOOKUP(E1604,'Game Adjustments'!A:A,'Game Adjustments'!C:C)</f>
        <v>1</v>
      </c>
      <c r="AE1604" s="23">
        <f>IF(D1604="A",_xlfn.XLOOKUP(E1604,'Rest - Home'!F:F,'Rest - Home'!J:J),_xlfn.XLOOKUP(E1604,'Rest - Home'!F:F,'Rest - Home'!I:I))</f>
        <v>1</v>
      </c>
      <c r="AF1604" s="23">
        <f>IF(D1604="A",_xlfn.XLOOKUP(E1604,'Rest - Home'!F:F,'Rest - Home'!L:L),_xlfn.XLOOKUP(E1604,'Rest - Home'!F:F,'Rest - Home'!K:K))</f>
        <v>1</v>
      </c>
      <c r="AG1604" s="26">
        <v>1</v>
      </c>
      <c r="AH1604" s="26">
        <v>1</v>
      </c>
      <c r="AI1604" s="53" cm="1">
        <f t="array" ref="AI1604">MAX(IF($E$63:E1603=E1604,ROW($E$63:E1603)-MIN(ROW($E$63:E1603))+1))</f>
        <v>1521</v>
      </c>
      <c r="AJ1604" s="53" cm="1">
        <f t="array" ref="AJ1604">MAX(IF($I$105:I1603=I1604,ROW($I$105:I1603)-MIN(ROW($I$105:I1603))+1))</f>
        <v>1386</v>
      </c>
      <c r="AK1604" s="23">
        <f>IF(AI1604=0,_xlfn.XLOOKUP(E1604,'Starting GF'!A:A,'Starting GF'!B:B),INDEX($AL$63:$AL1604,AI1604))</f>
        <v>3.03</v>
      </c>
      <c r="AL1604" s="23">
        <v>3.0449999999999999</v>
      </c>
      <c r="AM1604" s="23">
        <f>IF(AI1604=0,_xlfn.XLOOKUP(E1604,'Starting GF'!A:A,'Starting GF'!C:C),INDEX($AN$63:$AN1604,AI1604))</f>
        <v>3.05</v>
      </c>
      <c r="AN1604" s="23">
        <f t="shared" si="581"/>
        <v>3.0275070377221338</v>
      </c>
      <c r="AO1604" s="23">
        <f>IF(AJ1604=0,_xlfn.XLOOKUP(I1604,Goalies!B:B,Goalies!I:I),INDEX($AP$105:$AP1604,AJ1604))</f>
        <v>3.0115478307303785</v>
      </c>
      <c r="AP1604" s="23">
        <f t="shared" si="582"/>
        <v>3.012222975351841</v>
      </c>
      <c r="AQ1604" s="23">
        <f t="shared" si="583"/>
        <v>3.1719999999999997</v>
      </c>
      <c r="AR1604" s="66">
        <v>-0.05</v>
      </c>
      <c r="AS1604" s="96" t="s">
        <v>1593</v>
      </c>
      <c r="AT1604" s="20">
        <f t="shared" ref="AT1604" si="628">(AK1604*V1604*X1604*Z1605*AA1604*AB1605*AC1604*AD1605*AG1604*AH1605)+AR1604</f>
        <v>2.5158592846591818</v>
      </c>
      <c r="AU1604" s="20">
        <f t="shared" ref="AU1604" si="629">AT1605</f>
        <v>3.9604973243243236</v>
      </c>
      <c r="AV1604" s="12">
        <f t="shared" ref="AV1604" si="630">AK1604*V1604*X1604*Z1605*AA1604*AB1605</f>
        <v>2.5658592846591817</v>
      </c>
      <c r="AW1604" s="12">
        <f t="shared" ref="AW1604" si="631">AV1605</f>
        <v>3.8913163540155393</v>
      </c>
      <c r="AX1604" s="8">
        <f t="shared" si="588"/>
        <v>-0.18414071534080811</v>
      </c>
      <c r="AY1604" s="8">
        <f t="shared" si="589"/>
        <v>0.26049732432433359</v>
      </c>
      <c r="AZ1604" s="8">
        <f t="shared" si="590"/>
        <v>7.6356608983525476E-2</v>
      </c>
      <c r="BA1604" s="8">
        <f t="shared" si="591"/>
        <v>-0.4446380396651417</v>
      </c>
      <c r="BB1604" s="62">
        <f t="shared" si="592"/>
        <v>246</v>
      </c>
      <c r="BC1604" s="21">
        <f t="shared" si="593"/>
        <v>-173</v>
      </c>
      <c r="BD1604" s="21">
        <f t="shared" si="594"/>
        <v>-141</v>
      </c>
      <c r="BE1604" s="21">
        <f t="shared" si="595"/>
        <v>-107</v>
      </c>
      <c r="BF1604" s="94">
        <f t="shared" ref="BF1604" si="632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IF(AT1604&gt;AT1605, 1-_xlpm.interp, _xlpm.interp)
)</f>
        <v>0.28917505133338878</v>
      </c>
      <c r="BG1604" s="22">
        <f t="shared" si="550"/>
        <v>0.63320391196431625</v>
      </c>
      <c r="BH1604" s="22">
        <f t="shared" si="550"/>
        <v>0.58502816770123744</v>
      </c>
      <c r="BI1604" s="22">
        <f t="shared" si="550"/>
        <v>0.51710056769514012</v>
      </c>
      <c r="BJ1604" s="21">
        <f t="shared" si="597"/>
        <v>228</v>
      </c>
      <c r="BK1604" s="21">
        <f t="shared" si="598"/>
        <v>-171</v>
      </c>
      <c r="BL1604" s="21">
        <f t="shared" si="599"/>
        <v>-140</v>
      </c>
      <c r="BM1604" s="21">
        <f t="shared" si="600"/>
        <v>-106</v>
      </c>
      <c r="BN1604" s="22">
        <f t="shared" ref="BN1604" si="633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IF(AV1604&gt;AV1605, 1-_xlpm.interp, _xlpm.interp)
)</f>
        <v>0.3051528669478234</v>
      </c>
      <c r="BO1604" s="22">
        <f t="shared" si="552"/>
        <v>0.63110070160096843</v>
      </c>
      <c r="BP1604" s="22">
        <f t="shared" si="552"/>
        <v>0.58297174467100454</v>
      </c>
      <c r="BQ1604" s="22">
        <f t="shared" si="552"/>
        <v>0.51569723296112491</v>
      </c>
      <c r="BR1604">
        <v>3.75</v>
      </c>
      <c r="BS1604">
        <v>3.8</v>
      </c>
      <c r="BT1604">
        <v>0.4884</v>
      </c>
      <c r="BU1604">
        <v>0.23125999999999999</v>
      </c>
      <c r="BV1604">
        <v>0.25485442242842299</v>
      </c>
      <c r="BW1604">
        <v>0.32384000000000002</v>
      </c>
    </row>
    <row r="1605" spans="1:75" ht="16.75" customHeight="1" x14ac:dyDescent="0.2">
      <c r="A1605" t="str">
        <f t="shared" si="536"/>
        <v>2025020771 COL</v>
      </c>
      <c r="B1605">
        <v>2025020771</v>
      </c>
      <c r="C1605" s="1">
        <v>46041</v>
      </c>
      <c r="D1605" s="2" t="s">
        <v>9</v>
      </c>
      <c r="E1605" t="s">
        <v>24</v>
      </c>
      <c r="F1605" s="2">
        <v>2</v>
      </c>
      <c r="G1605" s="2">
        <v>1</v>
      </c>
      <c r="H1605" t="s">
        <v>38</v>
      </c>
      <c r="I1605" t="str">
        <f t="shared" si="176"/>
        <v>COL Scott Wedgewood</v>
      </c>
      <c r="J1605" s="33" t="s">
        <v>158</v>
      </c>
      <c r="K1605" s="14">
        <v>2.96</v>
      </c>
      <c r="L1605" s="13">
        <v>0.15</v>
      </c>
      <c r="M1605" s="28">
        <v>0.1</v>
      </c>
      <c r="N1605">
        <f>IFERROR(_xlfn.XLOOKUP(A1605,Params!A:A,Params!D:D),0)</f>
        <v>3.69999999999999</v>
      </c>
      <c r="O1605">
        <f t="shared" ref="O1605" si="634">N1604</f>
        <v>2.69999999999999</v>
      </c>
      <c r="P1605" s="68">
        <f t="shared" si="572"/>
        <v>3.69999999999999</v>
      </c>
      <c r="Q1605">
        <f t="shared" ref="Q1605" si="635">P1604</f>
        <v>2.69999999999999</v>
      </c>
      <c r="R1605" s="5">
        <f t="shared" ref="R1605" si="636">N1605/W1605/X1605/Z1604/AB1604/AA1605</f>
        <v>3.423006198469253</v>
      </c>
      <c r="S1605" s="5">
        <f t="shared" ref="S1605" si="637">O1605/W1604/Y1605/Z1605/AA1604/AB1605</f>
        <v>2.771742246999803</v>
      </c>
      <c r="T1605" s="5">
        <f t="shared" ref="T1605" si="638">P1605/W1605/X1605/Z1604/AB1604</f>
        <v>3.3203160125151752</v>
      </c>
      <c r="U1605" s="5">
        <f t="shared" ref="U1605" si="639">Q1605/W1604/Y1605/Z1605/AA1604</f>
        <v>2.841035803174798</v>
      </c>
      <c r="V1605" s="5">
        <f>_xlfn.XLOOKUP(H1605,'Rest - Home'!A:A,'Rest - Home'!B:B)</f>
        <v>1.0449999999999999</v>
      </c>
      <c r="W1605" s="5">
        <f>_xlfn.XLOOKUP(H1605,'Rest - Home'!A:A,'Rest - Home'!C:C)</f>
        <v>1.0398742800952707</v>
      </c>
      <c r="X1605" s="5">
        <f t="shared" ref="X1605" si="640">AM1604/K1605</f>
        <v>1.0304054054054053</v>
      </c>
      <c r="Y1605" s="5">
        <f t="shared" ref="Y1605" si="641">AK1604/K1605</f>
        <v>1.0236486486486487</v>
      </c>
      <c r="Z1605" s="5">
        <f>IF(J1605="",1,(_xlfn.XLOOKUP(I1605,Goalies!B:B,Goalies!J:J)))</f>
        <v>1.01</v>
      </c>
      <c r="AA1605" s="23">
        <v>0.97</v>
      </c>
      <c r="AB1605" s="23">
        <v>1.0249999999999999</v>
      </c>
      <c r="AC1605" s="23">
        <f>_xlfn.XLOOKUP(E1605,'Game Adjustments'!A:A,'Game Adjustments'!B:B)</f>
        <v>1</v>
      </c>
      <c r="AD1605" s="23">
        <f>_xlfn.XLOOKUP(E1605,'Game Adjustments'!A:A,'Game Adjustments'!C:C)</f>
        <v>1</v>
      </c>
      <c r="AE1605" s="23">
        <f>IF(D1605="A",_xlfn.XLOOKUP(E1605,'Rest - Home'!F:F,'Rest - Home'!J:J),_xlfn.XLOOKUP(E1605,'Rest - Home'!F:F,'Rest - Home'!I:I))</f>
        <v>1</v>
      </c>
      <c r="AF1605" s="23">
        <f>IF(D1605="A",_xlfn.XLOOKUP(E1605,'Rest - Home'!F:F,'Rest - Home'!L:L),_xlfn.XLOOKUP(E1605,'Rest - Home'!F:F,'Rest - Home'!K:K))</f>
        <v>1</v>
      </c>
      <c r="AG1605" s="26">
        <v>1</v>
      </c>
      <c r="AH1605" s="26">
        <v>1</v>
      </c>
      <c r="AI1605" s="53" cm="1">
        <f t="array" ref="AI1605">MAX(IF($E$63:E1604=E1605,ROW($E$63:E1604)-MIN(ROW($E$63:E1604))+1))</f>
        <v>1505</v>
      </c>
      <c r="AJ1605" s="53" cm="1">
        <f t="array" ref="AJ1605">MAX(IF($I$105:I1604=I1605,ROW($I$105:I1604)-MIN(ROW($I$105:I1604))+1))</f>
        <v>1341</v>
      </c>
      <c r="AK1605" s="23">
        <f>IF(AI1605=0,_xlfn.XLOOKUP(E1605,'Starting GF'!A:A,'Starting GF'!B:B),INDEX($AL$63:$AL1605,AI1605))</f>
        <v>3.6</v>
      </c>
      <c r="AL1605" s="23">
        <v>3.5750000000000002</v>
      </c>
      <c r="AM1605" s="23">
        <f>IF(AI1605=0,_xlfn.XLOOKUP(E1605,'Starting GF'!A:A,'Starting GF'!C:C),INDEX($AN$63:$AN1605,AI1605))</f>
        <v>2.6001219133116025</v>
      </c>
      <c r="AN1605" s="23">
        <f t="shared" si="581"/>
        <v>2.6258649633648323</v>
      </c>
      <c r="AO1605" s="23">
        <f>IF(AJ1605=0,_xlfn.XLOOKUP(I1605,Goalies!B:B,Goalies!I:I),INDEX($AP$105:$AP1605,AJ1605))</f>
        <v>2.6499659968195459</v>
      </c>
      <c r="AP1605" s="23">
        <f t="shared" si="582"/>
        <v>2.6723900477170837</v>
      </c>
      <c r="AQ1605" s="23">
        <f t="shared" si="583"/>
        <v>2.6261231324447185</v>
      </c>
      <c r="AR1605" s="66">
        <v>0.05</v>
      </c>
      <c r="AS1605" s="96" t="s">
        <v>1593</v>
      </c>
      <c r="AT1605" s="20">
        <f t="shared" ref="AT1605" si="642">(AK1605*V1605*X1605*Z1604*AA1605*AB1604*AC1605*AD1604*AG1605*AH1604)+AR1605</f>
        <v>3.9604973243243236</v>
      </c>
      <c r="AU1605" s="20">
        <f t="shared" ref="AU1605" si="643">AT1604</f>
        <v>2.5158592846591818</v>
      </c>
      <c r="AV1605" s="12">
        <f t="shared" ref="AV1605" si="644">AK1605*W1605*X1605*Z1604*AA1605*AB1604</f>
        <v>3.8913163540155393</v>
      </c>
      <c r="AW1605" s="12">
        <f t="shared" ref="AW1605" si="645">AV1604</f>
        <v>2.5658592846591817</v>
      </c>
      <c r="AX1605" s="8">
        <f t="shared" si="588"/>
        <v>0.26049732432433359</v>
      </c>
      <c r="AY1605" s="8">
        <f t="shared" si="589"/>
        <v>-0.18414071534080811</v>
      </c>
      <c r="AZ1605" s="8">
        <f t="shared" si="590"/>
        <v>7.6356608983525476E-2</v>
      </c>
      <c r="BA1605" s="8">
        <f t="shared" si="591"/>
        <v>0.4446380396651417</v>
      </c>
      <c r="BB1605" s="62">
        <f t="shared" si="592"/>
        <v>-246</v>
      </c>
      <c r="BC1605" s="21">
        <f t="shared" si="593"/>
        <v>173</v>
      </c>
      <c r="BD1605" s="21">
        <f t="shared" si="594"/>
        <v>141</v>
      </c>
      <c r="BE1605" s="21">
        <f t="shared" si="595"/>
        <v>107</v>
      </c>
      <c r="BF1605" s="94">
        <f t="shared" si="57"/>
        <v>0.71082494866661117</v>
      </c>
      <c r="BG1605" s="22">
        <f t="shared" ref="BG1605" si="646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0.36679608803568375</v>
      </c>
      <c r="BH1605" s="22">
        <f t="shared" ref="BH1605" si="647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0.4149718322987625</v>
      </c>
      <c r="BI1605" s="22">
        <f t="shared" ref="BI1605" si="648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0.48289943230485988</v>
      </c>
      <c r="BJ1605" s="21">
        <f t="shared" si="597"/>
        <v>-228</v>
      </c>
      <c r="BK1605" s="21">
        <f t="shared" si="598"/>
        <v>171</v>
      </c>
      <c r="BL1605" s="21">
        <f t="shared" si="599"/>
        <v>140</v>
      </c>
      <c r="BM1605" s="21">
        <f t="shared" si="600"/>
        <v>106</v>
      </c>
      <c r="BN1605" s="22">
        <f t="shared" si="61"/>
        <v>0.6948471330521766</v>
      </c>
      <c r="BO1605" s="22">
        <f t="shared" ref="BO1605" si="649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0.36889929839903157</v>
      </c>
      <c r="BP1605" s="22">
        <f t="shared" ref="BP1605" si="650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0.41702825532899546</v>
      </c>
      <c r="BQ1605" s="22">
        <f t="shared" ref="BQ1605" si="651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0.48430276703887504</v>
      </c>
      <c r="BR1605">
        <v>3.75</v>
      </c>
      <c r="BS1605">
        <v>3.85</v>
      </c>
      <c r="BT1605">
        <v>0.48299999999999998</v>
      </c>
      <c r="BU1605">
        <v>0.22427</v>
      </c>
      <c r="BV1605">
        <v>0.246977071999647</v>
      </c>
      <c r="BW1605">
        <v>0.31620999999999999</v>
      </c>
    </row>
    <row r="1606" spans="1:75" ht="16.75" customHeight="1" x14ac:dyDescent="0.2">
      <c r="A1606" t="str">
        <f t="shared" si="536"/>
        <v>2025020772 PIT</v>
      </c>
      <c r="B1606">
        <v>2025020772</v>
      </c>
      <c r="C1606" s="1">
        <v>46041</v>
      </c>
      <c r="D1606" s="2" t="s">
        <v>6</v>
      </c>
      <c r="E1606" t="s">
        <v>21</v>
      </c>
      <c r="F1606" s="2">
        <v>1</v>
      </c>
      <c r="G1606" s="2">
        <v>1</v>
      </c>
      <c r="H1606" t="s">
        <v>46</v>
      </c>
      <c r="I1606" t="str">
        <f t="shared" si="176"/>
        <v>PIT Stuart Skinner</v>
      </c>
      <c r="J1606" s="33" t="s">
        <v>163</v>
      </c>
      <c r="K1606" s="14">
        <v>2.96</v>
      </c>
      <c r="L1606" s="13">
        <v>0.15</v>
      </c>
      <c r="M1606" s="28">
        <v>0.1</v>
      </c>
      <c r="N1606">
        <f>IFERROR(_xlfn.XLOOKUP(A1606,Params!A:A,Params!D:D),0)</f>
        <v>3.0499999999999901</v>
      </c>
      <c r="O1606">
        <f t="shared" ref="O1606" si="652">N1607</f>
        <v>2.7999999999999901</v>
      </c>
      <c r="P1606" s="68">
        <f t="shared" si="572"/>
        <v>3.0499999999999901</v>
      </c>
      <c r="Q1606">
        <f t="shared" ref="Q1606" si="653">P1607</f>
        <v>2.7999999999999901</v>
      </c>
      <c r="R1606" s="5">
        <f t="shared" ref="R1606" si="654">N1606/W1606/X1606/Z1607/AB1607/AA1606</f>
        <v>3.0182137937892595</v>
      </c>
      <c r="S1606" s="5">
        <f t="shared" ref="S1606" si="655">O1606/W1607/Y1606/Z1606/AA1607/AB1606</f>
        <v>2.9009728046822225</v>
      </c>
      <c r="T1606" s="5">
        <f t="shared" ref="T1606" si="656">P1606/W1606/X1606/Z1607/AB1607</f>
        <v>3.0182137937892595</v>
      </c>
      <c r="U1606" s="5">
        <f t="shared" ref="U1606" si="657">Q1606/W1607/Y1606/Z1606/AA1607</f>
        <v>2.9734971247992776</v>
      </c>
      <c r="V1606" s="5">
        <f>_xlfn.XLOOKUP(H1606,'Rest - Home'!A:A,'Rest - Home'!B:B)</f>
        <v>0.95</v>
      </c>
      <c r="W1606" s="5">
        <f>_xlfn.XLOOKUP(H1606,'Rest - Home'!A:A,'Rest - Home'!C:C)</f>
        <v>0.95302926576458757</v>
      </c>
      <c r="X1606" s="5">
        <f t="shared" ref="X1606" si="658">AM1607/K1606</f>
        <v>1.0603362342314224</v>
      </c>
      <c r="Y1606" s="5">
        <f t="shared" ref="Y1606" si="659">AK1607/K1606</f>
        <v>0.92054792379286388</v>
      </c>
      <c r="Z1606" s="5">
        <f>IF(J1606="",1,(_xlfn.XLOOKUP(I1606,Goalies!B:B,Goalies!J:J)))</f>
        <v>0.97499999999999998</v>
      </c>
      <c r="AA1606" s="23">
        <v>1</v>
      </c>
      <c r="AB1606" s="23">
        <v>1.0249999999999999</v>
      </c>
      <c r="AC1606" s="23">
        <f>_xlfn.XLOOKUP(E1606,'Game Adjustments'!A:A,'Game Adjustments'!B:B)</f>
        <v>1</v>
      </c>
      <c r="AD1606" s="23">
        <f>_xlfn.XLOOKUP(E1606,'Game Adjustments'!A:A,'Game Adjustments'!C:C)</f>
        <v>1</v>
      </c>
      <c r="AE1606" s="23">
        <f>IF(D1606="A",_xlfn.XLOOKUP(E1606,'Rest - Home'!F:F,'Rest - Home'!J:J),_xlfn.XLOOKUP(E1606,'Rest - Home'!F:F,'Rest - Home'!I:I))</f>
        <v>1</v>
      </c>
      <c r="AF1606" s="23">
        <f>IF(D1606="A",_xlfn.XLOOKUP(E1606,'Rest - Home'!F:F,'Rest - Home'!L:L),_xlfn.XLOOKUP(E1606,'Rest - Home'!F:F,'Rest - Home'!K:K))</f>
        <v>1</v>
      </c>
      <c r="AG1606" s="26">
        <v>1</v>
      </c>
      <c r="AH1606" s="26">
        <v>1</v>
      </c>
      <c r="AI1606" s="53" cm="1">
        <f t="array" ref="AI1606">MAX(IF($E$63:E1605=E1606,ROW($E$63:E1605)-MIN(ROW($E$63:E1605))+1))</f>
        <v>1519</v>
      </c>
      <c r="AJ1606" s="53" cm="1">
        <f t="array" ref="AJ1606">MAX(IF($I$105:I1605=I1606,ROW($I$105:I1605)-MIN(ROW($I$105:I1605))+1))</f>
        <v>1439</v>
      </c>
      <c r="AK1606" s="23">
        <f>IF(AI1606=0,_xlfn.XLOOKUP(E1606,'Starting GF'!A:A,'Starting GF'!B:B),INDEX($AL$63:$AL1606,AI1606))</f>
        <v>2.98</v>
      </c>
      <c r="AL1606" s="23">
        <v>3</v>
      </c>
      <c r="AM1606" s="23">
        <f>IF(AI1606=0,_xlfn.XLOOKUP(E1606,'Starting GF'!A:A,'Starting GF'!C:C),INDEX($AN$63:$AN1606,AI1606))</f>
        <v>3.21</v>
      </c>
      <c r="AN1606" s="23">
        <v>3.18</v>
      </c>
      <c r="AO1606" s="23">
        <f>IF(AJ1606=0,_xlfn.XLOOKUP(I1606,Goalies!B:B,Goalies!I:I),INDEX($AP$105:$AP1606,AJ1606))</f>
        <v>3.1074009117863435</v>
      </c>
      <c r="AP1606" s="23">
        <f t="shared" si="582"/>
        <v>3.065558047703167</v>
      </c>
      <c r="AQ1606" s="23">
        <f t="shared" si="583"/>
        <v>3.12975</v>
      </c>
      <c r="AR1606" s="66">
        <v>0.05</v>
      </c>
      <c r="AS1606" s="96" t="s">
        <v>1594</v>
      </c>
      <c r="AT1606" s="20">
        <f t="shared" ref="AT1606" si="660">(AK1606*V1606*X1606*Z1607*AA1606*AB1607*AC1606*AD1607*AG1606*AH1607)+AR1606</f>
        <v>3.0518118791091569</v>
      </c>
      <c r="AU1606" s="20">
        <f t="shared" ref="AU1606" si="661">AT1607</f>
        <v>3.0448613614359266</v>
      </c>
      <c r="AV1606" s="12">
        <f t="shared" ref="AV1606" si="662">AK1606*V1606*X1606*Z1607*AA1606*AB1607</f>
        <v>3.001811879109157</v>
      </c>
      <c r="AW1606" s="12">
        <f t="shared" ref="AW1606" si="663">AV1607</f>
        <v>3.0982710301500149</v>
      </c>
      <c r="AX1606" s="8">
        <f t="shared" si="588"/>
        <v>1.8118791091668029E-3</v>
      </c>
      <c r="AY1606" s="8">
        <f t="shared" si="589"/>
        <v>0.24486136143593651</v>
      </c>
      <c r="AZ1606" s="8">
        <f t="shared" si="590"/>
        <v>0.24667324054510331</v>
      </c>
      <c r="BA1606" s="8">
        <f t="shared" si="591"/>
        <v>-0.24304948232676971</v>
      </c>
      <c r="BB1606" s="62">
        <f t="shared" si="592"/>
        <v>-102</v>
      </c>
      <c r="BC1606" s="21">
        <f t="shared" si="593"/>
        <v>-136</v>
      </c>
      <c r="BD1606" s="21">
        <f t="shared" si="594"/>
        <v>-109</v>
      </c>
      <c r="BE1606" s="21">
        <f t="shared" si="595"/>
        <v>116</v>
      </c>
      <c r="BF1606" s="94">
        <f t="shared" ref="BF1606" si="664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IF(AT1606&gt;AT1607, 1-_xlpm.interp, _xlpm.interp)
)</f>
        <v>0.50558467444009292</v>
      </c>
      <c r="BG1606" s="22">
        <f t="shared" si="550"/>
        <v>0.57633381752463619</v>
      </c>
      <c r="BH1606" s="22">
        <f t="shared" si="550"/>
        <v>0.52229566202006383</v>
      </c>
      <c r="BI1606" s="22">
        <f t="shared" si="550"/>
        <v>0.46321677057979127</v>
      </c>
      <c r="BJ1606" s="21">
        <f t="shared" si="597"/>
        <v>108</v>
      </c>
      <c r="BK1606" s="21">
        <f t="shared" si="598"/>
        <v>-136</v>
      </c>
      <c r="BL1606" s="21">
        <f t="shared" si="599"/>
        <v>-110</v>
      </c>
      <c r="BM1606" s="21">
        <f t="shared" si="600"/>
        <v>116</v>
      </c>
      <c r="BN1606" s="22">
        <f t="shared" ref="BN1606" si="665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IF(AV1606&gt;AV1607, 1-_xlpm.interp, _xlpm.interp)
)</f>
        <v>0.48118811104502501</v>
      </c>
      <c r="BO1606" s="22">
        <f t="shared" si="552"/>
        <v>0.57697372049544571</v>
      </c>
      <c r="BP1606" s="22">
        <f t="shared" si="552"/>
        <v>0.52287217637986427</v>
      </c>
      <c r="BQ1606" s="22">
        <f t="shared" si="552"/>
        <v>0.46358529029371287</v>
      </c>
      <c r="BR1606">
        <v>3.75</v>
      </c>
      <c r="BS1606">
        <v>3.9</v>
      </c>
      <c r="BT1606">
        <v>0.47548000000000001</v>
      </c>
      <c r="BU1606">
        <v>0.22059000000000001</v>
      </c>
      <c r="BV1606">
        <v>0.24237995824634601</v>
      </c>
      <c r="BW1606">
        <v>0.31048999999999999</v>
      </c>
    </row>
    <row r="1607" spans="1:75" ht="16.75" customHeight="1" x14ac:dyDescent="0.2">
      <c r="A1607" t="str">
        <f t="shared" si="536"/>
        <v>2025020772 SEA</v>
      </c>
      <c r="B1607">
        <v>2025020772</v>
      </c>
      <c r="C1607" s="1">
        <v>46041</v>
      </c>
      <c r="D1607" s="2" t="s">
        <v>9</v>
      </c>
      <c r="E1607" t="s">
        <v>13</v>
      </c>
      <c r="F1607" s="2">
        <v>1</v>
      </c>
      <c r="G1607" s="2">
        <v>1</v>
      </c>
      <c r="H1607" t="s">
        <v>47</v>
      </c>
      <c r="I1607" t="str">
        <f t="shared" si="176"/>
        <v>SEA Joey Daccord</v>
      </c>
      <c r="J1607" s="33" t="s">
        <v>184</v>
      </c>
      <c r="K1607" s="14">
        <v>2.96</v>
      </c>
      <c r="L1607" s="13">
        <v>0.15</v>
      </c>
      <c r="M1607" s="28">
        <v>0.1</v>
      </c>
      <c r="N1607">
        <f>IFERROR(_xlfn.XLOOKUP(A1607,Params!A:A,Params!D:D),0)</f>
        <v>2.7999999999999901</v>
      </c>
      <c r="O1607">
        <f t="shared" ref="O1607" si="666">N1606</f>
        <v>3.0499999999999901</v>
      </c>
      <c r="P1607" s="68">
        <f t="shared" si="572"/>
        <v>2.7999999999999901</v>
      </c>
      <c r="Q1607">
        <f t="shared" ref="Q1607" si="667">P1606</f>
        <v>3.0499999999999901</v>
      </c>
      <c r="R1607" s="5">
        <f t="shared" ref="R1607" si="668">N1607/W1607/X1607/Z1606/AB1606/AA1607</f>
        <v>2.4625028340486455</v>
      </c>
      <c r="S1607" s="5">
        <f t="shared" ref="S1607" si="669">O1607/W1606/Y1607/Z1607/AA1606/AB1607</f>
        <v>3.178842780774175</v>
      </c>
      <c r="T1607" s="5">
        <f t="shared" ref="T1607" si="670">P1607/W1607/X1607/Z1606/AB1606</f>
        <v>2.4625028340486455</v>
      </c>
      <c r="U1607" s="5">
        <f t="shared" ref="U1607" si="671">Q1607/W1606/Y1607/Z1607/AA1606</f>
        <v>3.178842780774175</v>
      </c>
      <c r="V1607" s="5">
        <f>_xlfn.XLOOKUP(H1607,'Rest - Home'!A:A,'Rest - Home'!B:B)</f>
        <v>1.048</v>
      </c>
      <c r="W1607" s="5">
        <f>_xlfn.XLOOKUP(H1607,'Rest - Home'!A:A,'Rest - Home'!C:C)</f>
        <v>1.0491546019013618</v>
      </c>
      <c r="X1607" s="5">
        <f t="shared" ref="X1607" si="672">AM1606/K1607</f>
        <v>1.0844594594594594</v>
      </c>
      <c r="Y1607" s="5">
        <f t="shared" ref="Y1607" si="673">AK1606/K1607</f>
        <v>1.0067567567567568</v>
      </c>
      <c r="Z1607" s="5">
        <f>IF(J1607="",1,(_xlfn.XLOOKUP(I1607,Goalies!B:B,Goalies!J:J)))</f>
        <v>1</v>
      </c>
      <c r="AA1607" s="23">
        <v>1</v>
      </c>
      <c r="AB1607" s="23">
        <v>1</v>
      </c>
      <c r="AC1607" s="23">
        <f>_xlfn.XLOOKUP(E1607,'Game Adjustments'!A:A,'Game Adjustments'!B:B)</f>
        <v>1</v>
      </c>
      <c r="AD1607" s="23">
        <f>_xlfn.XLOOKUP(E1607,'Game Adjustments'!A:A,'Game Adjustments'!C:C)</f>
        <v>1</v>
      </c>
      <c r="AE1607" s="23">
        <f>IF(D1607="A",_xlfn.XLOOKUP(E1607,'Rest - Home'!F:F,'Rest - Home'!J:J),_xlfn.XLOOKUP(E1607,'Rest - Home'!F:F,'Rest - Home'!I:I))</f>
        <v>1</v>
      </c>
      <c r="AF1607" s="23">
        <f>IF(D1607="A",_xlfn.XLOOKUP(E1607,'Rest - Home'!F:F,'Rest - Home'!L:L),_xlfn.XLOOKUP(E1607,'Rest - Home'!F:F,'Rest - Home'!K:K))</f>
        <v>1</v>
      </c>
      <c r="AG1607" s="26">
        <v>1</v>
      </c>
      <c r="AH1607" s="26">
        <v>1</v>
      </c>
      <c r="AI1607" s="53" cm="1">
        <f t="array" ref="AI1607">MAX(IF($E$63:E1606=E1607,ROW($E$63:E1606)-MIN(ROW($E$63:E1606))+1))</f>
        <v>1514</v>
      </c>
      <c r="AJ1607" s="53" cm="1">
        <f t="array" ref="AJ1607">MAX(IF($I$105:I1606=I1607,ROW($I$105:I1606)-MIN(ROW($I$105:I1606))+1))</f>
        <v>1442</v>
      </c>
      <c r="AK1607" s="23">
        <f>IF(AI1607=0,_xlfn.XLOOKUP(E1607,'Starting GF'!A:A,'Starting GF'!B:B),INDEX($AL$63:$AL1607,AI1607))</f>
        <v>2.7248218544268772</v>
      </c>
      <c r="AL1607" s="23">
        <v>2.68</v>
      </c>
      <c r="AM1607" s="23">
        <f>IF(AI1607=0,_xlfn.XLOOKUP(E1607,'Starting GF'!A:A,'Starting GF'!C:C),INDEX($AN$63:$AN1607,AI1607))</f>
        <v>3.1385952533250103</v>
      </c>
      <c r="AN1607" s="23">
        <v>3.16</v>
      </c>
      <c r="AO1607" s="23">
        <f>IF(AJ1607=0,_xlfn.XLOOKUP(I1607,Goalies!B:B,Goalies!I:I),INDEX($AP$105:$AP1607,AJ1607))</f>
        <v>3.2049093315995498</v>
      </c>
      <c r="AP1607" s="23">
        <f t="shared" si="582"/>
        <v>3.2009993489757433</v>
      </c>
      <c r="AQ1607" s="23">
        <f t="shared" si="583"/>
        <v>3.1385952533250103</v>
      </c>
      <c r="AR1607" s="66">
        <v>-0.05</v>
      </c>
      <c r="AS1607" s="96" t="s">
        <v>1594</v>
      </c>
      <c r="AT1607" s="20">
        <f t="shared" ref="AT1607" si="674">(AK1607*V1607*X1607*Z1606*AA1607*AB1606*AC1607*AD1606*AG1607*AH1606)+AR1607</f>
        <v>3.0448613614359266</v>
      </c>
      <c r="AU1607" s="20">
        <f t="shared" ref="AU1607" si="675">AT1606</f>
        <v>3.0518118791091569</v>
      </c>
      <c r="AV1607" s="12">
        <f t="shared" ref="AV1607" si="676">AK1607*W1607*X1607*Z1606*AA1607*AB1606</f>
        <v>3.0982710301500149</v>
      </c>
      <c r="AW1607" s="12">
        <f t="shared" ref="AW1607" si="677">AV1606</f>
        <v>3.001811879109157</v>
      </c>
      <c r="AX1607" s="8">
        <f t="shared" si="588"/>
        <v>0.24486136143593651</v>
      </c>
      <c r="AY1607" s="8">
        <f t="shared" si="589"/>
        <v>1.8118791091668029E-3</v>
      </c>
      <c r="AZ1607" s="8">
        <f t="shared" si="590"/>
        <v>0.24667324054510331</v>
      </c>
      <c r="BA1607" s="8">
        <f t="shared" si="591"/>
        <v>0.24304948232676971</v>
      </c>
      <c r="BB1607" s="62">
        <f t="shared" si="592"/>
        <v>102</v>
      </c>
      <c r="BC1607" s="21">
        <f t="shared" si="593"/>
        <v>136</v>
      </c>
      <c r="BD1607" s="21">
        <f t="shared" si="594"/>
        <v>109</v>
      </c>
      <c r="BE1607" s="21">
        <f t="shared" si="595"/>
        <v>-116</v>
      </c>
      <c r="BF1607" s="94">
        <f t="shared" si="57"/>
        <v>0.49441532555990708</v>
      </c>
      <c r="BG1607" s="22">
        <f t="shared" ref="BG1607" si="678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0.42366618247536386</v>
      </c>
      <c r="BH1607" s="22">
        <f t="shared" ref="BH1607" si="679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0.47770433797993622</v>
      </c>
      <c r="BI1607" s="22">
        <f t="shared" ref="BI1607" si="680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0.53678322942020873</v>
      </c>
      <c r="BJ1607" s="21">
        <f t="shared" si="597"/>
        <v>-108</v>
      </c>
      <c r="BK1607" s="21">
        <f t="shared" si="598"/>
        <v>136</v>
      </c>
      <c r="BL1607" s="21">
        <f t="shared" si="599"/>
        <v>110</v>
      </c>
      <c r="BM1607" s="21">
        <f t="shared" si="600"/>
        <v>-116</v>
      </c>
      <c r="BN1607" s="22">
        <f t="shared" si="61"/>
        <v>0.51881188895497499</v>
      </c>
      <c r="BO1607" s="22">
        <f t="shared" ref="BO1607" si="681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0.42302627950455424</v>
      </c>
      <c r="BP1607" s="22">
        <f t="shared" ref="BP1607" si="682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0.47712782362013578</v>
      </c>
      <c r="BQ1607" s="22">
        <f t="shared" ref="BQ1607" si="683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0.53641470970628713</v>
      </c>
      <c r="BR1607">
        <v>3.75</v>
      </c>
      <c r="BS1607">
        <v>3.95</v>
      </c>
      <c r="BT1607">
        <v>0.46859000000000001</v>
      </c>
      <c r="BU1607">
        <v>0.21339</v>
      </c>
      <c r="BV1607">
        <v>0.23440949985170201</v>
      </c>
      <c r="BW1607">
        <v>0.30306</v>
      </c>
    </row>
    <row r="1608" spans="1:75" ht="16.75" customHeight="1" x14ac:dyDescent="0.2">
      <c r="A1608" t="str">
        <f t="shared" si="536"/>
        <v>2025020773 SJS</v>
      </c>
      <c r="B1608">
        <v>2025020773</v>
      </c>
      <c r="C1608" s="1">
        <v>46041</v>
      </c>
      <c r="D1608" s="2" t="s">
        <v>6</v>
      </c>
      <c r="E1608" t="s">
        <v>40</v>
      </c>
      <c r="F1608" s="2">
        <v>2</v>
      </c>
      <c r="G1608" s="2">
        <v>1</v>
      </c>
      <c r="H1608" t="s">
        <v>44</v>
      </c>
      <c r="I1608" t="str">
        <f t="shared" si="176"/>
        <v>SJS Alex Nedeljkovic</v>
      </c>
      <c r="J1608" s="33" t="s">
        <v>182</v>
      </c>
      <c r="K1608" s="14">
        <v>2.96</v>
      </c>
      <c r="L1608" s="13">
        <v>0.15</v>
      </c>
      <c r="M1608" s="28">
        <v>0.1</v>
      </c>
      <c r="N1608">
        <f>IFERROR(_xlfn.XLOOKUP(A1608,Params!A:A,Params!D:D),0)</f>
        <v>2.8499999999999899</v>
      </c>
      <c r="O1608">
        <f t="shared" ref="O1608" si="684">N1609</f>
        <v>3.69999999999999</v>
      </c>
      <c r="P1608" s="68">
        <f t="shared" si="572"/>
        <v>2.8499999999999899</v>
      </c>
      <c r="Q1608">
        <f t="shared" ref="Q1608" si="685">P1609</f>
        <v>3.69999999999999</v>
      </c>
      <c r="R1608" s="5">
        <f t="shared" ref="R1608" si="686">N1608/W1608/X1608/Z1609/AB1609/AA1608</f>
        <v>3.0583484634671354</v>
      </c>
      <c r="S1608" s="5">
        <f t="shared" ref="S1608" si="687">O1608/W1609/Y1608/Z1608/AA1609/AB1608</f>
        <v>3.4410400846744453</v>
      </c>
      <c r="T1608" s="5">
        <f t="shared" ref="T1608" si="688">P1608/W1608/X1608/Z1609/AB1609</f>
        <v>3.0124732365151283</v>
      </c>
      <c r="U1608" s="5">
        <f t="shared" ref="U1608" si="689">Q1608/W1609/Y1608/Z1608/AA1609</f>
        <v>3.4410400846744453</v>
      </c>
      <c r="V1608" s="5">
        <f>_xlfn.XLOOKUP(H1608,'Rest - Home'!A:A,'Rest - Home'!B:B)</f>
        <v>0.96</v>
      </c>
      <c r="W1608" s="5">
        <f>_xlfn.XLOOKUP(H1608,'Rest - Home'!A:A,'Rest - Home'!C:C)</f>
        <v>0.96305398776725637</v>
      </c>
      <c r="X1608" s="5">
        <f t="shared" ref="X1608" si="690">AM1609/K1608</f>
        <v>0.94932432432432434</v>
      </c>
      <c r="Y1608" s="5">
        <f t="shared" ref="Y1608" si="691">AK1609/K1608</f>
        <v>1.0472972972972974</v>
      </c>
      <c r="Z1608" s="5">
        <f>IF(J1608="",1,(_xlfn.XLOOKUP(I1608,Goalies!B:B,Goalies!J:J)))</f>
        <v>1.03</v>
      </c>
      <c r="AA1608" s="23">
        <v>0.98499999999999999</v>
      </c>
      <c r="AB1608" s="23">
        <v>1</v>
      </c>
      <c r="AC1608" s="23">
        <f>_xlfn.XLOOKUP(E1608,'Game Adjustments'!A:A,'Game Adjustments'!B:B)</f>
        <v>1</v>
      </c>
      <c r="AD1608" s="23">
        <f>_xlfn.XLOOKUP(E1608,'Game Adjustments'!A:A,'Game Adjustments'!C:C)</f>
        <v>1</v>
      </c>
      <c r="AE1608" s="23">
        <f>IF(D1608="A",_xlfn.XLOOKUP(E1608,'Rest - Home'!F:F,'Rest - Home'!J:J),_xlfn.XLOOKUP(E1608,'Rest - Home'!F:F,'Rest - Home'!I:I))</f>
        <v>1</v>
      </c>
      <c r="AF1608" s="23">
        <f>IF(D1608="A",_xlfn.XLOOKUP(E1608,'Rest - Home'!F:F,'Rest - Home'!L:L),_xlfn.XLOOKUP(E1608,'Rest - Home'!F:F,'Rest - Home'!K:K))</f>
        <v>1</v>
      </c>
      <c r="AG1608" s="26">
        <v>1</v>
      </c>
      <c r="AH1608" s="26">
        <v>1</v>
      </c>
      <c r="AI1608" s="53" cm="1">
        <f t="array" ref="AI1608">MAX(IF($E$63:E1607=E1608,ROW($E$63:E1607)-MIN(ROW($E$63:E1607))+1))</f>
        <v>1500</v>
      </c>
      <c r="AJ1608" s="53" cm="1">
        <f t="array" ref="AJ1608">MAX(IF($I$105:I1607=I1608,ROW($I$105:I1607)-MIN(ROW($I$105:I1607))+1))</f>
        <v>1440</v>
      </c>
      <c r="AK1608" s="23">
        <f>IF(AI1608=0,_xlfn.XLOOKUP(E1608,'Starting GF'!A:A,'Starting GF'!B:B),INDEX($AL$63:$AL1608,AI1608))</f>
        <v>2.94</v>
      </c>
      <c r="AL1608" s="23">
        <v>2.9750000000000001</v>
      </c>
      <c r="AM1608" s="23">
        <f>IF(AI1608=0,_xlfn.XLOOKUP(E1608,'Starting GF'!A:A,'Starting GF'!C:C),INDEX($AN$63:$AN1608,AI1608))</f>
        <v>3.34</v>
      </c>
      <c r="AN1608" s="23">
        <v>3.34</v>
      </c>
      <c r="AO1608" s="23">
        <f>IF(AJ1608=0,_xlfn.XLOOKUP(I1608,Goalies!B:B,Goalies!I:I),INDEX($AP$105:$AP1608,AJ1608))</f>
        <v>3.4803722076739225</v>
      </c>
      <c r="AP1608" s="23">
        <f t="shared" si="582"/>
        <v>3.4899570696050359</v>
      </c>
      <c r="AQ1608" s="23">
        <f t="shared" si="583"/>
        <v>3.4401999999999999</v>
      </c>
      <c r="AR1608" s="66">
        <v>-7.0000000000000007E-2</v>
      </c>
      <c r="AS1608" s="96" t="s">
        <v>1593</v>
      </c>
      <c r="AT1608" s="20">
        <f t="shared" ref="AT1608" si="692">(AK1608*V1608*X1608*Z1609*AA1608*AB1609*AC1608*AD1609*AG1608*AH1609)+AR1608</f>
        <v>2.6610259251459465</v>
      </c>
      <c r="AU1608" s="20">
        <f t="shared" ref="AU1608" si="693">AT1609</f>
        <v>3.6684985947635131</v>
      </c>
      <c r="AV1608" s="12">
        <f t="shared" ref="AV1608" si="694">AK1608*V1608*X1608*Z1609*AA1608*AB1609</f>
        <v>2.7310259251459463</v>
      </c>
      <c r="AW1608" s="12">
        <f t="shared" ref="AW1608" si="695">AV1609</f>
        <v>3.5913560132703739</v>
      </c>
      <c r="AX1608" s="8">
        <f t="shared" si="588"/>
        <v>-0.18897407485404338</v>
      </c>
      <c r="AY1608" s="8">
        <f t="shared" si="589"/>
        <v>-3.150140523647682E-2</v>
      </c>
      <c r="AZ1608" s="8">
        <f t="shared" si="590"/>
        <v>-0.2204754800905202</v>
      </c>
      <c r="BA1608" s="8">
        <f t="shared" si="591"/>
        <v>-0.15747266961756656</v>
      </c>
      <c r="BB1608" s="62">
        <f t="shared" si="592"/>
        <v>189</v>
      </c>
      <c r="BC1608" s="21">
        <f t="shared" si="593"/>
        <v>-158</v>
      </c>
      <c r="BD1608" s="21">
        <f t="shared" si="594"/>
        <v>-128</v>
      </c>
      <c r="BE1608" s="21">
        <f t="shared" si="595"/>
        <v>101</v>
      </c>
      <c r="BF1608" s="94">
        <f t="shared" ref="BF1608" si="696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IF(AT1608&gt;AT1609, 1-_xlpm.interp, _xlpm.interp)
)</f>
        <v>0.34549128320192563</v>
      </c>
      <c r="BG1608" s="22">
        <f t="shared" si="550"/>
        <v>0.61223650581805589</v>
      </c>
      <c r="BH1608" s="22">
        <f t="shared" si="550"/>
        <v>0.56198431366896062</v>
      </c>
      <c r="BI1608" s="22">
        <f t="shared" si="550"/>
        <v>0.49751121289253153</v>
      </c>
      <c r="BJ1608" s="21">
        <f t="shared" si="597"/>
        <v>174</v>
      </c>
      <c r="BK1608" s="21">
        <f t="shared" si="598"/>
        <v>-157</v>
      </c>
      <c r="BL1608" s="21">
        <f t="shared" si="599"/>
        <v>-127</v>
      </c>
      <c r="BM1608" s="21">
        <f t="shared" si="600"/>
        <v>101</v>
      </c>
      <c r="BN1608" s="22">
        <f t="shared" ref="BN1608" si="697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IF(AV1608&gt;AV1609, 1-_xlpm.interp, _xlpm.interp)
)</f>
        <v>0.36497271681767918</v>
      </c>
      <c r="BO1608" s="22">
        <f t="shared" si="552"/>
        <v>0.61015853031950851</v>
      </c>
      <c r="BP1608" s="22">
        <f t="shared" si="552"/>
        <v>0.56029137885737468</v>
      </c>
      <c r="BQ1608" s="22">
        <f t="shared" si="552"/>
        <v>0.49676404583161382</v>
      </c>
      <c r="BR1608">
        <v>3.75</v>
      </c>
      <c r="BS1608">
        <v>4</v>
      </c>
      <c r="BT1608">
        <v>0.45988000000000001</v>
      </c>
      <c r="BU1608">
        <v>0.21074999999999999</v>
      </c>
      <c r="BV1608">
        <v>0.23130618023772601</v>
      </c>
      <c r="BW1608">
        <v>0.29962</v>
      </c>
    </row>
    <row r="1609" spans="1:75" ht="16.75" customHeight="1" x14ac:dyDescent="0.2">
      <c r="A1609" t="str">
        <f t="shared" si="536"/>
        <v>2025020773 FLA</v>
      </c>
      <c r="B1609">
        <v>2025020773</v>
      </c>
      <c r="C1609" s="1">
        <v>46041</v>
      </c>
      <c r="D1609" s="2" t="s">
        <v>9</v>
      </c>
      <c r="E1609" t="s">
        <v>10</v>
      </c>
      <c r="F1609" s="2">
        <v>1</v>
      </c>
      <c r="G1609" s="2">
        <v>2</v>
      </c>
      <c r="H1609" t="s">
        <v>45</v>
      </c>
      <c r="I1609" t="str">
        <f t="shared" si="176"/>
        <v>FLA Sergei Bobrovsky</v>
      </c>
      <c r="J1609" s="33" t="s">
        <v>165</v>
      </c>
      <c r="K1609" s="14">
        <v>2.96</v>
      </c>
      <c r="L1609" s="13">
        <v>0.15</v>
      </c>
      <c r="M1609" s="28">
        <v>0.1</v>
      </c>
      <c r="N1609">
        <f>IFERROR(_xlfn.XLOOKUP(A1609,Params!A:A,Params!D:D),0)</f>
        <v>3.69999999999999</v>
      </c>
      <c r="O1609">
        <f t="shared" ref="O1609" si="698">N1608</f>
        <v>2.8499999999999899</v>
      </c>
      <c r="P1609" s="68">
        <f t="shared" si="572"/>
        <v>3.69999999999999</v>
      </c>
      <c r="Q1609">
        <f t="shared" ref="Q1609" si="699">P1608</f>
        <v>2.8499999999999899</v>
      </c>
      <c r="R1609" s="5">
        <f t="shared" ref="R1609" si="700">N1609/W1609/X1609/Z1608/AB1608/AA1609</f>
        <v>3.1937797193086177</v>
      </c>
      <c r="S1609" s="5">
        <f t="shared" ref="S1609" si="701">O1609/W1608/Y1609/Z1609/AA1608/AB1609</f>
        <v>2.9231153681437592</v>
      </c>
      <c r="T1609" s="5">
        <f t="shared" ref="T1609" si="702">P1609/W1609/X1609/Z1608/AB1608</f>
        <v>3.0819974291328158</v>
      </c>
      <c r="U1609" s="5">
        <f t="shared" ref="U1609" si="703">Q1609/W1608/Y1609/Z1609/AA1608</f>
        <v>3.0400399828695095</v>
      </c>
      <c r="V1609" s="5">
        <f>_xlfn.XLOOKUP(H1609,'Rest - Home'!A:A,'Rest - Home'!B:B)</f>
        <v>1.0349999999999999</v>
      </c>
      <c r="W1609" s="5">
        <f>_xlfn.XLOOKUP(H1609,'Rest - Home'!A:A,'Rest - Home'!C:C)</f>
        <v>1.0329456510400874</v>
      </c>
      <c r="X1609" s="5">
        <f t="shared" ref="X1609" si="704">AM1608/K1609</f>
        <v>1.1283783783783783</v>
      </c>
      <c r="Y1609" s="5">
        <f t="shared" ref="Y1609" si="705">AK1608/K1609</f>
        <v>0.9932432432432432</v>
      </c>
      <c r="Z1609" s="5">
        <f>IF(J1609="",1,(_xlfn.XLOOKUP(I1609,Goalies!B:B,Goalies!J:J)))</f>
        <v>0.995</v>
      </c>
      <c r="AA1609" s="23">
        <v>0.96499999999999997</v>
      </c>
      <c r="AB1609" s="23">
        <v>1.04</v>
      </c>
      <c r="AC1609" s="23">
        <f>_xlfn.XLOOKUP(E1609,'Game Adjustments'!A:A,'Game Adjustments'!B:B)</f>
        <v>1</v>
      </c>
      <c r="AD1609" s="23">
        <f>_xlfn.XLOOKUP(E1609,'Game Adjustments'!A:A,'Game Adjustments'!C:C)</f>
        <v>1</v>
      </c>
      <c r="AE1609" s="23">
        <f>IF(D1609="A",_xlfn.XLOOKUP(E1609,'Rest - Home'!F:F,'Rest - Home'!J:J),_xlfn.XLOOKUP(E1609,'Rest - Home'!F:F,'Rest - Home'!I:I))</f>
        <v>1</v>
      </c>
      <c r="AF1609" s="23">
        <f>IF(D1609="A",_xlfn.XLOOKUP(E1609,'Rest - Home'!F:F,'Rest - Home'!L:L),_xlfn.XLOOKUP(E1609,'Rest - Home'!F:F,'Rest - Home'!K:K))</f>
        <v>1</v>
      </c>
      <c r="AG1609" s="26">
        <v>1</v>
      </c>
      <c r="AH1609" s="26">
        <v>1</v>
      </c>
      <c r="AI1609" s="53" cm="1">
        <f t="array" ref="AI1609">MAX(IF($E$63:E1608=E1609,ROW($E$63:E1608)-MIN(ROW($E$63:E1608))+1))</f>
        <v>1520</v>
      </c>
      <c r="AJ1609" s="53" cm="1">
        <f t="array" ref="AJ1609">MAX(IF($I$105:I1608=I1609,ROW($I$105:I1608)-MIN(ROW($I$105:I1608))+1))</f>
        <v>1456</v>
      </c>
      <c r="AK1609" s="23">
        <v>3.1</v>
      </c>
      <c r="AL1609" s="23">
        <f t="shared" si="580"/>
        <v>3.1123902235436551</v>
      </c>
      <c r="AM1609" s="23">
        <v>2.81</v>
      </c>
      <c r="AN1609" s="23">
        <f t="shared" si="581"/>
        <v>2.8269673052215638</v>
      </c>
      <c r="AO1609" s="23">
        <f>IF(AJ1609=0,_xlfn.XLOOKUP(I1609,Goalies!B:B,Goalies!I:I),INDEX($AP$105:$AP1609,AJ1609))</f>
        <v>2.7731581608301381</v>
      </c>
      <c r="AP1609" s="23">
        <f t="shared" si="582"/>
        <v>2.7934594054010731</v>
      </c>
      <c r="AQ1609" s="23">
        <f t="shared" si="583"/>
        <v>2.7959499999999999</v>
      </c>
      <c r="AR1609" s="66">
        <v>7.0000000000000007E-2</v>
      </c>
      <c r="AS1609" s="96" t="s">
        <v>1593</v>
      </c>
      <c r="AT1609" s="20">
        <f t="shared" ref="AT1609" si="706">(AK1609*V1609*X1609*Z1608*AA1609*AB1608*AC1609*AD1608*AG1609*AH1608)+AR1609</f>
        <v>3.6684985947635131</v>
      </c>
      <c r="AU1609" s="20">
        <f t="shared" ref="AU1609" si="707">AT1608</f>
        <v>2.6610259251459465</v>
      </c>
      <c r="AV1609" s="12">
        <f t="shared" ref="AV1609" si="708">AK1609*W1609*X1609*Z1608*AA1609*AB1608</f>
        <v>3.5913560132703739</v>
      </c>
      <c r="AW1609" s="12">
        <f t="shared" ref="AW1609" si="709">AV1608</f>
        <v>2.7310259251459463</v>
      </c>
      <c r="AX1609" s="8">
        <f t="shared" si="588"/>
        <v>-3.150140523647682E-2</v>
      </c>
      <c r="AY1609" s="8">
        <f t="shared" si="589"/>
        <v>-0.18897407485404338</v>
      </c>
      <c r="AZ1609" s="8">
        <f t="shared" si="590"/>
        <v>-0.2204754800905202</v>
      </c>
      <c r="BA1609" s="8">
        <f t="shared" si="591"/>
        <v>0.15747266961756656</v>
      </c>
      <c r="BB1609" s="62">
        <f t="shared" si="592"/>
        <v>-189</v>
      </c>
      <c r="BC1609" s="21">
        <f t="shared" si="593"/>
        <v>158</v>
      </c>
      <c r="BD1609" s="21">
        <f t="shared" si="594"/>
        <v>128</v>
      </c>
      <c r="BE1609" s="21">
        <f t="shared" si="595"/>
        <v>-101</v>
      </c>
      <c r="BF1609" s="94">
        <f t="shared" si="57"/>
        <v>0.65450871679807432</v>
      </c>
      <c r="BG1609" s="22">
        <f t="shared" ref="BG1609" si="710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0.38776349418194406</v>
      </c>
      <c r="BH1609" s="22">
        <f t="shared" ref="BH1609" si="711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0.43801568633103938</v>
      </c>
      <c r="BI1609" s="22">
        <f t="shared" ref="BI1609" si="712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0.50248878710746847</v>
      </c>
      <c r="BJ1609" s="21">
        <f t="shared" si="597"/>
        <v>-174</v>
      </c>
      <c r="BK1609" s="21">
        <f t="shared" si="598"/>
        <v>157</v>
      </c>
      <c r="BL1609" s="21">
        <f t="shared" si="599"/>
        <v>127</v>
      </c>
      <c r="BM1609" s="21">
        <f t="shared" si="600"/>
        <v>-101</v>
      </c>
      <c r="BN1609" s="22">
        <f t="shared" si="61"/>
        <v>0.63502728318232082</v>
      </c>
      <c r="BO1609" s="22">
        <f t="shared" ref="BO1609" si="713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0.38984146968049149</v>
      </c>
      <c r="BP1609" s="22">
        <f t="shared" ref="BP1609" si="714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0.43970862114262532</v>
      </c>
      <c r="BQ1609" s="22">
        <f t="shared" ref="BQ1609" si="715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0.50323595416838618</v>
      </c>
      <c r="BR1609">
        <v>3.75</v>
      </c>
      <c r="BS1609">
        <v>4.05</v>
      </c>
      <c r="BT1609">
        <v>0.45401999999999998</v>
      </c>
      <c r="BU1609">
        <v>0.20427999999999999</v>
      </c>
      <c r="BV1609">
        <v>0.223939663016191</v>
      </c>
      <c r="BW1609">
        <v>0.29207</v>
      </c>
    </row>
    <row r="1610" spans="1:75" ht="16.75" customHeight="1" x14ac:dyDescent="0.2">
      <c r="A1610" t="str">
        <f t="shared" si="536"/>
        <v>2025020774 MIN</v>
      </c>
      <c r="B1610">
        <v>2025020774</v>
      </c>
      <c r="C1610" s="1">
        <v>46041</v>
      </c>
      <c r="D1610" s="2" t="s">
        <v>6</v>
      </c>
      <c r="E1610" t="s">
        <v>33</v>
      </c>
      <c r="F1610" s="2">
        <v>1</v>
      </c>
      <c r="G1610" s="2">
        <v>1</v>
      </c>
      <c r="H1610" t="s">
        <v>46</v>
      </c>
      <c r="I1610" t="str">
        <f t="shared" si="176"/>
        <v>MIN Filip Gustavsson</v>
      </c>
      <c r="J1610" s="33" t="s">
        <v>169</v>
      </c>
      <c r="K1610" s="14">
        <v>2.96</v>
      </c>
      <c r="L1610" s="13">
        <v>0.15</v>
      </c>
      <c r="M1610" s="28">
        <v>0.1</v>
      </c>
      <c r="N1610">
        <f>IFERROR(_xlfn.XLOOKUP(A1610,Params!A:A,Params!D:D),0)</f>
        <v>2.9999999999999898</v>
      </c>
      <c r="O1610">
        <f t="shared" ref="O1610" si="716">N1611</f>
        <v>2.94999999999999</v>
      </c>
      <c r="P1610" s="68">
        <f t="shared" si="572"/>
        <v>2.9999999999999898</v>
      </c>
      <c r="Q1610">
        <f t="shared" ref="Q1610" si="717">P1611</f>
        <v>2.94999999999999</v>
      </c>
      <c r="R1610" s="5">
        <f t="shared" ref="R1610" si="718">N1610/W1610/X1610/Z1611/AB1611/AA1610</f>
        <v>3.3710380207999462</v>
      </c>
      <c r="S1610" s="5">
        <f t="shared" ref="S1610" si="719">O1610/W1611/Y1610/Z1610/AA1611/AB1610</f>
        <v>2.75177577906384</v>
      </c>
      <c r="T1610" s="5">
        <f t="shared" ref="T1610" si="720">P1610/W1610/X1610/Z1611/AB1611</f>
        <v>3.1687757395519491</v>
      </c>
      <c r="U1610" s="5">
        <f t="shared" ref="U1610" si="721">Q1610/W1611/Y1610/Z1610/AA1611</f>
        <v>2.8618468102263939</v>
      </c>
      <c r="V1610" s="5">
        <f>_xlfn.XLOOKUP(H1610,'Rest - Home'!A:A,'Rest - Home'!B:B)</f>
        <v>0.95</v>
      </c>
      <c r="W1610" s="5">
        <f>_xlfn.XLOOKUP(H1610,'Rest - Home'!A:A,'Rest - Home'!C:C)</f>
        <v>0.95302926576458757</v>
      </c>
      <c r="X1610" s="5">
        <f t="shared" ref="X1610" si="722">AM1611/K1610</f>
        <v>1.013982372349626</v>
      </c>
      <c r="Y1610" s="5">
        <f t="shared" ref="Y1610" si="723">AK1611/K1610</f>
        <v>1.0337837837837838</v>
      </c>
      <c r="Z1610" s="5">
        <f>IF(J1610="",1,(_xlfn.XLOOKUP(I1610,Goalies!B:B,Goalies!J:J)))</f>
        <v>0.99</v>
      </c>
      <c r="AA1610" s="23">
        <v>0.94</v>
      </c>
      <c r="AB1610" s="23">
        <v>1.04</v>
      </c>
      <c r="AC1610" s="23">
        <f>_xlfn.XLOOKUP(E1610,'Game Adjustments'!A:A,'Game Adjustments'!B:B)</f>
        <v>1</v>
      </c>
      <c r="AD1610" s="23">
        <f>_xlfn.XLOOKUP(E1610,'Game Adjustments'!A:A,'Game Adjustments'!C:C)</f>
        <v>1</v>
      </c>
      <c r="AE1610" s="23">
        <f>IF(D1610="A",_xlfn.XLOOKUP(E1610,'Rest - Home'!F:F,'Rest - Home'!J:J),_xlfn.XLOOKUP(E1610,'Rest - Home'!F:F,'Rest - Home'!I:I))</f>
        <v>1</v>
      </c>
      <c r="AF1610" s="23">
        <f>IF(D1610="A",_xlfn.XLOOKUP(E1610,'Rest - Home'!F:F,'Rest - Home'!L:L),_xlfn.XLOOKUP(E1610,'Rest - Home'!F:F,'Rest - Home'!K:K))</f>
        <v>1</v>
      </c>
      <c r="AG1610" s="26">
        <v>1</v>
      </c>
      <c r="AH1610" s="26">
        <v>1</v>
      </c>
      <c r="AI1610" s="53" cm="1">
        <f t="array" ref="AI1610">MAX(IF($E$63:E1609=E1610,ROW($E$63:E1609)-MIN(ROW($E$63:E1609))+1))</f>
        <v>1508</v>
      </c>
      <c r="AJ1610" s="53" cm="1">
        <f t="array" ref="AJ1610">MAX(IF($I$105:I1609=I1610,ROW($I$105:I1609)-MIN(ROW($I$105:I1609))+1))</f>
        <v>1466</v>
      </c>
      <c r="AK1610" s="23">
        <f>IF(AI1610=0,_xlfn.XLOOKUP(E1610,'Starting GF'!A:A,'Starting GF'!B:B),INDEX($AL$63:$AL1610,AI1610))</f>
        <v>3.13</v>
      </c>
      <c r="AL1610" s="23">
        <f t="shared" si="580"/>
        <v>3.1631217689012718</v>
      </c>
      <c r="AM1610" s="23">
        <f>IF(AI1610=0,_xlfn.XLOOKUP(E1610,'Starting GF'!A:A,'Starting GF'!C:C),INDEX($AN$63:$AN1610,AI1610))</f>
        <v>2.8660711272469657</v>
      </c>
      <c r="AN1610" s="23">
        <f t="shared" si="581"/>
        <v>2.8489268250194968</v>
      </c>
      <c r="AO1610" s="23">
        <f>IF(AJ1610=0,_xlfn.XLOOKUP(I1610,Goalies!B:B,Goalies!I:I),INDEX($AP$105:$AP1610,AJ1610))</f>
        <v>2.8636981161907831</v>
      </c>
      <c r="AP1610" s="23">
        <f t="shared" si="582"/>
        <v>2.8427821019531461</v>
      </c>
      <c r="AQ1610" s="23">
        <f t="shared" si="583"/>
        <v>2.8374104159744959</v>
      </c>
      <c r="AR1610" s="66">
        <v>0.05</v>
      </c>
      <c r="AS1610" s="96" t="s">
        <v>1593</v>
      </c>
      <c r="AT1610" s="20">
        <f t="shared" ref="AT1610" si="724">(AK1610*V1610*X1610*Z1611*AA1610*AB1611*AC1610*AD1611*AG1610*AH1611)+AR1610</f>
        <v>2.8266382977513622</v>
      </c>
      <c r="AU1610" s="20">
        <f t="shared" ref="AU1610" si="725">AT1611</f>
        <v>3.0191472767691363</v>
      </c>
      <c r="AV1610" s="12">
        <f t="shared" ref="AV1610" si="726">AK1610*V1610*X1610*Z1611*AA1610*AB1611</f>
        <v>2.7766382977513624</v>
      </c>
      <c r="AW1610" s="12">
        <f t="shared" ref="AW1610" si="727">AV1611</f>
        <v>3.0725286157780269</v>
      </c>
      <c r="AX1610" s="8">
        <f t="shared" si="588"/>
        <v>-0.17336170224862757</v>
      </c>
      <c r="AY1610" s="8">
        <f t="shared" si="589"/>
        <v>6.9147276769146337E-2</v>
      </c>
      <c r="AZ1610" s="8">
        <f t="shared" si="590"/>
        <v>-0.10421442547948123</v>
      </c>
      <c r="BA1610" s="8">
        <f t="shared" si="591"/>
        <v>-0.24250897901777391</v>
      </c>
      <c r="BB1610" s="62">
        <f t="shared" si="592"/>
        <v>116</v>
      </c>
      <c r="BC1610" s="21">
        <f t="shared" si="593"/>
        <v>-116</v>
      </c>
      <c r="BD1610" s="21">
        <f t="shared" si="594"/>
        <v>110</v>
      </c>
      <c r="BE1610" s="21">
        <f t="shared" si="595"/>
        <v>136</v>
      </c>
      <c r="BF1610" s="94">
        <f t="shared" ref="BF1610" si="728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IF(AT1610&gt;AT1611, 1-_xlpm.interp, _xlpm.interp)
)</f>
        <v>0.46358996894556403</v>
      </c>
      <c r="BG1610" s="22">
        <f t="shared" si="550"/>
        <v>0.53662313769914072</v>
      </c>
      <c r="BH1610" s="22">
        <f t="shared" si="550"/>
        <v>0.47726112085050898</v>
      </c>
      <c r="BI1610" s="22">
        <f t="shared" si="550"/>
        <v>0.42306168080220319</v>
      </c>
      <c r="BJ1610" s="21">
        <f t="shared" si="597"/>
        <v>123</v>
      </c>
      <c r="BK1610" s="21">
        <f t="shared" si="598"/>
        <v>-116</v>
      </c>
      <c r="BL1610" s="21">
        <f t="shared" si="599"/>
        <v>109</v>
      </c>
      <c r="BM1610" s="21">
        <f t="shared" si="600"/>
        <v>136</v>
      </c>
      <c r="BN1610" s="22">
        <f t="shared" ref="BN1610" si="729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IF(AV1610&gt;AV1611, 1-_xlpm.interp, _xlpm.interp)
)</f>
        <v>0.4491259791440716</v>
      </c>
      <c r="BO1610" s="22">
        <f t="shared" si="552"/>
        <v>0.53695953383728323</v>
      </c>
      <c r="BP1610" s="22">
        <f t="shared" si="552"/>
        <v>0.47788438239992259</v>
      </c>
      <c r="BQ1610" s="22">
        <f t="shared" si="552"/>
        <v>0.42381305172445194</v>
      </c>
      <c r="BR1610">
        <v>3.75</v>
      </c>
      <c r="BS1610">
        <v>4.0999999999999996</v>
      </c>
      <c r="BT1610">
        <v>0.44836999999999999</v>
      </c>
      <c r="BU1610">
        <v>0.1981</v>
      </c>
      <c r="BV1610">
        <v>0.21668033907574499</v>
      </c>
      <c r="BW1610">
        <v>0.28384999999999999</v>
      </c>
    </row>
    <row r="1611" spans="1:75" ht="16.75" customHeight="1" x14ac:dyDescent="0.2">
      <c r="A1611" t="str">
        <f t="shared" si="536"/>
        <v>2025020774 TOR</v>
      </c>
      <c r="B1611">
        <v>2025020774</v>
      </c>
      <c r="C1611" s="1">
        <v>46041</v>
      </c>
      <c r="D1611" s="2" t="s">
        <v>9</v>
      </c>
      <c r="E1611" t="s">
        <v>18</v>
      </c>
      <c r="F1611" s="2">
        <v>1</v>
      </c>
      <c r="G1611" s="2">
        <v>1</v>
      </c>
      <c r="H1611" t="s">
        <v>47</v>
      </c>
      <c r="I1611" t="str">
        <f t="shared" si="176"/>
        <v>TOR Joseph Woll</v>
      </c>
      <c r="J1611" s="33" t="s">
        <v>190</v>
      </c>
      <c r="K1611" s="14">
        <v>2.96</v>
      </c>
      <c r="L1611" s="13">
        <v>0.15</v>
      </c>
      <c r="M1611" s="28">
        <v>0.1</v>
      </c>
      <c r="N1611">
        <f>IFERROR(_xlfn.XLOOKUP(A1611,Params!A:A,Params!D:D),0)</f>
        <v>2.94999999999999</v>
      </c>
      <c r="O1611">
        <f t="shared" ref="O1611" si="730">N1610</f>
        <v>2.9999999999999898</v>
      </c>
      <c r="P1611" s="68">
        <f t="shared" si="572"/>
        <v>2.94999999999999</v>
      </c>
      <c r="Q1611">
        <f t="shared" ref="Q1611" si="731">P1610</f>
        <v>2.9999999999999898</v>
      </c>
      <c r="R1611" s="5">
        <f t="shared" ref="R1611" si="732">N1611/W1611/X1611/Z1610/AB1610/AA1611</f>
        <v>2.9379710098205711</v>
      </c>
      <c r="S1611" s="5">
        <f t="shared" ref="S1611" si="733">O1611/W1610/Y1611/Z1611/AA1610/AB1611</f>
        <v>3.2325215538818179</v>
      </c>
      <c r="T1611" s="5">
        <f t="shared" ref="T1611" si="734">P1611/W1611/X1611/Z1610/AB1610</f>
        <v>2.8204521694277482</v>
      </c>
      <c r="U1611" s="5">
        <f t="shared" ref="U1611" si="735">Q1611/W1610/Y1611/Z1611/AA1610</f>
        <v>3.264846769420636</v>
      </c>
      <c r="V1611" s="5">
        <f>_xlfn.XLOOKUP(H1611,'Rest - Home'!A:A,'Rest - Home'!B:B)</f>
        <v>1.048</v>
      </c>
      <c r="W1611" s="5">
        <f>_xlfn.XLOOKUP(H1611,'Rest - Home'!A:A,'Rest - Home'!C:C)</f>
        <v>1.0491546019013618</v>
      </c>
      <c r="X1611" s="5">
        <f t="shared" ref="X1611" si="736">AM1610/K1611</f>
        <v>0.96826727271856949</v>
      </c>
      <c r="Y1611" s="5">
        <f t="shared" ref="Y1611" si="737">AK1610/K1611</f>
        <v>1.0574324324324325</v>
      </c>
      <c r="Z1611" s="5">
        <f>IF(J1611="",1,(_xlfn.XLOOKUP(I1611,Goalies!B:B,Goalies!J:J)))</f>
        <v>0.97</v>
      </c>
      <c r="AA1611" s="23">
        <v>0.96</v>
      </c>
      <c r="AB1611" s="23">
        <v>1.01</v>
      </c>
      <c r="AC1611" s="23">
        <f>_xlfn.XLOOKUP(E1611,'Game Adjustments'!A:A,'Game Adjustments'!B:B)</f>
        <v>1</v>
      </c>
      <c r="AD1611" s="23">
        <f>_xlfn.XLOOKUP(E1611,'Game Adjustments'!A:A,'Game Adjustments'!C:C)</f>
        <v>1</v>
      </c>
      <c r="AE1611" s="23">
        <f>IF(D1611="A",_xlfn.XLOOKUP(E1611,'Rest - Home'!F:F,'Rest - Home'!J:J),_xlfn.XLOOKUP(E1611,'Rest - Home'!F:F,'Rest - Home'!I:I))</f>
        <v>1</v>
      </c>
      <c r="AF1611" s="23">
        <f>IF(D1611="A",_xlfn.XLOOKUP(E1611,'Rest - Home'!F:F,'Rest - Home'!L:L),_xlfn.XLOOKUP(E1611,'Rest - Home'!F:F,'Rest - Home'!K:K))</f>
        <v>1</v>
      </c>
      <c r="AG1611" s="26">
        <v>1</v>
      </c>
      <c r="AH1611" s="26">
        <v>1</v>
      </c>
      <c r="AI1611" s="53" cm="1">
        <f t="array" ref="AI1611">MAX(IF($E$63:E1610=E1611,ROW($E$63:E1610)-MIN(ROW($E$63:E1610))+1))</f>
        <v>1524</v>
      </c>
      <c r="AJ1611" s="53" cm="1">
        <f t="array" ref="AJ1611">MAX(IF($I$105:I1610=I1611,ROW($I$105:I1610)-MIN(ROW($I$105:I1610))+1))</f>
        <v>1454</v>
      </c>
      <c r="AK1611" s="23">
        <f>IF(AI1611=0,_xlfn.XLOOKUP(E1611,'Starting GF'!A:A,'Starting GF'!B:B),INDEX($AL$63:$AL1611,AI1611))</f>
        <v>3.06</v>
      </c>
      <c r="AL1611" s="23">
        <v>3.04</v>
      </c>
      <c r="AM1611" s="23">
        <f>IF(AI1611=0,_xlfn.XLOOKUP(E1611,'Starting GF'!A:A,'Starting GF'!C:C),INDEX($AN$63:$AN1611,AI1611))</f>
        <v>3.0013878221548929</v>
      </c>
      <c r="AN1611" s="23">
        <f t="shared" si="581"/>
        <v>3.0360578819139317</v>
      </c>
      <c r="AO1611" s="23">
        <f>IF(AJ1611=0,_xlfn.XLOOKUP(I1611,Goalies!B:B,Goalies!I:I),INDEX($AP$105:$AP1611,AJ1611))</f>
        <v>3.0124223387862998</v>
      </c>
      <c r="AP1611" s="23">
        <f t="shared" si="582"/>
        <v>3.030890874058159</v>
      </c>
      <c r="AQ1611" s="23">
        <f t="shared" si="583"/>
        <v>2.911346187490246</v>
      </c>
      <c r="AR1611" s="66">
        <v>-0.05</v>
      </c>
      <c r="AS1611" s="96" t="s">
        <v>1593</v>
      </c>
      <c r="AT1611" s="20">
        <f t="shared" ref="AT1611" si="738">(AK1611*V1611*X1611*Z1610*AA1611*AB1610*AC1611*AD1610*AG1611*AH1610)+AR1611</f>
        <v>3.0191472767691363</v>
      </c>
      <c r="AU1611" s="20">
        <f t="shared" ref="AU1611" si="739">AT1610</f>
        <v>2.8266382977513622</v>
      </c>
      <c r="AV1611" s="12">
        <f t="shared" ref="AV1611" si="740">AK1611*W1611*X1611*Z1610*AA1611*AB1610</f>
        <v>3.0725286157780269</v>
      </c>
      <c r="AW1611" s="12">
        <f t="shared" ref="AW1611" si="741">AV1610</f>
        <v>2.7766382977513624</v>
      </c>
      <c r="AX1611" s="8">
        <f t="shared" si="588"/>
        <v>6.9147276769146337E-2</v>
      </c>
      <c r="AY1611" s="8">
        <f t="shared" si="589"/>
        <v>-0.17336170224862757</v>
      </c>
      <c r="AZ1611" s="8">
        <f t="shared" si="590"/>
        <v>-0.10421442547948123</v>
      </c>
      <c r="BA1611" s="8">
        <f t="shared" si="591"/>
        <v>0.24250897901777391</v>
      </c>
      <c r="BB1611" s="62">
        <f t="shared" si="592"/>
        <v>-116</v>
      </c>
      <c r="BC1611" s="21">
        <f t="shared" si="593"/>
        <v>116</v>
      </c>
      <c r="BD1611" s="21">
        <f t="shared" si="594"/>
        <v>-110</v>
      </c>
      <c r="BE1611" s="21">
        <f t="shared" si="595"/>
        <v>-136</v>
      </c>
      <c r="BF1611" s="94">
        <f t="shared" si="57"/>
        <v>0.53641003105443597</v>
      </c>
      <c r="BG1611" s="22">
        <f t="shared" ref="BG1611" si="742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0.46337686230085928</v>
      </c>
      <c r="BH1611" s="22">
        <f t="shared" ref="BH1611" si="743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0.52273887914949102</v>
      </c>
      <c r="BI1611" s="22">
        <f t="shared" ref="BI1611" si="744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0.57693831919779681</v>
      </c>
      <c r="BJ1611" s="21">
        <f t="shared" si="597"/>
        <v>-123</v>
      </c>
      <c r="BK1611" s="21">
        <f t="shared" si="598"/>
        <v>116</v>
      </c>
      <c r="BL1611" s="21">
        <f t="shared" si="599"/>
        <v>-109</v>
      </c>
      <c r="BM1611" s="21">
        <f t="shared" si="600"/>
        <v>-136</v>
      </c>
      <c r="BN1611" s="22">
        <f t="shared" si="61"/>
        <v>0.5508740208559284</v>
      </c>
      <c r="BO1611" s="22">
        <f t="shared" ref="BO1611" si="745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0.46304046616271677</v>
      </c>
      <c r="BP1611" s="22">
        <f t="shared" ref="BP1611" si="746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0.52211561760007741</v>
      </c>
      <c r="BQ1611" s="22">
        <f t="shared" ref="BQ1611" si="747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0.57618694827554806</v>
      </c>
      <c r="BR1611">
        <v>3.75</v>
      </c>
      <c r="BS1611">
        <v>4.1500000000000004</v>
      </c>
      <c r="BT1611">
        <v>0.44098999999999999</v>
      </c>
      <c r="BU1611">
        <v>0.19492999999999999</v>
      </c>
      <c r="BV1611">
        <v>0.213255002352117</v>
      </c>
      <c r="BW1611">
        <v>0.28086</v>
      </c>
    </row>
    <row r="1612" spans="1:75" ht="16.75" customHeight="1" x14ac:dyDescent="0.2">
      <c r="A1612" t="str">
        <f t="shared" si="536"/>
        <v>2025020775 PHI</v>
      </c>
      <c r="B1612">
        <v>2025020775</v>
      </c>
      <c r="C1612" s="1">
        <v>46041</v>
      </c>
      <c r="D1612" s="2" t="s">
        <v>6</v>
      </c>
      <c r="E1612" t="s">
        <v>43</v>
      </c>
      <c r="F1612" s="2">
        <v>1</v>
      </c>
      <c r="G1612" s="2">
        <v>1</v>
      </c>
      <c r="H1612" t="s">
        <v>46</v>
      </c>
      <c r="I1612" t="str">
        <f t="shared" si="176"/>
        <v>PHI Samuel Ersson</v>
      </c>
      <c r="J1612" s="33" t="s">
        <v>231</v>
      </c>
      <c r="K1612" s="14">
        <v>2.96</v>
      </c>
      <c r="L1612" s="13">
        <v>0.15</v>
      </c>
      <c r="M1612" s="28">
        <v>0.1</v>
      </c>
      <c r="N1612">
        <f>IFERROR(_xlfn.XLOOKUP(A1612,Params!A:A,Params!D:D),0)</f>
        <v>2.5499999999999901</v>
      </c>
      <c r="O1612">
        <f t="shared" ref="O1612" si="748">N1613</f>
        <v>3.69999999999999</v>
      </c>
      <c r="P1612" s="68">
        <f t="shared" si="572"/>
        <v>2.5499999999999901</v>
      </c>
      <c r="Q1612">
        <f t="shared" ref="Q1612" si="749">P1613</f>
        <v>3.69999999999999</v>
      </c>
      <c r="R1612" s="5">
        <f t="shared" ref="R1612" si="750">N1612/W1612/X1612/Z1613/AB1613/AA1612</f>
        <v>2.7315673227327695</v>
      </c>
      <c r="S1612" s="5">
        <f t="shared" ref="S1612" si="751">O1612/W1613/Y1612/Z1612/AA1613/AB1612</f>
        <v>3.1490425345289026</v>
      </c>
      <c r="T1612" s="5">
        <f t="shared" ref="T1612" si="752">P1612/W1612/X1612/Z1613/AB1613</f>
        <v>2.7042516495054416</v>
      </c>
      <c r="U1612" s="5">
        <f t="shared" ref="U1612" si="753">Q1612/W1613/Y1612/Z1612/AA1613</f>
        <v>3.2435138105647696</v>
      </c>
      <c r="V1612" s="5">
        <f>_xlfn.XLOOKUP(H1612,'Rest - Home'!A:A,'Rest - Home'!B:B)</f>
        <v>0.95</v>
      </c>
      <c r="W1612" s="5">
        <f>_xlfn.XLOOKUP(H1612,'Rest - Home'!A:A,'Rest - Home'!C:C)</f>
        <v>0.95302926576458757</v>
      </c>
      <c r="X1612" s="5">
        <f t="shared" ref="X1612" si="754">AM1613/K1612</f>
        <v>0.94682681594050688</v>
      </c>
      <c r="Y1612" s="5">
        <f t="shared" ref="Y1612" si="755">AK1613/K1612</f>
        <v>1.0722807950987863</v>
      </c>
      <c r="Z1612" s="5">
        <f>IF(J1612="",1,(_xlfn.XLOOKUP(I1612,Goalies!B:B,Goalies!J:J)))</f>
        <v>1.04</v>
      </c>
      <c r="AA1612" s="23">
        <v>0.99</v>
      </c>
      <c r="AB1612" s="23">
        <v>1.03</v>
      </c>
      <c r="AC1612" s="23">
        <f>_xlfn.XLOOKUP(E1612,'Game Adjustments'!A:A,'Game Adjustments'!B:B)</f>
        <v>1</v>
      </c>
      <c r="AD1612" s="23">
        <f>_xlfn.XLOOKUP(E1612,'Game Adjustments'!A:A,'Game Adjustments'!C:C)</f>
        <v>1</v>
      </c>
      <c r="AE1612" s="23">
        <f>IF(D1612="A",_xlfn.XLOOKUP(E1612,'Rest - Home'!F:F,'Rest - Home'!J:J),_xlfn.XLOOKUP(E1612,'Rest - Home'!F:F,'Rest - Home'!I:I))</f>
        <v>1</v>
      </c>
      <c r="AF1612" s="23">
        <f>IF(D1612="A",_xlfn.XLOOKUP(E1612,'Rest - Home'!F:F,'Rest - Home'!L:L),_xlfn.XLOOKUP(E1612,'Rest - Home'!F:F,'Rest - Home'!K:K))</f>
        <v>1</v>
      </c>
      <c r="AG1612" s="26">
        <v>1</v>
      </c>
      <c r="AH1612" s="26">
        <v>1</v>
      </c>
      <c r="AI1612" s="53" cm="1">
        <f t="array" ref="AI1612">MAX(IF($E$63:E1611=E1612,ROW($E$63:E1611)-MIN(ROW($E$63:E1611))+1))</f>
        <v>1511</v>
      </c>
      <c r="AJ1612" s="53" cm="1">
        <f t="array" ref="AJ1612">MAX(IF($I$105:I1611=I1612,ROW($I$105:I1611)-MIN(ROW($I$105:I1611))+1))</f>
        <v>1438</v>
      </c>
      <c r="AK1612" s="23">
        <f>IF(AI1612=0,_xlfn.XLOOKUP(E1612,'Starting GF'!A:A,'Starting GF'!B:B),INDEX($AL$63:$AL1612,AI1612))</f>
        <v>2.81</v>
      </c>
      <c r="AL1612" s="23">
        <f t="shared" si="580"/>
        <v>2.7978253633115058</v>
      </c>
      <c r="AM1612" s="23">
        <f>IF(AI1612=0,_xlfn.XLOOKUP(E1612,'Starting GF'!A:A,'Starting GF'!C:C),INDEX($AN$63:$AN1612,AI1612))</f>
        <v>3.012078480501863</v>
      </c>
      <c r="AN1612" s="23">
        <v>3.01</v>
      </c>
      <c r="AO1612" s="23">
        <f>IF(AJ1612=0,_xlfn.XLOOKUP(I1612,Goalies!B:B,Goalies!I:I),INDEX($AP$105:$AP1612,AJ1612))</f>
        <v>3.0839400028744555</v>
      </c>
      <c r="AP1612" s="23">
        <f t="shared" si="582"/>
        <v>3.112599637829796</v>
      </c>
      <c r="AQ1612" s="23">
        <f t="shared" si="583"/>
        <v>3.1325616197219377</v>
      </c>
      <c r="AR1612" s="66">
        <v>-2.5000000000000001E-2</v>
      </c>
      <c r="AS1612" s="96" t="s">
        <v>1593</v>
      </c>
      <c r="AT1612" s="20">
        <f t="shared" ref="AT1612" si="756">(AK1612*V1612*X1612*Z1613*AA1612*AB1613*AC1612*AD1613*AG1612*AH1613)+AR1612</f>
        <v>2.5898811822502252</v>
      </c>
      <c r="AU1612" s="20">
        <f t="shared" ref="AU1612" si="757">AT1613</f>
        <v>3.5601778983261219</v>
      </c>
      <c r="AV1612" s="12">
        <f t="shared" ref="AV1612" si="758">AK1612*V1612*X1612*Z1613*AA1612*AB1613</f>
        <v>2.6148811822502251</v>
      </c>
      <c r="AW1612" s="12">
        <f t="shared" ref="AW1612" si="759">AV1613</f>
        <v>3.5390726722985062</v>
      </c>
      <c r="AX1612" s="8">
        <f t="shared" si="588"/>
        <v>3.9881182250235181E-2</v>
      </c>
      <c r="AY1612" s="8">
        <f t="shared" si="589"/>
        <v>-0.1398221016738681</v>
      </c>
      <c r="AZ1612" s="8">
        <f t="shared" si="590"/>
        <v>-9.9940919423632923E-2</v>
      </c>
      <c r="BA1612" s="8">
        <f t="shared" si="591"/>
        <v>0.17970328392410329</v>
      </c>
      <c r="BB1612" s="62">
        <f t="shared" si="592"/>
        <v>186</v>
      </c>
      <c r="BC1612" s="21">
        <f t="shared" si="593"/>
        <v>-141</v>
      </c>
      <c r="BD1612" s="21">
        <f t="shared" si="594"/>
        <v>-113</v>
      </c>
      <c r="BE1612" s="21">
        <f t="shared" si="595"/>
        <v>113</v>
      </c>
      <c r="BF1612" s="94">
        <f t="shared" ref="BF1612" si="760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IF(AT1612&gt;AT1613, 1-_xlpm.interp, _xlpm.interp)
)</f>
        <v>0.34915942863825733</v>
      </c>
      <c r="BG1612" s="22">
        <f t="shared" si="550"/>
        <v>0.5856036530682962</v>
      </c>
      <c r="BH1612" s="22">
        <f t="shared" si="550"/>
        <v>0.53103375472856229</v>
      </c>
      <c r="BI1612" s="22">
        <f t="shared" si="550"/>
        <v>0.46923163043757055</v>
      </c>
      <c r="BJ1612" s="21">
        <f t="shared" si="597"/>
        <v>181</v>
      </c>
      <c r="BK1612" s="21">
        <f t="shared" si="598"/>
        <v>-141</v>
      </c>
      <c r="BL1612" s="21">
        <f t="shared" si="599"/>
        <v>-113</v>
      </c>
      <c r="BM1612" s="21">
        <f t="shared" si="600"/>
        <v>113</v>
      </c>
      <c r="BN1612" s="22">
        <f t="shared" ref="BN1612" si="761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IF(AV1612&gt;AV1613, 1-_xlpm.interp, _xlpm.interp)
)</f>
        <v>0.35542673831938154</v>
      </c>
      <c r="BO1612" s="22">
        <f t="shared" si="552"/>
        <v>0.58520067836594769</v>
      </c>
      <c r="BP1612" s="22">
        <f t="shared" si="552"/>
        <v>0.53079076278051351</v>
      </c>
      <c r="BQ1612" s="22">
        <f t="shared" si="552"/>
        <v>0.46923762863230467</v>
      </c>
      <c r="BR1612">
        <v>3.75</v>
      </c>
      <c r="BS1612">
        <v>4.2</v>
      </c>
      <c r="BT1612">
        <v>0.43584000000000001</v>
      </c>
      <c r="BU1612">
        <v>0.18858</v>
      </c>
      <c r="BV1612">
        <v>0.20640288950911101</v>
      </c>
      <c r="BW1612">
        <v>0.27493000000000001</v>
      </c>
    </row>
    <row r="1613" spans="1:75" ht="16.75" customHeight="1" x14ac:dyDescent="0.2">
      <c r="A1613" t="str">
        <f t="shared" si="536"/>
        <v>2025020775 VGK</v>
      </c>
      <c r="B1613">
        <v>2025020775</v>
      </c>
      <c r="C1613" s="1">
        <v>46041</v>
      </c>
      <c r="D1613" s="2" t="s">
        <v>9</v>
      </c>
      <c r="E1613" t="s">
        <v>25</v>
      </c>
      <c r="F1613" s="2">
        <v>1</v>
      </c>
      <c r="G1613" s="2">
        <v>1</v>
      </c>
      <c r="H1613" t="s">
        <v>47</v>
      </c>
      <c r="I1613" t="str">
        <f t="shared" si="176"/>
        <v>VGK Adin Hill</v>
      </c>
      <c r="J1613" s="33" t="s">
        <v>195</v>
      </c>
      <c r="K1613" s="14">
        <v>2.96</v>
      </c>
      <c r="L1613" s="13">
        <v>0.15</v>
      </c>
      <c r="M1613" s="28">
        <v>0.1</v>
      </c>
      <c r="N1613">
        <f>IFERROR(_xlfn.XLOOKUP(A1613,Params!A:A,Params!D:D),0)</f>
        <v>3.69999999999999</v>
      </c>
      <c r="O1613">
        <f t="shared" ref="O1613" si="762">N1612</f>
        <v>2.5499999999999901</v>
      </c>
      <c r="P1613" s="68">
        <f t="shared" si="572"/>
        <v>3.69999999999999</v>
      </c>
      <c r="Q1613">
        <f t="shared" ref="Q1613" si="763">P1612</f>
        <v>2.5499999999999901</v>
      </c>
      <c r="R1613" s="5">
        <f t="shared" ref="R1613" si="764">N1613/W1613/X1613/Z1612/AB1612/AA1613</f>
        <v>3.3182758183642487</v>
      </c>
      <c r="S1613" s="5">
        <f t="shared" ref="S1613" si="765">O1613/W1612/Y1613/Z1613/AA1612/AB1613</f>
        <v>2.7243810407481139</v>
      </c>
      <c r="T1613" s="5">
        <f t="shared" ref="T1613" si="766">P1613/W1613/X1613/Z1612/AB1612</f>
        <v>3.2353189229051424</v>
      </c>
      <c r="U1613" s="5">
        <f t="shared" ref="U1613" si="767">Q1613/W1612/Y1613/Z1613/AA1612</f>
        <v>2.846978187581779</v>
      </c>
      <c r="V1613" s="5">
        <f>_xlfn.XLOOKUP(H1613,'Rest - Home'!A:A,'Rest - Home'!B:B)</f>
        <v>1.048</v>
      </c>
      <c r="W1613" s="5">
        <f>_xlfn.XLOOKUP(H1613,'Rest - Home'!A:A,'Rest - Home'!C:C)</f>
        <v>1.0491546019013618</v>
      </c>
      <c r="X1613" s="5">
        <f t="shared" ref="X1613" si="768">AM1612/K1613</f>
        <v>1.0175940812506294</v>
      </c>
      <c r="Y1613" s="5">
        <f t="shared" ref="Y1613" si="769">AK1612/K1613</f>
        <v>0.94932432432432434</v>
      </c>
      <c r="Z1613" s="5">
        <f>IF(J1613="",1,(_xlfn.XLOOKUP(I1613,Goalies!B:B,Goalies!J:J)))</f>
        <v>1</v>
      </c>
      <c r="AA1613" s="23">
        <v>0.97499999999999998</v>
      </c>
      <c r="AB1613" s="23">
        <v>1.0449999999999999</v>
      </c>
      <c r="AC1613" s="23">
        <f>_xlfn.XLOOKUP(E1613,'Game Adjustments'!A:A,'Game Adjustments'!B:B)</f>
        <v>1</v>
      </c>
      <c r="AD1613" s="23">
        <f>_xlfn.XLOOKUP(E1613,'Game Adjustments'!A:A,'Game Adjustments'!C:C)</f>
        <v>1</v>
      </c>
      <c r="AE1613" s="23">
        <f>IF(D1613="A",_xlfn.XLOOKUP(E1613,'Rest - Home'!F:F,'Rest - Home'!J:J),_xlfn.XLOOKUP(E1613,'Rest - Home'!F:F,'Rest - Home'!I:I))</f>
        <v>1</v>
      </c>
      <c r="AF1613" s="23">
        <f>IF(D1613="A",_xlfn.XLOOKUP(E1613,'Rest - Home'!F:F,'Rest - Home'!L:L),_xlfn.XLOOKUP(E1613,'Rest - Home'!F:F,'Rest - Home'!K:K))</f>
        <v>1</v>
      </c>
      <c r="AG1613" s="26">
        <v>1</v>
      </c>
      <c r="AH1613" s="26">
        <v>1</v>
      </c>
      <c r="AI1613" s="53" cm="1">
        <f t="array" ref="AI1613">MAX(IF($E$63:E1612=E1613,ROW($E$63:E1612)-MIN(ROW($E$63:E1612))+1))</f>
        <v>1533</v>
      </c>
      <c r="AJ1613" s="53" cm="1">
        <f t="array" ref="AJ1613">MAX(IF($I$105:I1612=I1613,ROW($I$105:I1612)-MIN(ROW($I$105:I1612))+1))</f>
        <v>1455</v>
      </c>
      <c r="AK1613" s="23">
        <f>IF(AI1613=0,_xlfn.XLOOKUP(E1613,'Starting GF'!A:A,'Starting GF'!B:B),INDEX($AL$63:$AL1613,AI1613))</f>
        <v>3.1739511534924074</v>
      </c>
      <c r="AL1613" s="23">
        <v>3.17</v>
      </c>
      <c r="AM1613" s="23">
        <f>IF(AI1613=0,_xlfn.XLOOKUP(E1613,'Starting GF'!A:A,'Starting GF'!C:C),INDEX($AN$63:$AN1613,AI1613))</f>
        <v>2.8026073751839005</v>
      </c>
      <c r="AN1613" s="23">
        <f t="shared" si="581"/>
        <v>2.7908734250185327</v>
      </c>
      <c r="AO1613" s="23">
        <f>IF(AJ1613=0,_xlfn.XLOOKUP(I1613,Goalies!B:B,Goalies!I:I),INDEX($AP$105:$AP1613,AJ1613))</f>
        <v>2.6592461044856237</v>
      </c>
      <c r="AP1613" s="23">
        <f t="shared" si="582"/>
        <v>2.6690163449249975</v>
      </c>
      <c r="AQ1613" s="23">
        <f t="shared" si="583"/>
        <v>2.8026073751839005</v>
      </c>
      <c r="AR1613" s="66">
        <v>2.5000000000000001E-2</v>
      </c>
      <c r="AS1613" s="96" t="s">
        <v>1593</v>
      </c>
      <c r="AT1613" s="20">
        <f t="shared" ref="AT1613" si="770">(AK1613*V1613*X1613*Z1612*AA1613*AB1612*AC1613*AD1612*AG1613*AH1612)+AR1613</f>
        <v>3.5601778983261219</v>
      </c>
      <c r="AU1613" s="20">
        <f t="shared" ref="AU1613" si="771">AT1612</f>
        <v>2.5898811822502252</v>
      </c>
      <c r="AV1613" s="12">
        <f t="shared" ref="AV1613" si="772">AK1613*W1613*X1613*Z1612*AA1613*AB1612</f>
        <v>3.5390726722985062</v>
      </c>
      <c r="AW1613" s="12">
        <f t="shared" ref="AW1613" si="773">AV1612</f>
        <v>2.6148811822502251</v>
      </c>
      <c r="AX1613" s="8">
        <f t="shared" si="588"/>
        <v>-0.1398221016738681</v>
      </c>
      <c r="AY1613" s="8">
        <f t="shared" si="589"/>
        <v>3.9881182250235181E-2</v>
      </c>
      <c r="AZ1613" s="8">
        <f t="shared" si="590"/>
        <v>-9.9940919423632923E-2</v>
      </c>
      <c r="BA1613" s="8">
        <f t="shared" si="591"/>
        <v>-0.17970328392410329</v>
      </c>
      <c r="BB1613" s="62">
        <f t="shared" si="592"/>
        <v>-186</v>
      </c>
      <c r="BC1613" s="21">
        <f t="shared" si="593"/>
        <v>141</v>
      </c>
      <c r="BD1613" s="21">
        <f t="shared" si="594"/>
        <v>113</v>
      </c>
      <c r="BE1613" s="21">
        <f t="shared" si="595"/>
        <v>-113</v>
      </c>
      <c r="BF1613" s="94">
        <f t="shared" si="57"/>
        <v>0.65084057136174267</v>
      </c>
      <c r="BG1613" s="22">
        <f t="shared" ref="BG1613" si="774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0.4143963469317038</v>
      </c>
      <c r="BH1613" s="22">
        <f t="shared" ref="BH1613" si="775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0.46896624527143771</v>
      </c>
      <c r="BI1613" s="22">
        <f t="shared" ref="BI1613" si="776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0.53076836956242945</v>
      </c>
      <c r="BJ1613" s="21">
        <f t="shared" si="597"/>
        <v>-181</v>
      </c>
      <c r="BK1613" s="21">
        <f t="shared" si="598"/>
        <v>141</v>
      </c>
      <c r="BL1613" s="21">
        <f t="shared" si="599"/>
        <v>113</v>
      </c>
      <c r="BM1613" s="21">
        <f t="shared" si="600"/>
        <v>-113</v>
      </c>
      <c r="BN1613" s="22">
        <f t="shared" si="61"/>
        <v>0.64457326168061846</v>
      </c>
      <c r="BO1613" s="22">
        <f t="shared" ref="BO1613" si="777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0.41479932163405231</v>
      </c>
      <c r="BP1613" s="22">
        <f t="shared" ref="BP1613" si="778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0.46920923721948649</v>
      </c>
      <c r="BQ1613" s="22">
        <f t="shared" ref="BQ1613" si="779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0.53076237136769533</v>
      </c>
      <c r="BR1613">
        <v>3.75</v>
      </c>
      <c r="BS1613">
        <v>4.25</v>
      </c>
      <c r="BT1613">
        <v>0.42808000000000002</v>
      </c>
      <c r="BU1613">
        <v>0.18346999999999999</v>
      </c>
      <c r="BV1613">
        <v>0.20029257322518301</v>
      </c>
      <c r="BW1613">
        <v>0.26745999999999998</v>
      </c>
    </row>
    <row r="1614" spans="1:75" ht="16.75" customHeight="1" x14ac:dyDescent="0.2">
      <c r="A1614" t="str">
        <f t="shared" si="536"/>
        <v>2025020776 WPG</v>
      </c>
      <c r="B1614">
        <v>2025020776</v>
      </c>
      <c r="C1614" s="1">
        <v>46041</v>
      </c>
      <c r="D1614" s="2" t="s">
        <v>6</v>
      </c>
      <c r="E1614" t="s">
        <v>16</v>
      </c>
      <c r="F1614" s="2">
        <v>1</v>
      </c>
      <c r="G1614" s="2">
        <v>1</v>
      </c>
      <c r="H1614" t="s">
        <v>46</v>
      </c>
      <c r="I1614" t="str">
        <f t="shared" si="176"/>
        <v>WPG Connor Hellebuyck</v>
      </c>
      <c r="J1614" s="33" t="s">
        <v>199</v>
      </c>
      <c r="K1614" s="14">
        <v>2.96</v>
      </c>
      <c r="L1614" s="13">
        <v>0.15</v>
      </c>
      <c r="M1614" s="28">
        <v>0.1</v>
      </c>
      <c r="N1614">
        <f>IFERROR(_xlfn.XLOOKUP(A1614,Params!A:A,Params!D:D),0)</f>
        <v>3.1499999999999901</v>
      </c>
      <c r="O1614">
        <f t="shared" ref="O1614" si="780">N1615</f>
        <v>2.7499999999999898</v>
      </c>
      <c r="P1614" s="68">
        <f t="shared" si="572"/>
        <v>3.1499999999999901</v>
      </c>
      <c r="Q1614">
        <f t="shared" ref="Q1614" si="781">P1615</f>
        <v>2.7499999999999898</v>
      </c>
      <c r="R1614" s="5">
        <f t="shared" ref="R1614" si="782">N1614/W1614/X1614/Z1615/AB1615/AA1614</f>
        <v>3.0018225515591865</v>
      </c>
      <c r="S1614" s="5">
        <f t="shared" ref="S1614" si="783">O1614/W1615/Y1614/Z1614/AA1615/AB1614</f>
        <v>3.073214676463738</v>
      </c>
      <c r="T1614" s="5">
        <f t="shared" ref="T1614" si="784">P1614/W1614/X1614/Z1615/AB1615</f>
        <v>3.0018225515591865</v>
      </c>
      <c r="U1614" s="5">
        <f t="shared" ref="U1614" si="785">Q1614/W1615/Y1614/Z1614/AA1615</f>
        <v>3.1346789699930127</v>
      </c>
      <c r="V1614" s="5">
        <f>_xlfn.XLOOKUP(H1614,'Rest - Home'!A:A,'Rest - Home'!B:B)</f>
        <v>0.95</v>
      </c>
      <c r="W1614" s="5">
        <f>_xlfn.XLOOKUP(H1614,'Rest - Home'!A:A,'Rest - Home'!C:C)</f>
        <v>0.95302926576458757</v>
      </c>
      <c r="X1614" s="5">
        <f t="shared" ref="X1614" si="786">AM1615/K1614</f>
        <v>1.1469594594594594</v>
      </c>
      <c r="Y1614" s="5">
        <f t="shared" ref="Y1614" si="787">AK1615/K1614</f>
        <v>0.91211419581312225</v>
      </c>
      <c r="Z1614" s="5">
        <f>IF(J1614="",1,(_xlfn.XLOOKUP(I1614,Goalies!B:B,Goalies!J:J)))</f>
        <v>0.96499999999999997</v>
      </c>
      <c r="AA1614" s="23">
        <v>1</v>
      </c>
      <c r="AB1614" s="23">
        <v>1.02</v>
      </c>
      <c r="AC1614" s="23">
        <f>_xlfn.XLOOKUP(E1614,'Game Adjustments'!A:A,'Game Adjustments'!B:B)</f>
        <v>1</v>
      </c>
      <c r="AD1614" s="23">
        <f>_xlfn.XLOOKUP(E1614,'Game Adjustments'!A:A,'Game Adjustments'!C:C)</f>
        <v>1</v>
      </c>
      <c r="AE1614" s="23">
        <f>IF(D1614="A",_xlfn.XLOOKUP(E1614,'Rest - Home'!F:F,'Rest - Home'!J:J),_xlfn.XLOOKUP(E1614,'Rest - Home'!F:F,'Rest - Home'!I:I))</f>
        <v>1</v>
      </c>
      <c r="AF1614" s="23">
        <f>IF(D1614="A",_xlfn.XLOOKUP(E1614,'Rest - Home'!F:F,'Rest - Home'!L:L),_xlfn.XLOOKUP(E1614,'Rest - Home'!F:F,'Rest - Home'!K:K))</f>
        <v>1</v>
      </c>
      <c r="AG1614" s="26">
        <v>1</v>
      </c>
      <c r="AH1614" s="26">
        <v>1</v>
      </c>
      <c r="AI1614" s="53" cm="1">
        <f t="array" ref="AI1614">MAX(IF($E$63:E1613=E1614,ROW($E$63:E1613)-MIN(ROW($E$63:E1613))+1))</f>
        <v>1525</v>
      </c>
      <c r="AJ1614" s="53" cm="1">
        <f t="array" ref="AJ1614">MAX(IF($I$105:I1613=I1614,ROW($I$105:I1613)-MIN(ROW($I$105:I1613))+1))</f>
        <v>1483</v>
      </c>
      <c r="AK1614" s="23">
        <f>IF(AI1614=0,_xlfn.XLOOKUP(E1614,'Starting GF'!A:A,'Starting GF'!B:B),INDEX($AL$63:$AL1614,AI1614))</f>
        <v>2.8713276831948478</v>
      </c>
      <c r="AL1614" s="23">
        <v>2.86</v>
      </c>
      <c r="AM1614" s="23">
        <f>IF(AI1614=0,_xlfn.XLOOKUP(E1614,'Starting GF'!A:A,'Starting GF'!C:C),INDEX($AN$63:$AN1614,AI1614))</f>
        <v>3.0052460743008114</v>
      </c>
      <c r="AN1614" s="23">
        <f t="shared" si="581"/>
        <v>3.01544136462525</v>
      </c>
      <c r="AO1614" s="23">
        <f>IF(AJ1614=0,_xlfn.XLOOKUP(I1614,Goalies!B:B,Goalies!I:I),INDEX($AP$105:$AP1614,AJ1614))</f>
        <v>2.885283136928368</v>
      </c>
      <c r="AP1614" s="23">
        <f t="shared" si="582"/>
        <v>2.8973384908072388</v>
      </c>
      <c r="AQ1614" s="23">
        <f t="shared" si="583"/>
        <v>2.900062461700283</v>
      </c>
      <c r="AR1614" s="66">
        <v>0.03</v>
      </c>
      <c r="AS1614" s="96" t="s">
        <v>1593</v>
      </c>
      <c r="AT1614" s="20">
        <f t="shared" ref="AT1614" si="788">(AK1614*V1614*X1614*Z1615*AA1614*AB1615*AC1614*AD1615*AG1614*AH1615)+AR1614</f>
        <v>3.0334863600727076</v>
      </c>
      <c r="AU1614" s="20">
        <f t="shared" ref="AU1614" si="789">AT1615</f>
        <v>2.6562202984902128</v>
      </c>
      <c r="AV1614" s="12">
        <f t="shared" ref="AV1614" si="790">AK1614*V1614*X1614*Z1615*AA1614*AB1615</f>
        <v>3.0034863600727078</v>
      </c>
      <c r="AW1614" s="12">
        <f t="shared" ref="AW1614" si="791">AV1615</f>
        <v>2.6891797594292517</v>
      </c>
      <c r="AX1614" s="8">
        <f t="shared" si="588"/>
        <v>-0.11651363992728259</v>
      </c>
      <c r="AY1614" s="8">
        <f t="shared" si="589"/>
        <v>-9.3779701509776991E-2</v>
      </c>
      <c r="AZ1614" s="8">
        <f t="shared" si="590"/>
        <v>-0.21029334143705958</v>
      </c>
      <c r="BA1614" s="8">
        <f t="shared" si="591"/>
        <v>-2.2733938417505595E-2</v>
      </c>
      <c r="BB1614" s="62">
        <f t="shared" si="592"/>
        <v>-131</v>
      </c>
      <c r="BC1614" s="21">
        <f t="shared" si="593"/>
        <v>-104</v>
      </c>
      <c r="BD1614" s="21">
        <f t="shared" si="594"/>
        <v>124</v>
      </c>
      <c r="BE1614" s="21">
        <f t="shared" si="595"/>
        <v>152</v>
      </c>
      <c r="BF1614" s="94">
        <f t="shared" ref="BF1614" si="792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IF(AT1614&gt;AT1615, 1-_xlpm.interp, _xlpm.interp)
)</f>
        <v>0.56681220451759695</v>
      </c>
      <c r="BG1614" s="22">
        <f t="shared" si="550"/>
        <v>0.50999242638358178</v>
      </c>
      <c r="BH1614" s="22">
        <f t="shared" si="550"/>
        <v>0.4471416882050695</v>
      </c>
      <c r="BI1614" s="22">
        <f t="shared" si="550"/>
        <v>0.39630773526744001</v>
      </c>
      <c r="BJ1614" s="21">
        <f t="shared" si="597"/>
        <v>-126</v>
      </c>
      <c r="BK1614" s="21">
        <f t="shared" si="598"/>
        <v>-105</v>
      </c>
      <c r="BL1614" s="21">
        <f t="shared" si="599"/>
        <v>123</v>
      </c>
      <c r="BM1614" s="21">
        <f t="shared" si="600"/>
        <v>151</v>
      </c>
      <c r="BN1614" s="22">
        <f t="shared" ref="BN1614" si="793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IF(AV1614&gt;AV1615, 1-_xlpm.interp, _xlpm.interp)
)</f>
        <v>0.55706697766345692</v>
      </c>
      <c r="BO1614" s="22">
        <f t="shared" si="552"/>
        <v>0.51227865049524712</v>
      </c>
      <c r="BP1614" s="22">
        <f t="shared" si="552"/>
        <v>0.44934716936174113</v>
      </c>
      <c r="BQ1614" s="22">
        <f t="shared" si="552"/>
        <v>0.39799011153729524</v>
      </c>
      <c r="BR1614">
        <v>3.75</v>
      </c>
      <c r="BS1614">
        <v>4.3</v>
      </c>
      <c r="BT1614">
        <v>0.42103000000000002</v>
      </c>
      <c r="BU1614">
        <v>0.18371999999999999</v>
      </c>
      <c r="BV1614">
        <v>0.200410157954446</v>
      </c>
      <c r="BW1614">
        <v>0.26700000000000002</v>
      </c>
    </row>
    <row r="1615" spans="1:75" ht="16.75" customHeight="1" x14ac:dyDescent="0.2">
      <c r="A1615" t="str">
        <f t="shared" si="536"/>
        <v>2025020776 CHI</v>
      </c>
      <c r="B1615">
        <v>2025020776</v>
      </c>
      <c r="C1615" s="1">
        <v>46041</v>
      </c>
      <c r="D1615" s="2" t="s">
        <v>9</v>
      </c>
      <c r="E1615" t="s">
        <v>14</v>
      </c>
      <c r="F1615" s="2">
        <v>1</v>
      </c>
      <c r="G1615" s="2">
        <v>1</v>
      </c>
      <c r="H1615" t="s">
        <v>47</v>
      </c>
      <c r="I1615" t="str">
        <f t="shared" si="176"/>
        <v>CHI Spencer Knight</v>
      </c>
      <c r="J1615" s="33" t="s">
        <v>155</v>
      </c>
      <c r="K1615" s="14">
        <v>2.96</v>
      </c>
      <c r="L1615" s="13">
        <v>0.15</v>
      </c>
      <c r="M1615" s="28">
        <v>0.1</v>
      </c>
      <c r="N1615">
        <f>IFERROR(_xlfn.XLOOKUP(A1615,Params!A:A,Params!D:D),0)</f>
        <v>2.7499999999999898</v>
      </c>
      <c r="O1615">
        <f t="shared" ref="O1615" si="794">N1614</f>
        <v>3.1499999999999901</v>
      </c>
      <c r="P1615" s="68">
        <f t="shared" si="572"/>
        <v>2.7499999999999898</v>
      </c>
      <c r="Q1615">
        <f t="shared" ref="Q1615" si="795">P1614</f>
        <v>3.1499999999999901</v>
      </c>
      <c r="R1615" s="5">
        <f t="shared" ref="R1615" si="796">N1615/W1615/X1615/Z1614/AB1614/AA1615</f>
        <v>2.7609197666631915</v>
      </c>
      <c r="S1615" s="5">
        <f t="shared" ref="S1615" si="797">O1615/W1614/Y1615/Z1615/AA1614/AB1615</f>
        <v>3.54929450309342</v>
      </c>
      <c r="T1615" s="5">
        <f t="shared" ref="T1615" si="798">P1615/W1615/X1615/Z1614/AB1614</f>
        <v>2.6228737783300318</v>
      </c>
      <c r="U1615" s="5">
        <f t="shared" ref="U1615" si="799">Q1615/W1614/Y1615/Z1615/AA1614</f>
        <v>3.54929450309342</v>
      </c>
      <c r="V1615" s="5">
        <f>_xlfn.XLOOKUP(H1615,'Rest - Home'!A:A,'Rest - Home'!B:B)</f>
        <v>1.048</v>
      </c>
      <c r="W1615" s="5">
        <f>_xlfn.XLOOKUP(H1615,'Rest - Home'!A:A,'Rest - Home'!C:C)</f>
        <v>1.0491546019013618</v>
      </c>
      <c r="X1615" s="5">
        <f t="shared" ref="X1615" si="800">AM1614/K1615</f>
        <v>1.0152858359124364</v>
      </c>
      <c r="Y1615" s="5">
        <f t="shared" ref="Y1615" si="801">AK1614/K1615</f>
        <v>0.97004313621447558</v>
      </c>
      <c r="Z1615" s="5">
        <f>IF(J1615="",1,(_xlfn.XLOOKUP(I1615,Goalies!B:B,Goalies!J:J)))</f>
        <v>0.96</v>
      </c>
      <c r="AA1615" s="23">
        <v>0.95</v>
      </c>
      <c r="AB1615" s="23">
        <v>1</v>
      </c>
      <c r="AC1615" s="23">
        <f>_xlfn.XLOOKUP(E1615,'Game Adjustments'!A:A,'Game Adjustments'!B:B)</f>
        <v>1</v>
      </c>
      <c r="AD1615" s="23">
        <f>_xlfn.XLOOKUP(E1615,'Game Adjustments'!A:A,'Game Adjustments'!C:C)</f>
        <v>1</v>
      </c>
      <c r="AE1615" s="23">
        <f>IF(D1615="A",_xlfn.XLOOKUP(E1615,'Rest - Home'!F:F,'Rest - Home'!J:J),_xlfn.XLOOKUP(E1615,'Rest - Home'!F:F,'Rest - Home'!I:I))</f>
        <v>1</v>
      </c>
      <c r="AF1615" s="23">
        <f>IF(D1615="A",_xlfn.XLOOKUP(E1615,'Rest - Home'!F:F,'Rest - Home'!L:L),_xlfn.XLOOKUP(E1615,'Rest - Home'!F:F,'Rest - Home'!K:K))</f>
        <v>1</v>
      </c>
      <c r="AG1615" s="26">
        <v>1</v>
      </c>
      <c r="AH1615" s="26">
        <v>1</v>
      </c>
      <c r="AI1615" s="53" cm="1">
        <f t="array" ref="AI1615">MAX(IF($E$63:E1614=E1615,ROW($E$63:E1614)-MIN(ROW($E$63:E1614))+1))</f>
        <v>1527</v>
      </c>
      <c r="AJ1615" s="53" cm="1">
        <f t="array" ref="AJ1615">MAX(IF($I$105:I1614=I1615,ROW($I$105:I1614)-MIN(ROW($I$105:I1614))+1))</f>
        <v>1449</v>
      </c>
      <c r="AK1615" s="23">
        <f>IF(AI1615=0,_xlfn.XLOOKUP(E1615,'Starting GF'!A:A,'Starting GF'!B:B),INDEX($AL$63:$AL1615,AI1615))</f>
        <v>2.6998580196068418</v>
      </c>
      <c r="AL1615" s="23">
        <f t="shared" si="580"/>
        <v>2.7069465918402971</v>
      </c>
      <c r="AM1615" s="23">
        <f>IF(AI1615=0,_xlfn.XLOOKUP(E1615,'Starting GF'!A:A,'Starting GF'!C:C),INDEX($AN$63:$AN1615,AI1615))</f>
        <v>3.395</v>
      </c>
      <c r="AN1615" s="23">
        <v>3.39</v>
      </c>
      <c r="AO1615" s="23">
        <f>IF(AJ1615=0,_xlfn.XLOOKUP(I1615,Goalies!B:B,Goalies!I:I),INDEX($AP$105:$AP1615,AJ1615))</f>
        <v>3.2909810229782552</v>
      </c>
      <c r="AP1615" s="23">
        <f t="shared" si="582"/>
        <v>3.3084322779769697</v>
      </c>
      <c r="AQ1615" s="23">
        <f t="shared" si="583"/>
        <v>3.2591999999999999</v>
      </c>
      <c r="AR1615" s="66">
        <v>-0.03</v>
      </c>
      <c r="AS1615" s="96" t="s">
        <v>1593</v>
      </c>
      <c r="AT1615" s="20">
        <f t="shared" ref="AT1615" si="802">(AK1615*V1615*X1615*Z1614*AA1615*AB1614*AC1615*AD1614*AG1615*AH1614)+AR1615</f>
        <v>2.6562202984902128</v>
      </c>
      <c r="AU1615" s="20">
        <f t="shared" ref="AU1615" si="803">AT1614</f>
        <v>3.0334863600727076</v>
      </c>
      <c r="AV1615" s="12">
        <f t="shared" ref="AV1615" si="804">AK1615*W1615*X1615*Z1614*AA1615*AB1614</f>
        <v>2.6891797594292517</v>
      </c>
      <c r="AW1615" s="12">
        <f t="shared" ref="AW1615" si="805">AV1614</f>
        <v>3.0034863600727078</v>
      </c>
      <c r="AX1615" s="8">
        <f t="shared" si="588"/>
        <v>-9.3779701509776991E-2</v>
      </c>
      <c r="AY1615" s="8">
        <f t="shared" si="589"/>
        <v>-0.11651363992728259</v>
      </c>
      <c r="AZ1615" s="8">
        <f t="shared" si="590"/>
        <v>-0.21029334143705958</v>
      </c>
      <c r="BA1615" s="8">
        <f t="shared" si="591"/>
        <v>2.2733938417505595E-2</v>
      </c>
      <c r="BB1615" s="62">
        <f t="shared" si="592"/>
        <v>131</v>
      </c>
      <c r="BC1615" s="21">
        <f t="shared" si="593"/>
        <v>104</v>
      </c>
      <c r="BD1615" s="21">
        <f t="shared" si="594"/>
        <v>-124</v>
      </c>
      <c r="BE1615" s="21">
        <f t="shared" si="595"/>
        <v>-152</v>
      </c>
      <c r="BF1615" s="94">
        <f t="shared" si="57"/>
        <v>0.43318779548240305</v>
      </c>
      <c r="BG1615" s="22">
        <f t="shared" ref="BG1615" si="806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0.49000757361641822</v>
      </c>
      <c r="BH1615" s="22">
        <f t="shared" ref="BH1615" si="807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0.5528583117949305</v>
      </c>
      <c r="BI1615" s="22">
        <f t="shared" ref="BI1615" si="808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0.60369226473255999</v>
      </c>
      <c r="BJ1615" s="21">
        <f t="shared" si="597"/>
        <v>126</v>
      </c>
      <c r="BK1615" s="21">
        <f t="shared" si="598"/>
        <v>105</v>
      </c>
      <c r="BL1615" s="21">
        <f t="shared" si="599"/>
        <v>-123</v>
      </c>
      <c r="BM1615" s="21">
        <f t="shared" si="600"/>
        <v>-151</v>
      </c>
      <c r="BN1615" s="22">
        <f t="shared" si="61"/>
        <v>0.44293302233654308</v>
      </c>
      <c r="BO1615" s="22">
        <f t="shared" ref="BO1615" si="809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0.48772134950475288</v>
      </c>
      <c r="BP1615" s="22">
        <f t="shared" ref="BP1615" si="810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0.55065283063825887</v>
      </c>
      <c r="BQ1615" s="22">
        <f t="shared" ref="BQ1615" si="811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0.60200988846270476</v>
      </c>
      <c r="BR1615">
        <v>3.75</v>
      </c>
      <c r="BS1615">
        <v>4.3499999999999996</v>
      </c>
      <c r="BT1615">
        <v>0.41309000000000001</v>
      </c>
      <c r="BU1615">
        <v>0.17668</v>
      </c>
      <c r="BV1615">
        <v>0.19220225403594199</v>
      </c>
      <c r="BW1615">
        <v>0.25744</v>
      </c>
    </row>
    <row r="1616" spans="1:75" ht="16.75" customHeight="1" x14ac:dyDescent="0.2">
      <c r="A1616" t="str">
        <f t="shared" si="536"/>
        <v>2025020777 NJD</v>
      </c>
      <c r="B1616">
        <v>2025020777</v>
      </c>
      <c r="C1616" s="1">
        <v>46041</v>
      </c>
      <c r="D1616" s="2" t="s">
        <v>6</v>
      </c>
      <c r="E1616" t="s">
        <v>4</v>
      </c>
      <c r="F1616" s="2">
        <v>1</v>
      </c>
      <c r="G1616" s="2">
        <v>1</v>
      </c>
      <c r="H1616" t="s">
        <v>46</v>
      </c>
      <c r="I1616" t="str">
        <f t="shared" si="176"/>
        <v>NJD Jacob Markstrom</v>
      </c>
      <c r="J1616" s="33" t="s">
        <v>173</v>
      </c>
      <c r="K1616" s="14">
        <v>2.96</v>
      </c>
      <c r="L1616" s="13">
        <v>0.15</v>
      </c>
      <c r="M1616" s="28">
        <v>0.1</v>
      </c>
      <c r="N1616">
        <f>IFERROR(_xlfn.XLOOKUP(A1616,Params!A:A,Params!D:D),0)</f>
        <v>3.0499999999999901</v>
      </c>
      <c r="O1616">
        <f t="shared" ref="O1616" si="812">N1617</f>
        <v>2.8499999999999899</v>
      </c>
      <c r="P1616" s="68">
        <f t="shared" si="572"/>
        <v>3.0499999999999901</v>
      </c>
      <c r="Q1616">
        <f t="shared" ref="Q1616" si="813">P1617</f>
        <v>2.8499999999999899</v>
      </c>
      <c r="R1616" s="5">
        <f t="shared" ref="R1616" si="814">N1616/W1616/X1616/Z1617/AB1617/AA1616</f>
        <v>2.9121777089670218</v>
      </c>
      <c r="S1616" s="5">
        <f t="shared" ref="S1616" si="815">O1616/W1617/Y1616/Z1616/AA1617/AB1616</f>
        <v>2.9110953753139746</v>
      </c>
      <c r="T1616" s="5">
        <f t="shared" ref="T1616" si="816">P1616/W1616/X1616/Z1617/AB1617</f>
        <v>2.8830559318773514</v>
      </c>
      <c r="U1616" s="5">
        <f t="shared" ref="U1616" si="817">Q1616/W1617/Y1616/Z1616/AA1617</f>
        <v>2.9110953753139746</v>
      </c>
      <c r="V1616" s="5">
        <f>_xlfn.XLOOKUP(H1616,'Rest - Home'!A:A,'Rest - Home'!B:B)</f>
        <v>0.95</v>
      </c>
      <c r="W1616" s="5">
        <f>_xlfn.XLOOKUP(H1616,'Rest - Home'!A:A,'Rest - Home'!C:C)</f>
        <v>0.95302926576458757</v>
      </c>
      <c r="X1616" s="5">
        <f t="shared" ref="X1616" si="818">AM1617/K1616</f>
        <v>1.0882792846906115</v>
      </c>
      <c r="Y1616" s="5">
        <f t="shared" ref="Y1616" si="819">AK1617/K1616</f>
        <v>0.93351798264070385</v>
      </c>
      <c r="Z1616" s="5">
        <f>IF(J1616="",1,(_xlfn.XLOOKUP(I1616,Goalies!B:B,Goalies!J:J)))</f>
        <v>1.02</v>
      </c>
      <c r="AA1616" s="23">
        <v>0.99</v>
      </c>
      <c r="AB1616" s="23">
        <v>1</v>
      </c>
      <c r="AC1616" s="23">
        <f>_xlfn.XLOOKUP(E1616,'Game Adjustments'!A:A,'Game Adjustments'!B:B)</f>
        <v>1</v>
      </c>
      <c r="AD1616" s="23">
        <f>_xlfn.XLOOKUP(E1616,'Game Adjustments'!A:A,'Game Adjustments'!C:C)</f>
        <v>1</v>
      </c>
      <c r="AE1616" s="23">
        <f>IF(D1616="A",_xlfn.XLOOKUP(E1616,'Rest - Home'!F:F,'Rest - Home'!J:J),_xlfn.XLOOKUP(E1616,'Rest - Home'!F:F,'Rest - Home'!I:I))</f>
        <v>1</v>
      </c>
      <c r="AF1616" s="23">
        <f>IF(D1616="A",_xlfn.XLOOKUP(E1616,'Rest - Home'!F:F,'Rest - Home'!L:L),_xlfn.XLOOKUP(E1616,'Rest - Home'!F:F,'Rest - Home'!K:K))</f>
        <v>1</v>
      </c>
      <c r="AG1616" s="26">
        <v>1</v>
      </c>
      <c r="AH1616" s="26">
        <v>1</v>
      </c>
      <c r="AI1616" s="53" cm="1">
        <f t="array" ref="AI1616">MAX(IF($E$63:E1615=E1616,ROW($E$63:E1615)-MIN(ROW($E$63:E1615))+1))</f>
        <v>1517</v>
      </c>
      <c r="AJ1616" s="53" cm="1">
        <f t="array" ref="AJ1616">MAX(IF($I$105:I1615=I1616,ROW($I$105:I1615)-MIN(ROW($I$105:I1615))+1))</f>
        <v>1475</v>
      </c>
      <c r="AK1616" s="23">
        <f>IF(AI1616=0,_xlfn.XLOOKUP(E1616,'Starting GF'!A:A,'Starting GF'!B:B),INDEX($AL$63:$AL1616,AI1616))</f>
        <v>2.9493390663816252</v>
      </c>
      <c r="AL1616" s="23">
        <f t="shared" si="580"/>
        <v>2.9433280361130896</v>
      </c>
      <c r="AM1616" s="23">
        <f>IF(AI1616=0,_xlfn.XLOOKUP(E1616,'Starting GF'!A:A,'Starting GF'!C:C),INDEX($AN$63:$AN1616,AI1616))</f>
        <v>2.95</v>
      </c>
      <c r="AN1616" s="23">
        <f t="shared" si="581"/>
        <v>2.9441643062970964</v>
      </c>
      <c r="AO1616" s="23">
        <f>IF(AJ1616=0,_xlfn.XLOOKUP(I1616,Goalies!B:B,Goalies!I:I),INDEX($AP$105:$AP1616,AJ1616))</f>
        <v>2.9922768362945096</v>
      </c>
      <c r="AP1616" s="23">
        <f t="shared" si="582"/>
        <v>2.9888329032733711</v>
      </c>
      <c r="AQ1616" s="23">
        <f t="shared" si="583"/>
        <v>3.0090000000000003</v>
      </c>
      <c r="AR1616" s="66">
        <v>0.06</v>
      </c>
      <c r="AS1616" s="96" t="s">
        <v>1594</v>
      </c>
      <c r="AT1616" s="20">
        <f t="shared" ref="AT1616" si="820">(AK1616*V1616*X1616*Z1617*AA1616*AB1617*AC1616*AD1617*AG1616*AH1617)+AR1616</f>
        <v>3.1391017289124603</v>
      </c>
      <c r="AU1616" s="20">
        <f t="shared" ref="AU1616" si="821">AT1617</f>
        <v>2.8249097694539471</v>
      </c>
      <c r="AV1616" s="12">
        <f t="shared" ref="AV1616" si="822">AK1616*V1616*X1616*Z1617*AA1616*AB1617</f>
        <v>3.0791017289124603</v>
      </c>
      <c r="AW1616" s="12">
        <f t="shared" ref="AW1616" si="823">AV1617</f>
        <v>2.8880881304320667</v>
      </c>
      <c r="AX1616" s="8">
        <f t="shared" si="588"/>
        <v>8.9101728912470257E-2</v>
      </c>
      <c r="AY1616" s="8">
        <f t="shared" si="589"/>
        <v>-2.5090230546042758E-2</v>
      </c>
      <c r="AZ1616" s="8">
        <f t="shared" si="590"/>
        <v>6.4011498366427499E-2</v>
      </c>
      <c r="BA1616" s="8">
        <f t="shared" si="591"/>
        <v>0.11419195945851301</v>
      </c>
      <c r="BB1616" s="62">
        <f t="shared" si="592"/>
        <v>-123</v>
      </c>
      <c r="BC1616" s="21">
        <f t="shared" si="593"/>
        <v>-125</v>
      </c>
      <c r="BD1616" s="21">
        <f t="shared" si="594"/>
        <v>101</v>
      </c>
      <c r="BE1616" s="21">
        <f t="shared" si="595"/>
        <v>127</v>
      </c>
      <c r="BF1616" s="94">
        <f t="shared" ref="BF1616" si="824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IF(AT1616&gt;AT1617, 1-_xlpm.interp, _xlpm.interp)
)</f>
        <v>0.55226026760544755</v>
      </c>
      <c r="BG1616" s="22">
        <f t="shared" si="550"/>
        <v>0.55464462515421553</v>
      </c>
      <c r="BH1616" s="22">
        <f t="shared" si="550"/>
        <v>0.49712154969636646</v>
      </c>
      <c r="BI1616" s="22">
        <f t="shared" si="550"/>
        <v>0.44025608403216987</v>
      </c>
      <c r="BJ1616" s="21">
        <f t="shared" si="597"/>
        <v>-115</v>
      </c>
      <c r="BK1616" s="21">
        <f t="shared" si="598"/>
        <v>-126</v>
      </c>
      <c r="BL1616" s="21">
        <f t="shared" si="599"/>
        <v>100</v>
      </c>
      <c r="BM1616" s="21">
        <f t="shared" si="600"/>
        <v>126</v>
      </c>
      <c r="BN1616" s="22">
        <f t="shared" ref="BN1616" si="825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IF(AV1616&gt;AV1617, 1-_xlpm.interp, _xlpm.interp)
)</f>
        <v>0.53563456086244177</v>
      </c>
      <c r="BO1616" s="22">
        <f t="shared" si="552"/>
        <v>0.55746445044292015</v>
      </c>
      <c r="BP1616" s="22">
        <f t="shared" si="552"/>
        <v>0.49994443171377423</v>
      </c>
      <c r="BQ1616" s="22">
        <f t="shared" si="552"/>
        <v>0.44243011307046975</v>
      </c>
      <c r="BR1616">
        <v>3.75</v>
      </c>
      <c r="BS1616">
        <v>4.4000000000000004</v>
      </c>
      <c r="BT1616">
        <v>0.40810000000000002</v>
      </c>
      <c r="BU1616">
        <v>0.17288000000000001</v>
      </c>
      <c r="BV1616">
        <v>0.18832859461638099</v>
      </c>
      <c r="BW1616">
        <v>0.25491000000000003</v>
      </c>
    </row>
    <row r="1617" spans="1:75" ht="16.75" customHeight="1" x14ac:dyDescent="0.2">
      <c r="A1617" t="str">
        <f t="shared" si="536"/>
        <v>2025020777 CGY</v>
      </c>
      <c r="B1617">
        <v>2025020777</v>
      </c>
      <c r="C1617" s="1">
        <v>46041</v>
      </c>
      <c r="D1617" s="2" t="s">
        <v>9</v>
      </c>
      <c r="E1617" t="s">
        <v>22</v>
      </c>
      <c r="F1617" s="2">
        <v>1</v>
      </c>
      <c r="G1617" s="2">
        <v>1</v>
      </c>
      <c r="H1617" t="s">
        <v>47</v>
      </c>
      <c r="I1617" t="str">
        <f t="shared" si="176"/>
        <v>CGY Devin Cooley</v>
      </c>
      <c r="J1617" s="33" t="s">
        <v>152</v>
      </c>
      <c r="K1617" s="14">
        <v>2.96</v>
      </c>
      <c r="L1617" s="13">
        <v>0.15</v>
      </c>
      <c r="M1617" s="28">
        <v>0.1</v>
      </c>
      <c r="N1617">
        <f>IFERROR(_xlfn.XLOOKUP(A1617,Params!A:A,Params!D:D),0)</f>
        <v>2.8499999999999899</v>
      </c>
      <c r="O1617">
        <f t="shared" ref="O1617" si="826">N1616</f>
        <v>3.0499999999999901</v>
      </c>
      <c r="P1617" s="68">
        <f t="shared" si="572"/>
        <v>2.8499999999999899</v>
      </c>
      <c r="Q1617">
        <f t="shared" ref="Q1617" si="827">P1616</f>
        <v>3.0499999999999901</v>
      </c>
      <c r="R1617" s="5">
        <f t="shared" ref="R1617" si="828">N1617/W1617/X1617/Z1616/AB1616/AA1617</f>
        <v>2.7267719494345219</v>
      </c>
      <c r="S1617" s="5">
        <f t="shared" ref="S1617" si="829">O1617/W1616/Y1617/Z1617/AA1616/AB1617</f>
        <v>3.1807185623348797</v>
      </c>
      <c r="T1617" s="5">
        <f t="shared" ref="T1617" si="830">P1617/W1617/X1617/Z1616/AB1616</f>
        <v>2.6722365104458317</v>
      </c>
      <c r="U1617" s="5">
        <f t="shared" ref="U1617" si="831">Q1617/W1616/Y1617/Z1617/AA1616</f>
        <v>3.1807185623348797</v>
      </c>
      <c r="V1617" s="5">
        <f>_xlfn.XLOOKUP(H1617,'Rest - Home'!A:A,'Rest - Home'!B:B)</f>
        <v>1.048</v>
      </c>
      <c r="W1617" s="5">
        <f>_xlfn.XLOOKUP(H1617,'Rest - Home'!A:A,'Rest - Home'!C:C)</f>
        <v>1.0491546019013618</v>
      </c>
      <c r="X1617" s="5">
        <f t="shared" ref="X1617" si="832">AM1616/K1617</f>
        <v>0.99662162162162171</v>
      </c>
      <c r="Y1617" s="5">
        <f t="shared" ref="Y1617" si="833">AK1616/K1617</f>
        <v>0.99639833323703553</v>
      </c>
      <c r="Z1617" s="5">
        <f>IF(J1617="",1,(_xlfn.XLOOKUP(I1617,Goalies!B:B,Goalies!J:J)))</f>
        <v>1.02</v>
      </c>
      <c r="AA1617" s="23">
        <v>0.98</v>
      </c>
      <c r="AB1617" s="23">
        <v>1</v>
      </c>
      <c r="AC1617" s="23">
        <f>_xlfn.XLOOKUP(E1617,'Game Adjustments'!A:A,'Game Adjustments'!B:B)</f>
        <v>1</v>
      </c>
      <c r="AD1617" s="23">
        <f>_xlfn.XLOOKUP(E1617,'Game Adjustments'!A:A,'Game Adjustments'!C:C)</f>
        <v>1</v>
      </c>
      <c r="AE1617" s="23">
        <f>IF(D1617="A",_xlfn.XLOOKUP(E1617,'Rest - Home'!F:F,'Rest - Home'!J:J),_xlfn.XLOOKUP(E1617,'Rest - Home'!F:F,'Rest - Home'!I:I))</f>
        <v>1</v>
      </c>
      <c r="AF1617" s="23">
        <f>IF(D1617="A",_xlfn.XLOOKUP(E1617,'Rest - Home'!F:F,'Rest - Home'!L:L),_xlfn.XLOOKUP(E1617,'Rest - Home'!F:F,'Rest - Home'!K:K))</f>
        <v>1</v>
      </c>
      <c r="AG1617" s="26">
        <v>1</v>
      </c>
      <c r="AH1617" s="26">
        <v>1</v>
      </c>
      <c r="AI1617" s="53" cm="1">
        <f t="array" ref="AI1617">MAX(IF($E$63:E1616=E1617,ROW($E$63:E1616)-MIN(ROW($E$63:E1616))+1))</f>
        <v>1513</v>
      </c>
      <c r="AJ1617" s="53" cm="1">
        <f t="array" ref="AJ1617">MAX(IF($I$105:I1616=I1617,ROW($I$105:I1616)-MIN(ROW($I$105:I1616))+1))</f>
        <v>1448</v>
      </c>
      <c r="AK1617" s="23">
        <f>IF(AI1617=0,_xlfn.XLOOKUP(E1617,'Starting GF'!A:A,'Starting GF'!B:B),INDEX($AL$63:$AL1617,AI1617))</f>
        <v>2.7632132286164834</v>
      </c>
      <c r="AL1617" s="23">
        <f t="shared" si="580"/>
        <v>2.7569290051543587</v>
      </c>
      <c r="AM1617" s="23">
        <f>IF(AI1617=0,_xlfn.XLOOKUP(E1617,'Starting GF'!A:A,'Starting GF'!C:C),INDEX($AN$63:$AN1617,AI1617))</f>
        <v>3.2213066826842098</v>
      </c>
      <c r="AN1617" s="23">
        <f t="shared" si="581"/>
        <v>3.2152184646318105</v>
      </c>
      <c r="AO1617" s="23">
        <f>IF(AJ1617=0,_xlfn.XLOOKUP(I1617,Goalies!B:B,Goalies!I:I),INDEX($AP$105:$AP1617,AJ1617))</f>
        <v>3.2627223618475951</v>
      </c>
      <c r="AP1617" s="23">
        <f t="shared" si="582"/>
        <v>3.2599639476076927</v>
      </c>
      <c r="AQ1617" s="23">
        <f t="shared" si="583"/>
        <v>3.285732816337894</v>
      </c>
      <c r="AR1617" s="66">
        <v>-0.06</v>
      </c>
      <c r="AS1617" s="96" t="s">
        <v>1594</v>
      </c>
      <c r="AT1617" s="20">
        <f t="shared" ref="AT1617" si="834">(AK1617*V1617*X1617*Z1616*AA1617*AB1616*AC1617*AD1616*AG1617*AH1616)+AR1617</f>
        <v>2.8249097694539471</v>
      </c>
      <c r="AU1617" s="20">
        <f t="shared" ref="AU1617" si="835">AT1616</f>
        <v>3.1391017289124603</v>
      </c>
      <c r="AV1617" s="12">
        <f t="shared" ref="AV1617" si="836">AK1617*W1617*X1617*Z1616*AA1617*AB1616</f>
        <v>2.8880881304320667</v>
      </c>
      <c r="AW1617" s="12">
        <f t="shared" ref="AW1617" si="837">AV1616</f>
        <v>3.0791017289124603</v>
      </c>
      <c r="AX1617" s="8">
        <f t="shared" si="588"/>
        <v>-2.5090230546042758E-2</v>
      </c>
      <c r="AY1617" s="8">
        <f t="shared" si="589"/>
        <v>8.9101728912470257E-2</v>
      </c>
      <c r="AZ1617" s="8">
        <f t="shared" si="590"/>
        <v>6.4011498366427499E-2</v>
      </c>
      <c r="BA1617" s="8">
        <f t="shared" si="591"/>
        <v>-0.11419195945851301</v>
      </c>
      <c r="BB1617" s="62">
        <f t="shared" si="592"/>
        <v>123</v>
      </c>
      <c r="BC1617" s="21">
        <f t="shared" si="593"/>
        <v>125</v>
      </c>
      <c r="BD1617" s="21">
        <f t="shared" si="594"/>
        <v>-101</v>
      </c>
      <c r="BE1617" s="21">
        <f t="shared" si="595"/>
        <v>-127</v>
      </c>
      <c r="BF1617" s="94">
        <f t="shared" si="57"/>
        <v>0.44773973239455245</v>
      </c>
      <c r="BG1617" s="22">
        <f t="shared" ref="BG1617" si="838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0.44535537484578447</v>
      </c>
      <c r="BH1617" s="22">
        <f t="shared" ref="BH1617" si="839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0.50287845030363354</v>
      </c>
      <c r="BI1617" s="22">
        <f t="shared" ref="BI1617" si="840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0.55974391596783013</v>
      </c>
      <c r="BJ1617" s="21">
        <f t="shared" si="597"/>
        <v>115</v>
      </c>
      <c r="BK1617" s="21">
        <f t="shared" si="598"/>
        <v>126</v>
      </c>
      <c r="BL1617" s="21">
        <f t="shared" si="599"/>
        <v>-100</v>
      </c>
      <c r="BM1617" s="21">
        <f t="shared" si="600"/>
        <v>-126</v>
      </c>
      <c r="BN1617" s="22">
        <f t="shared" si="61"/>
        <v>0.46436543913755823</v>
      </c>
      <c r="BO1617" s="22">
        <f t="shared" ref="BO1617" si="841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0.44253554955707985</v>
      </c>
      <c r="BP1617" s="22">
        <f t="shared" ref="BP1617" si="842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0.50005556828622577</v>
      </c>
      <c r="BQ1617" s="22">
        <f t="shared" ref="BQ1617" si="843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0.55756988692953025</v>
      </c>
      <c r="BR1617">
        <v>3.75</v>
      </c>
      <c r="BS1617">
        <v>4.45</v>
      </c>
      <c r="BT1617">
        <v>0.40405999999999997</v>
      </c>
      <c r="BU1617">
        <v>0.17005999999999999</v>
      </c>
      <c r="BV1617">
        <v>0.18457697943235399</v>
      </c>
      <c r="BW1617">
        <v>0.24870999999999999</v>
      </c>
    </row>
    <row r="1618" spans="1:75" ht="16.75" customHeight="1" x14ac:dyDescent="0.2">
      <c r="A1618" t="str">
        <f t="shared" si="536"/>
        <v>2025020778 NYI</v>
      </c>
      <c r="B1618">
        <v>2025020778</v>
      </c>
      <c r="C1618" s="1">
        <v>46041</v>
      </c>
      <c r="D1618" s="2" t="s">
        <v>6</v>
      </c>
      <c r="E1618" t="s">
        <v>37</v>
      </c>
      <c r="F1618" s="2">
        <v>1</v>
      </c>
      <c r="G1618" s="2">
        <v>1</v>
      </c>
      <c r="H1618" t="s">
        <v>46</v>
      </c>
      <c r="I1618" t="str">
        <f t="shared" si="176"/>
        <v>NYI Ilya Sorokin</v>
      </c>
      <c r="J1618" s="33" t="s">
        <v>175</v>
      </c>
      <c r="K1618" s="14">
        <v>2.96</v>
      </c>
      <c r="L1618" s="13">
        <v>0.15</v>
      </c>
      <c r="M1618" s="28">
        <v>0.1</v>
      </c>
      <c r="N1618">
        <f>IFERROR(_xlfn.XLOOKUP(A1618,Params!A:A,Params!D:D),0)</f>
        <v>3.0999999999999899</v>
      </c>
      <c r="O1618">
        <f t="shared" ref="O1618" si="844">N1619</f>
        <v>2.5999999999999899</v>
      </c>
      <c r="P1618" s="68">
        <f t="shared" si="572"/>
        <v>3.0999999999999899</v>
      </c>
      <c r="Q1618">
        <f t="shared" ref="Q1618" si="845">P1619</f>
        <v>2.5999999999999899</v>
      </c>
      <c r="R1618" s="5">
        <f t="shared" ref="R1618" si="846">N1618/W1618/X1618/Z1619/AB1619/AA1618</f>
        <v>3.0277920610068207</v>
      </c>
      <c r="S1618" s="5">
        <f t="shared" ref="S1618" si="847">O1618/W1619/Y1618/Z1618/AA1619/AB1618</f>
        <v>2.821450620541186</v>
      </c>
      <c r="T1618" s="5">
        <f t="shared" ref="T1618" si="848">P1618/W1618/X1618/Z1619/AB1619</f>
        <v>2.8461245373464115</v>
      </c>
      <c r="U1618" s="5">
        <f t="shared" ref="U1618" si="849">Q1618/W1619/Y1618/Z1618/AA1619</f>
        <v>2.849665126746598</v>
      </c>
      <c r="V1618" s="5">
        <f>_xlfn.XLOOKUP(H1618,'Rest - Home'!A:A,'Rest - Home'!B:B)</f>
        <v>0.95</v>
      </c>
      <c r="W1618" s="5">
        <f>_xlfn.XLOOKUP(H1618,'Rest - Home'!A:A,'Rest - Home'!C:C)</f>
        <v>0.95302926576458757</v>
      </c>
      <c r="X1618" s="5">
        <f t="shared" ref="X1618" si="850">AM1619/K1618</f>
        <v>1.0878378378378379</v>
      </c>
      <c r="Y1618" s="5">
        <f t="shared" ref="Y1618" si="851">AK1619/K1618</f>
        <v>0.92905405405405406</v>
      </c>
      <c r="Z1618" s="5">
        <f>IF(J1618="",1,(_xlfn.XLOOKUP(I1618,Goalies!B:B,Goalies!J:J)))</f>
        <v>0.97</v>
      </c>
      <c r="AA1618" s="23">
        <v>0.94</v>
      </c>
      <c r="AB1618" s="23">
        <v>1.01</v>
      </c>
      <c r="AC1618" s="23">
        <f>_xlfn.XLOOKUP(E1618,'Game Adjustments'!A:A,'Game Adjustments'!B:B)</f>
        <v>1</v>
      </c>
      <c r="AD1618" s="23">
        <f>_xlfn.XLOOKUP(E1618,'Game Adjustments'!A:A,'Game Adjustments'!C:C)</f>
        <v>1</v>
      </c>
      <c r="AE1618" s="23">
        <f>IF(D1618="A",_xlfn.XLOOKUP(E1618,'Rest - Home'!F:F,'Rest - Home'!J:J),_xlfn.XLOOKUP(E1618,'Rest - Home'!F:F,'Rest - Home'!I:I))</f>
        <v>1</v>
      </c>
      <c r="AF1618" s="23">
        <f>IF(D1618="A",_xlfn.XLOOKUP(E1618,'Rest - Home'!F:F,'Rest - Home'!L:L),_xlfn.XLOOKUP(E1618,'Rest - Home'!F:F,'Rest - Home'!K:K))</f>
        <v>1</v>
      </c>
      <c r="AG1618" s="26">
        <v>1</v>
      </c>
      <c r="AH1618" s="26">
        <v>1</v>
      </c>
      <c r="AI1618" s="53" cm="1">
        <f t="array" ref="AI1618">MAX(IF($E$63:E1617=E1618,ROW($E$63:E1617)-MIN(ROW($E$63:E1617))+1))</f>
        <v>1512</v>
      </c>
      <c r="AJ1618" s="53" cm="1">
        <f t="array" ref="AJ1618">MAX(IF($I$105:I1617=I1618,ROW($I$105:I1617)-MIN(ROW($I$105:I1617))+1))</f>
        <v>1452</v>
      </c>
      <c r="AK1618" s="23">
        <f>IF(AI1618=0,_xlfn.XLOOKUP(E1618,'Starting GF'!A:A,'Starting GF'!B:B),INDEX($AL$63:$AL1618,AI1618))</f>
        <v>2.88</v>
      </c>
      <c r="AL1618" s="23">
        <f t="shared" si="580"/>
        <v>2.8994437962961168</v>
      </c>
      <c r="AM1618" s="23">
        <f>IF(AI1618=0,_xlfn.XLOOKUP(E1618,'Starting GF'!A:A,'Starting GF'!C:C),INDEX($AN$63:$AN1618,AI1618))</f>
        <v>2.95</v>
      </c>
      <c r="AN1618" s="23">
        <f t="shared" si="581"/>
        <v>2.9307175930811784</v>
      </c>
      <c r="AO1618" s="23">
        <f>IF(AJ1618=0,_xlfn.XLOOKUP(I1618,Goalies!B:B,Goalies!I:I),INDEX($AP$105:$AP1618,AJ1618))</f>
        <v>2.9471943921529959</v>
      </c>
      <c r="AP1618" s="23">
        <f t="shared" si="582"/>
        <v>2.9156362986187889</v>
      </c>
      <c r="AQ1618" s="23">
        <f t="shared" si="583"/>
        <v>2.8614999999999999</v>
      </c>
      <c r="AR1618" s="66">
        <v>0.05</v>
      </c>
      <c r="AS1618" s="96" t="s">
        <v>1593</v>
      </c>
      <c r="AT1618" s="20">
        <f t="shared" ref="AT1618" si="852">(AK1618*V1618*X1618*Z1619*AA1618*AB1619*AC1618*AD1619*AG1618*AH1619)+AR1618</f>
        <v>2.9893107550270268</v>
      </c>
      <c r="AU1618" s="20">
        <f t="shared" ref="AU1618" si="853">AT1619</f>
        <v>2.6654680844425678</v>
      </c>
      <c r="AV1618" s="12">
        <f t="shared" ref="AV1618" si="854">AK1618*V1618*X1618*Z1619*AA1618*AB1619</f>
        <v>2.939310755027027</v>
      </c>
      <c r="AW1618" s="12">
        <f t="shared" ref="AW1618" si="855">AV1619</f>
        <v>2.7184597682339651</v>
      </c>
      <c r="AX1618" s="8">
        <f t="shared" si="588"/>
        <v>-0.11068924497296306</v>
      </c>
      <c r="AY1618" s="8">
        <f t="shared" si="589"/>
        <v>6.5468084442577901E-2</v>
      </c>
      <c r="AZ1618" s="8">
        <f t="shared" si="590"/>
        <v>-4.5221160530385163E-2</v>
      </c>
      <c r="BA1618" s="8">
        <f t="shared" si="591"/>
        <v>-0.17615732941554096</v>
      </c>
      <c r="BB1618" s="62">
        <f t="shared" si="592"/>
        <v>-126</v>
      </c>
      <c r="BC1618" s="21">
        <f t="shared" si="593"/>
        <v>-102</v>
      </c>
      <c r="BD1618" s="21">
        <f t="shared" si="594"/>
        <v>126</v>
      </c>
      <c r="BE1618" s="21">
        <f t="shared" si="595"/>
        <v>155</v>
      </c>
      <c r="BF1618" s="94">
        <f t="shared" ref="BF1618" si="856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IF(AT1618&gt;AT1619, 1-_xlpm.interp, _xlpm.interp)
)</f>
        <v>0.55831309373202564</v>
      </c>
      <c r="BG1618" s="22">
        <f t="shared" si="550"/>
        <v>0.50538998849507655</v>
      </c>
      <c r="BH1618" s="22">
        <f t="shared" si="550"/>
        <v>0.44198498549022247</v>
      </c>
      <c r="BI1618" s="22">
        <f t="shared" si="550"/>
        <v>0.39175983660957103</v>
      </c>
      <c r="BJ1618" s="21">
        <f t="shared" si="597"/>
        <v>-117</v>
      </c>
      <c r="BK1618" s="21">
        <f t="shared" si="598"/>
        <v>-102</v>
      </c>
      <c r="BL1618" s="21">
        <f t="shared" si="599"/>
        <v>126</v>
      </c>
      <c r="BM1618" s="21">
        <f t="shared" si="600"/>
        <v>155</v>
      </c>
      <c r="BN1618" s="22">
        <f t="shared" ref="BN1618" si="857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IF(AV1618&gt;AV1619, 1-_xlpm.interp, _xlpm.interp)
)</f>
        <v>0.53997523064487629</v>
      </c>
      <c r="BO1618" s="22">
        <f t="shared" si="552"/>
        <v>0.50525085797402169</v>
      </c>
      <c r="BP1618" s="22">
        <f t="shared" si="552"/>
        <v>0.44197968045691016</v>
      </c>
      <c r="BQ1618" s="22">
        <f t="shared" si="552"/>
        <v>0.39185930688961512</v>
      </c>
      <c r="BR1618">
        <v>3.75</v>
      </c>
      <c r="BS1618">
        <v>4.5</v>
      </c>
      <c r="BT1618">
        <v>0.39781</v>
      </c>
      <c r="BU1618">
        <v>0.16494</v>
      </c>
      <c r="BV1618">
        <v>0.17920469361147301</v>
      </c>
      <c r="BW1618">
        <v>0.24454000000000001</v>
      </c>
    </row>
    <row r="1619" spans="1:75" ht="16.75" customHeight="1" x14ac:dyDescent="0.2">
      <c r="A1619" t="str">
        <f t="shared" si="536"/>
        <v>2025020778 VAN</v>
      </c>
      <c r="B1619">
        <v>2025020778</v>
      </c>
      <c r="C1619" s="1">
        <v>46041</v>
      </c>
      <c r="D1619" s="2" t="s">
        <v>9</v>
      </c>
      <c r="E1619" t="s">
        <v>23</v>
      </c>
      <c r="F1619" s="2">
        <v>1</v>
      </c>
      <c r="G1619" s="2">
        <v>1</v>
      </c>
      <c r="H1619" t="s">
        <v>47</v>
      </c>
      <c r="I1619" t="str">
        <f t="shared" si="176"/>
        <v>VAN Kevin Lankinen</v>
      </c>
      <c r="J1619" s="33" t="s">
        <v>194</v>
      </c>
      <c r="K1619" s="14">
        <v>2.96</v>
      </c>
      <c r="L1619" s="13">
        <v>0.15</v>
      </c>
      <c r="M1619" s="28">
        <v>0.1</v>
      </c>
      <c r="N1619">
        <f>IFERROR(_xlfn.XLOOKUP(A1619,Params!A:A,Params!D:D),0)</f>
        <v>2.5999999999999899</v>
      </c>
      <c r="O1619">
        <f t="shared" ref="O1619" si="858">N1618</f>
        <v>3.0999999999999899</v>
      </c>
      <c r="P1619" s="68">
        <f t="shared" si="572"/>
        <v>2.5999999999999899</v>
      </c>
      <c r="Q1619">
        <f t="shared" ref="Q1619" si="859">P1618</f>
        <v>3.0999999999999899</v>
      </c>
      <c r="R1619" s="5">
        <f t="shared" ref="R1619" si="860">N1619/W1619/X1619/Z1618/AB1618/AA1619</f>
        <v>2.6301658327078852</v>
      </c>
      <c r="S1619" s="5">
        <f t="shared" ref="S1619" si="861">O1619/W1618/Y1619/Z1619/AA1618/AB1619</f>
        <v>3.3852397348756815</v>
      </c>
      <c r="T1619" s="5">
        <f t="shared" ref="T1619" si="862">P1619/W1619/X1619/Z1618/AB1618</f>
        <v>2.5381100285631093</v>
      </c>
      <c r="U1619" s="5">
        <f t="shared" ref="U1619" si="863">Q1619/W1618/Y1619/Z1619/AA1618</f>
        <v>3.4529445295731951</v>
      </c>
      <c r="V1619" s="5">
        <f>_xlfn.XLOOKUP(H1619,'Rest - Home'!A:A,'Rest - Home'!B:B)</f>
        <v>1.048</v>
      </c>
      <c r="W1619" s="5">
        <f>_xlfn.XLOOKUP(H1619,'Rest - Home'!A:A,'Rest - Home'!C:C)</f>
        <v>1.0491546019013618</v>
      </c>
      <c r="X1619" s="5">
        <f t="shared" ref="X1619" si="864">AM1618/K1619</f>
        <v>0.99662162162162171</v>
      </c>
      <c r="Y1619" s="5">
        <f t="shared" ref="Y1619" si="865">AK1618/K1619</f>
        <v>0.97297297297297292</v>
      </c>
      <c r="Z1619" s="5">
        <f>IF(J1619="",1,(_xlfn.XLOOKUP(I1619,Goalies!B:B,Goalies!J:J)))</f>
        <v>1.03</v>
      </c>
      <c r="AA1619" s="23">
        <v>0.96499999999999997</v>
      </c>
      <c r="AB1619" s="23">
        <v>1.02</v>
      </c>
      <c r="AC1619" s="23">
        <f>_xlfn.XLOOKUP(E1619,'Game Adjustments'!A:A,'Game Adjustments'!B:B)</f>
        <v>1</v>
      </c>
      <c r="AD1619" s="23">
        <f>_xlfn.XLOOKUP(E1619,'Game Adjustments'!A:A,'Game Adjustments'!C:C)</f>
        <v>1</v>
      </c>
      <c r="AE1619" s="23">
        <f>IF(D1619="A",_xlfn.XLOOKUP(E1619,'Rest - Home'!F:F,'Rest - Home'!J:J),_xlfn.XLOOKUP(E1619,'Rest - Home'!F:F,'Rest - Home'!I:I))</f>
        <v>1</v>
      </c>
      <c r="AF1619" s="23">
        <f>IF(D1619="A",_xlfn.XLOOKUP(E1619,'Rest - Home'!F:F,'Rest - Home'!L:L),_xlfn.XLOOKUP(E1619,'Rest - Home'!F:F,'Rest - Home'!K:K))</f>
        <v>1</v>
      </c>
      <c r="AG1619" s="26">
        <v>1</v>
      </c>
      <c r="AH1619" s="26">
        <v>1</v>
      </c>
      <c r="AI1619" s="53" cm="1">
        <f t="array" ref="AI1619">MAX(IF($E$63:E1618=E1619,ROW($E$63:E1618)-MIN(ROW($E$63:E1618))+1))</f>
        <v>1529</v>
      </c>
      <c r="AJ1619" s="53" cm="1">
        <f t="array" ref="AJ1619">MAX(IF($I$105:I1618=I1619,ROW($I$105:I1618)-MIN(ROW($I$105:I1618))+1))</f>
        <v>1444</v>
      </c>
      <c r="AK1619" s="23">
        <f>IF(AI1619=0,_xlfn.XLOOKUP(E1619,'Starting GF'!A:A,'Starting GF'!B:B),INDEX($AL$63:$AL1619,AI1619))</f>
        <v>2.75</v>
      </c>
      <c r="AL1619" s="23">
        <f t="shared" si="580"/>
        <v>2.7306440378440109</v>
      </c>
      <c r="AM1619" s="23">
        <f>IF(AI1619=0,_xlfn.XLOOKUP(E1619,'Starting GF'!A:A,'Starting GF'!C:C),INDEX($AN$63:$AN1619,AI1619))</f>
        <v>3.22</v>
      </c>
      <c r="AN1619" s="23">
        <f t="shared" si="581"/>
        <v>3.2447859602313525</v>
      </c>
      <c r="AO1619" s="23">
        <f>IF(AJ1619=0,_xlfn.XLOOKUP(I1619,Goalies!B:B,Goalies!I:I),INDEX($AP$105:$AP1619,AJ1619))</f>
        <v>3.2962113900276835</v>
      </c>
      <c r="AP1619" s="23">
        <f t="shared" si="582"/>
        <v>3.3247992205618235</v>
      </c>
      <c r="AQ1619" s="23">
        <f t="shared" si="583"/>
        <v>3.3166000000000002</v>
      </c>
      <c r="AR1619" s="66">
        <v>-0.05</v>
      </c>
      <c r="AS1619" s="96" t="s">
        <v>1593</v>
      </c>
      <c r="AT1619" s="20">
        <f t="shared" ref="AT1619" si="866">(AK1619*V1619*X1619*Z1618*AA1619*AB1618*AC1619*AD1618*AG1619*AH1618)+AR1619</f>
        <v>2.6654680844425678</v>
      </c>
      <c r="AU1619" s="20">
        <f t="shared" ref="AU1619" si="867">AT1618</f>
        <v>2.9893107550270268</v>
      </c>
      <c r="AV1619" s="12">
        <f t="shared" ref="AV1619" si="868">AK1619*W1619*X1619*Z1618*AA1619*AB1618</f>
        <v>2.7184597682339651</v>
      </c>
      <c r="AW1619" s="12">
        <f t="shared" ref="AW1619" si="869">AV1618</f>
        <v>2.939310755027027</v>
      </c>
      <c r="AX1619" s="8">
        <f t="shared" si="588"/>
        <v>6.5468084442577901E-2</v>
      </c>
      <c r="AY1619" s="8">
        <f t="shared" si="589"/>
        <v>-0.11068924497296306</v>
      </c>
      <c r="AZ1619" s="8">
        <f t="shared" si="590"/>
        <v>-4.5221160530385163E-2</v>
      </c>
      <c r="BA1619" s="8">
        <f t="shared" si="591"/>
        <v>0.17615732941554096</v>
      </c>
      <c r="BB1619" s="62">
        <f t="shared" si="592"/>
        <v>126</v>
      </c>
      <c r="BC1619" s="21">
        <f t="shared" si="593"/>
        <v>102</v>
      </c>
      <c r="BD1619" s="21">
        <f t="shared" si="594"/>
        <v>-126</v>
      </c>
      <c r="BE1619" s="21">
        <f t="shared" si="595"/>
        <v>-155</v>
      </c>
      <c r="BF1619" s="94">
        <f t="shared" si="57"/>
        <v>0.44168690626797436</v>
      </c>
      <c r="BG1619" s="22">
        <f t="shared" ref="BG1619" si="870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0.4946100115049234</v>
      </c>
      <c r="BH1619" s="22">
        <f t="shared" ref="BH1619" si="871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0.55801501450977753</v>
      </c>
      <c r="BI1619" s="22">
        <f t="shared" ref="BI1619" si="872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0.60824016339042897</v>
      </c>
      <c r="BJ1619" s="21">
        <f t="shared" si="597"/>
        <v>117</v>
      </c>
      <c r="BK1619" s="21">
        <f t="shared" si="598"/>
        <v>102</v>
      </c>
      <c r="BL1619" s="21">
        <f t="shared" si="599"/>
        <v>-126</v>
      </c>
      <c r="BM1619" s="21">
        <f t="shared" si="600"/>
        <v>-155</v>
      </c>
      <c r="BN1619" s="22">
        <f t="shared" si="61"/>
        <v>0.46002476935512371</v>
      </c>
      <c r="BO1619" s="22">
        <f t="shared" ref="BO1619" si="873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0.49474914202597831</v>
      </c>
      <c r="BP1619" s="22">
        <f t="shared" ref="BP1619" si="874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0.55802031954308984</v>
      </c>
      <c r="BQ1619" s="22">
        <f t="shared" ref="BQ1619" si="875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0.60814069311038488</v>
      </c>
      <c r="BR1619">
        <v>3.75</v>
      </c>
      <c r="BS1619">
        <v>4.55</v>
      </c>
      <c r="BT1619">
        <v>0.38932</v>
      </c>
      <c r="BU1619">
        <v>0.16047</v>
      </c>
      <c r="BV1619">
        <v>0.17416266903991801</v>
      </c>
      <c r="BW1619">
        <v>0.23909</v>
      </c>
    </row>
    <row r="1620" spans="1:75" ht="16.75" customHeight="1" x14ac:dyDescent="0.2">
      <c r="A1620" t="str">
        <f t="shared" si="536"/>
        <v>2025020779 NYR</v>
      </c>
      <c r="B1620">
        <v>2025020779</v>
      </c>
      <c r="C1620" s="1">
        <v>46041</v>
      </c>
      <c r="D1620" s="2" t="s">
        <v>6</v>
      </c>
      <c r="E1620" t="s">
        <v>20</v>
      </c>
      <c r="F1620" s="2">
        <v>1</v>
      </c>
      <c r="G1620" s="2">
        <v>1</v>
      </c>
      <c r="H1620" t="s">
        <v>46</v>
      </c>
      <c r="I1620" t="str">
        <f t="shared" si="176"/>
        <v>NYR Spencer Martin</v>
      </c>
      <c r="J1620" s="33" t="s">
        <v>1169</v>
      </c>
      <c r="K1620" s="14">
        <v>2.96</v>
      </c>
      <c r="L1620" s="13">
        <v>0.15</v>
      </c>
      <c r="M1620" s="28">
        <v>0.1</v>
      </c>
      <c r="N1620">
        <f>IFERROR(_xlfn.XLOOKUP(A1620,Params!A:A,Params!D:D),0)</f>
        <v>3.0999999999999899</v>
      </c>
      <c r="O1620">
        <f t="shared" ref="O1620" si="876">N1621</f>
        <v>3.5499999999999901</v>
      </c>
      <c r="P1620" s="68">
        <f t="shared" si="572"/>
        <v>3.0999999999999899</v>
      </c>
      <c r="Q1620">
        <f t="shared" ref="Q1620" si="877">P1621</f>
        <v>3.5499999999999901</v>
      </c>
      <c r="R1620" s="5">
        <f t="shared" ref="R1620" si="878">N1620/W1620/X1620/Z1621/AB1621/AA1620</f>
        <v>2.9462880746654356</v>
      </c>
      <c r="S1620" s="5">
        <f t="shared" ref="S1620" si="879">O1620/W1621/Y1620/Z1620/AA1621/AB1620</f>
        <v>3.1109443126185408</v>
      </c>
      <c r="T1620" s="5">
        <f t="shared" ref="T1620" si="880">P1620/W1620/X1620/Z1621/AB1621</f>
        <v>2.9168251939187813</v>
      </c>
      <c r="U1620" s="5">
        <f t="shared" ref="U1620" si="881">Q1620/W1621/Y1620/Z1620/AA1621</f>
        <v>3.2042726419970973</v>
      </c>
      <c r="V1620" s="5">
        <f>_xlfn.XLOOKUP(H1620,'Rest - Home'!A:A,'Rest - Home'!B:B)</f>
        <v>0.95</v>
      </c>
      <c r="W1620" s="5">
        <f>_xlfn.XLOOKUP(H1620,'Rest - Home'!A:A,'Rest - Home'!C:C)</f>
        <v>0.95302926576458757</v>
      </c>
      <c r="X1620" s="5">
        <f t="shared" ref="X1620" si="882">AM1621/K1620</f>
        <v>1.1382874458223144</v>
      </c>
      <c r="Y1620" s="5">
        <f t="shared" ref="Y1620" si="883">AK1621/K1620</f>
        <v>1.048648477824683</v>
      </c>
      <c r="Z1620" s="5">
        <f>IF(J1620="",1,(_xlfn.XLOOKUP(I1620,Goalies!B:B,Goalies!J:J)))</f>
        <v>1.06</v>
      </c>
      <c r="AA1620" s="23">
        <v>0.99</v>
      </c>
      <c r="AB1620" s="23">
        <v>1.03</v>
      </c>
      <c r="AC1620" s="23">
        <f>_xlfn.XLOOKUP(E1620,'Game Adjustments'!A:A,'Game Adjustments'!B:B)</f>
        <v>1</v>
      </c>
      <c r="AD1620" s="23">
        <f>_xlfn.XLOOKUP(E1620,'Game Adjustments'!A:A,'Game Adjustments'!C:C)</f>
        <v>1</v>
      </c>
      <c r="AE1620" s="23">
        <f>IF(D1620="A",_xlfn.XLOOKUP(E1620,'Rest - Home'!F:F,'Rest - Home'!J:J),_xlfn.XLOOKUP(E1620,'Rest - Home'!F:F,'Rest - Home'!I:I))</f>
        <v>1</v>
      </c>
      <c r="AF1620" s="23">
        <f>IF(D1620="A",_xlfn.XLOOKUP(E1620,'Rest - Home'!F:F,'Rest - Home'!L:L),_xlfn.XLOOKUP(E1620,'Rest - Home'!F:F,'Rest - Home'!K:K))</f>
        <v>1</v>
      </c>
      <c r="AG1620" s="26">
        <v>1</v>
      </c>
      <c r="AH1620" s="26">
        <v>1</v>
      </c>
      <c r="AI1620" s="53" cm="1">
        <f t="array" ref="AI1620">MAX(IF($E$63:E1619=E1620,ROW($E$63:E1619)-MIN(ROW($E$63:E1619))+1))</f>
        <v>1510</v>
      </c>
      <c r="AJ1620" s="53" cm="1">
        <f t="array" ref="AJ1620">MAX(IF($I$105:I1619=I1620,ROW($I$105:I1619)-MIN(ROW($I$105:I1619))+1))</f>
        <v>1468</v>
      </c>
      <c r="AK1620" s="23">
        <f>IF(AI1620=0,_xlfn.XLOOKUP(E1620,'Starting GF'!A:A,'Starting GF'!B:B),INDEX($AL$63:$AL1620,AI1620))</f>
        <v>2.7892665602613942</v>
      </c>
      <c r="AL1620" s="23">
        <f t="shared" si="580"/>
        <v>2.8123778442108005</v>
      </c>
      <c r="AM1620" s="23">
        <f>IF(AI1620=0,_xlfn.XLOOKUP(E1620,'Starting GF'!A:A,'Starting GF'!C:C),INDEX($AN$63:$AN1620,AI1620))</f>
        <v>2.99</v>
      </c>
      <c r="AN1620" s="23">
        <v>3.03</v>
      </c>
      <c r="AO1620" s="23">
        <f>IF(AJ1620=0,_xlfn.XLOOKUP(I1620,Goalies!B:B,Goalies!I:I),INDEX($AP$105:$AP1620,AJ1620))</f>
        <v>3.2683341650565167</v>
      </c>
      <c r="AP1620" s="23">
        <f t="shared" si="582"/>
        <v>3.2727241860043872</v>
      </c>
      <c r="AQ1620" s="23">
        <f t="shared" si="583"/>
        <v>3.1694000000000004</v>
      </c>
      <c r="AR1620" s="66">
        <v>0</v>
      </c>
      <c r="AS1620" s="96" t="s">
        <v>1592</v>
      </c>
      <c r="AT1620" s="20">
        <f t="shared" ref="AT1620" si="884">(AK1620*V1620*X1620*Z1621*AA1620*AB1621*AC1620*AD1621*AG1620*AH1621)+AR1620</f>
        <v>2.9254580455105712</v>
      </c>
      <c r="AU1620" s="20">
        <f t="shared" ref="AU1620" si="885">AT1621</f>
        <v>3.4082315862332586</v>
      </c>
      <c r="AV1620" s="12">
        <f t="shared" ref="AV1620" si="886">AK1620*V1620*X1620*Z1621*AA1620*AB1621</f>
        <v>2.9254580455105712</v>
      </c>
      <c r="AW1620" s="12">
        <f t="shared" ref="AW1620" si="887">AV1621</f>
        <v>3.411986500994467</v>
      </c>
      <c r="AX1620" s="8">
        <f t="shared" si="588"/>
        <v>-0.17454195448941867</v>
      </c>
      <c r="AY1620" s="8">
        <f t="shared" si="589"/>
        <v>-0.14176841376673144</v>
      </c>
      <c r="AZ1620" s="8">
        <f t="shared" si="590"/>
        <v>-0.31631036825615011</v>
      </c>
      <c r="BA1620" s="8">
        <f t="shared" si="591"/>
        <v>-3.2773540722687233E-2</v>
      </c>
      <c r="BB1620" s="62">
        <f t="shared" si="592"/>
        <v>137</v>
      </c>
      <c r="BC1620" s="21">
        <f t="shared" si="593"/>
        <v>-159</v>
      </c>
      <c r="BD1620" s="21">
        <f t="shared" si="594"/>
        <v>-130</v>
      </c>
      <c r="BE1620" s="21">
        <f t="shared" si="595"/>
        <v>-100</v>
      </c>
      <c r="BF1620" s="94">
        <f t="shared" ref="BF1620" si="888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IF(AT1620&gt;AT1621, 1-_xlpm.interp, _xlpm.interp)
)</f>
        <v>0.42191621415662939</v>
      </c>
      <c r="BG1620" s="22">
        <f t="shared" si="550"/>
        <v>0.6140363763874982</v>
      </c>
      <c r="BH1620" s="22">
        <f t="shared" si="550"/>
        <v>0.56466718448005371</v>
      </c>
      <c r="BI1620" s="22">
        <f t="shared" si="550"/>
        <v>0.50063691656941689</v>
      </c>
      <c r="BJ1620" s="21">
        <f t="shared" si="597"/>
        <v>137</v>
      </c>
      <c r="BK1620" s="21">
        <f t="shared" si="598"/>
        <v>-159</v>
      </c>
      <c r="BL1620" s="21">
        <f t="shared" si="599"/>
        <v>-130</v>
      </c>
      <c r="BM1620" s="21">
        <f t="shared" si="600"/>
        <v>-100</v>
      </c>
      <c r="BN1620" s="22">
        <f t="shared" ref="BN1620" si="889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IF(AV1620&gt;AV1621, 1-_xlpm.interp, _xlpm.interp)
)</f>
        <v>0.42124299672648613</v>
      </c>
      <c r="BO1620" s="22">
        <f t="shared" si="552"/>
        <v>0.6145618406132447</v>
      </c>
      <c r="BP1620" s="22">
        <f t="shared" si="552"/>
        <v>0.56529693266121828</v>
      </c>
      <c r="BQ1620" s="22">
        <f t="shared" si="552"/>
        <v>0.50123965526565684</v>
      </c>
      <c r="BR1620">
        <v>3.75</v>
      </c>
      <c r="BS1620">
        <v>4.5999999999999996</v>
      </c>
      <c r="BT1620">
        <v>0.38694000000000001</v>
      </c>
      <c r="BU1620">
        <v>0.15873000000000001</v>
      </c>
      <c r="BV1620">
        <v>0.17191595364453499</v>
      </c>
      <c r="BW1620">
        <v>0.23543</v>
      </c>
    </row>
    <row r="1621" spans="1:75" ht="16.75" customHeight="1" x14ac:dyDescent="0.2">
      <c r="A1621" t="str">
        <f t="shared" si="536"/>
        <v>2025020779 ANA</v>
      </c>
      <c r="B1621">
        <v>2025020779</v>
      </c>
      <c r="C1621" s="1">
        <v>46041</v>
      </c>
      <c r="D1621" s="2" t="s">
        <v>9</v>
      </c>
      <c r="E1621" t="s">
        <v>48</v>
      </c>
      <c r="F1621" s="2">
        <v>1</v>
      </c>
      <c r="G1621" s="2">
        <v>1</v>
      </c>
      <c r="H1621" t="s">
        <v>47</v>
      </c>
      <c r="I1621" t="str">
        <f t="shared" si="176"/>
        <v>ANA Lukas Dostal</v>
      </c>
      <c r="J1621" s="33" t="s">
        <v>146</v>
      </c>
      <c r="K1621" s="14">
        <v>2.96</v>
      </c>
      <c r="L1621" s="13">
        <v>0.15</v>
      </c>
      <c r="M1621" s="28">
        <v>0.1</v>
      </c>
      <c r="N1621">
        <f>IFERROR(_xlfn.XLOOKUP(A1621,Params!A:A,Params!D:D),0)</f>
        <v>3.5499999999999901</v>
      </c>
      <c r="O1621">
        <f t="shared" ref="O1621" si="890">N1620</f>
        <v>3.0999999999999899</v>
      </c>
      <c r="P1621" s="68">
        <f t="shared" si="572"/>
        <v>3.5499999999999901</v>
      </c>
      <c r="Q1621">
        <f t="shared" ref="Q1621" si="891">P1620</f>
        <v>3.0999999999999899</v>
      </c>
      <c r="R1621" s="5">
        <f t="shared" ref="R1621" si="892">N1621/W1621/X1621/Z1620/AB1620/AA1621</f>
        <v>3.2295550412553076</v>
      </c>
      <c r="S1621" s="5">
        <f t="shared" ref="S1621" si="893">O1621/W1620/Y1621/Z1621/AA1620/AB1621</f>
        <v>3.5590070213604754</v>
      </c>
      <c r="T1621" s="5">
        <f t="shared" ref="T1621" si="894">P1621/W1621/X1621/Z1620/AB1620</f>
        <v>3.0680772891925421</v>
      </c>
      <c r="U1621" s="5">
        <f t="shared" ref="U1621" si="895">Q1621/W1620/Y1621/Z1621/AA1620</f>
        <v>3.5945970915740801</v>
      </c>
      <c r="V1621" s="5">
        <f>_xlfn.XLOOKUP(H1621,'Rest - Home'!A:A,'Rest - Home'!B:B)</f>
        <v>1.048</v>
      </c>
      <c r="W1621" s="5">
        <f>_xlfn.XLOOKUP(H1621,'Rest - Home'!A:A,'Rest - Home'!C:C)</f>
        <v>1.0491546019013618</v>
      </c>
      <c r="X1621" s="5">
        <f t="shared" ref="X1621" si="896">AM1620/K1621</f>
        <v>1.0101351351351353</v>
      </c>
      <c r="Y1621" s="5">
        <f t="shared" ref="Y1621" si="897">AK1620/K1621</f>
        <v>0.9423197838720927</v>
      </c>
      <c r="Z1621" s="5">
        <f>IF(J1621="",1,(_xlfn.XLOOKUP(I1621,Goalies!B:B,Goalies!J:J)))</f>
        <v>0.97</v>
      </c>
      <c r="AA1621" s="23">
        <v>0.95</v>
      </c>
      <c r="AB1621" s="23">
        <v>1.01</v>
      </c>
      <c r="AC1621" s="23">
        <f>_xlfn.XLOOKUP(E1621,'Game Adjustments'!A:A,'Game Adjustments'!B:B)</f>
        <v>1</v>
      </c>
      <c r="AD1621" s="23">
        <f>_xlfn.XLOOKUP(E1621,'Game Adjustments'!A:A,'Game Adjustments'!C:C)</f>
        <v>1</v>
      </c>
      <c r="AE1621" s="23">
        <f>IF(D1621="A",_xlfn.XLOOKUP(E1621,'Rest - Home'!F:F,'Rest - Home'!J:J),_xlfn.XLOOKUP(E1621,'Rest - Home'!F:F,'Rest - Home'!I:I))</f>
        <v>1</v>
      </c>
      <c r="AF1621" s="23">
        <f>IF(D1621="A",_xlfn.XLOOKUP(E1621,'Rest - Home'!F:F,'Rest - Home'!L:L),_xlfn.XLOOKUP(E1621,'Rest - Home'!F:F,'Rest - Home'!K:K))</f>
        <v>1</v>
      </c>
      <c r="AG1621" s="26">
        <v>1</v>
      </c>
      <c r="AH1621" s="26">
        <v>1</v>
      </c>
      <c r="AI1621" s="53" cm="1">
        <f t="array" ref="AI1621">MAX(IF($E$63:E1620=E1621,ROW($E$63:E1620)-MIN(ROW($E$63:E1620))+1))</f>
        <v>1531</v>
      </c>
      <c r="AJ1621" s="53" cm="1">
        <f t="array" ref="AJ1621">MAX(IF($I$105:I1620=I1621,ROW($I$105:I1620)-MIN(ROW($I$105:I1620))+1))</f>
        <v>1464</v>
      </c>
      <c r="AK1621" s="23">
        <f>IF(AI1621=0,_xlfn.XLOOKUP(E1621,'Starting GF'!A:A,'Starting GF'!B:B),INDEX($AL$63:$AL1621,AI1621))</f>
        <v>3.1039994943610614</v>
      </c>
      <c r="AL1621" s="23">
        <f t="shared" si="580"/>
        <v>3.1204106601142572</v>
      </c>
      <c r="AM1621" s="23">
        <f>IF(AI1621=0,_xlfn.XLOOKUP(E1621,'Starting GF'!A:A,'Starting GF'!C:C),INDEX($AN$63:$AN1621,AI1621))</f>
        <v>3.3693308396340509</v>
      </c>
      <c r="AN1621" s="23">
        <v>3.37</v>
      </c>
      <c r="AO1621" s="23">
        <f>IF(AJ1621=0,_xlfn.XLOOKUP(I1621,Goalies!B:B,Goalies!I:I),INDEX($AP$105:$AP1621,AJ1621))</f>
        <v>3.2853077780930979</v>
      </c>
      <c r="AP1621" s="23">
        <f t="shared" si="582"/>
        <v>3.3103471329870824</v>
      </c>
      <c r="AQ1621" s="23">
        <f t="shared" si="583"/>
        <v>3.2682509144450291</v>
      </c>
      <c r="AR1621" s="66">
        <v>0</v>
      </c>
      <c r="AS1621" s="96" t="s">
        <v>1592</v>
      </c>
      <c r="AT1621" s="20">
        <f t="shared" ref="AT1621" si="898">(AK1621*V1621*X1621*Z1620*AA1621*AB1620*AC1621*AD1620*AG1621*AH1620)+AR1621</f>
        <v>3.4082315862332586</v>
      </c>
      <c r="AU1621" s="20">
        <f t="shared" ref="AU1621" si="899">AT1620</f>
        <v>2.9254580455105712</v>
      </c>
      <c r="AV1621" s="12">
        <f t="shared" ref="AV1621" si="900">AK1621*W1621*X1621*Z1620*AA1621*AB1620</f>
        <v>3.411986500994467</v>
      </c>
      <c r="AW1621" s="12">
        <f t="shared" ref="AW1621" si="901">AV1620</f>
        <v>2.9254580455105712</v>
      </c>
      <c r="AX1621" s="8">
        <f t="shared" si="588"/>
        <v>-0.14176841376673144</v>
      </c>
      <c r="AY1621" s="8">
        <f t="shared" si="589"/>
        <v>-0.17454195448941867</v>
      </c>
      <c r="AZ1621" s="8">
        <f t="shared" si="590"/>
        <v>-0.31631036825615011</v>
      </c>
      <c r="BA1621" s="8">
        <f t="shared" si="591"/>
        <v>3.2773540722687233E-2</v>
      </c>
      <c r="BB1621" s="62">
        <f t="shared" si="592"/>
        <v>-137</v>
      </c>
      <c r="BC1621" s="21">
        <f t="shared" si="593"/>
        <v>159</v>
      </c>
      <c r="BD1621" s="21">
        <f t="shared" si="594"/>
        <v>130</v>
      </c>
      <c r="BE1621" s="21">
        <f t="shared" si="595"/>
        <v>100</v>
      </c>
      <c r="BF1621" s="94">
        <f t="shared" si="57"/>
        <v>0.57808378584337061</v>
      </c>
      <c r="BG1621" s="22">
        <f t="shared" ref="BG1621" si="902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0.3859636236125018</v>
      </c>
      <c r="BH1621" s="22">
        <f t="shared" ref="BH1621" si="903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0.43533281551994624</v>
      </c>
      <c r="BI1621" s="22">
        <f t="shared" ref="BI1621" si="904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0.49936308343058311</v>
      </c>
      <c r="BJ1621" s="21">
        <f t="shared" si="597"/>
        <v>-137</v>
      </c>
      <c r="BK1621" s="21">
        <f t="shared" si="598"/>
        <v>159</v>
      </c>
      <c r="BL1621" s="21">
        <f t="shared" si="599"/>
        <v>130</v>
      </c>
      <c r="BM1621" s="21">
        <f t="shared" si="600"/>
        <v>100</v>
      </c>
      <c r="BN1621" s="22">
        <f t="shared" si="61"/>
        <v>0.57875700327351387</v>
      </c>
      <c r="BO1621" s="22">
        <f t="shared" ref="BO1621" si="905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0.3854381593867553</v>
      </c>
      <c r="BP1621" s="22">
        <f t="shared" ref="BP1621" si="906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0.43470306733878172</v>
      </c>
      <c r="BQ1621" s="22">
        <f t="shared" ref="BQ1621" si="907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0.49876034473434311</v>
      </c>
      <c r="BR1621">
        <v>3.75</v>
      </c>
      <c r="BS1621">
        <v>4.6500000000000004</v>
      </c>
      <c r="BT1621">
        <v>0.37702000000000002</v>
      </c>
      <c r="BU1621">
        <v>0.15240000000000001</v>
      </c>
      <c r="BV1621">
        <v>0.16476922577924799</v>
      </c>
      <c r="BW1621">
        <v>0.22747000000000001</v>
      </c>
    </row>
    <row r="1622" spans="1:75" ht="16.75" customHeight="1" x14ac:dyDescent="0.2">
      <c r="A1622" t="str">
        <f t="shared" si="536"/>
        <v>2025020780 MIN</v>
      </c>
      <c r="B1622">
        <v>2025020780</v>
      </c>
      <c r="C1622" s="1">
        <v>46042</v>
      </c>
      <c r="D1622" s="2" t="s">
        <v>6</v>
      </c>
      <c r="E1622" t="s">
        <v>33</v>
      </c>
      <c r="F1622" s="2">
        <v>0</v>
      </c>
      <c r="G1622" s="2">
        <v>2</v>
      </c>
      <c r="H1622" t="s">
        <v>29</v>
      </c>
      <c r="I1622" t="str">
        <f t="shared" si="176"/>
        <v>MIN Jesper Wallstedt</v>
      </c>
      <c r="J1622" s="33" t="s">
        <v>229</v>
      </c>
      <c r="K1622" s="14">
        <v>2.96</v>
      </c>
      <c r="L1622" s="13">
        <v>0.15</v>
      </c>
      <c r="M1622" s="28">
        <v>0.1</v>
      </c>
      <c r="N1622">
        <f>IFERROR(_xlfn.XLOOKUP(A1622,Params!A:A,Params!D:D),0)</f>
        <v>2.94999999999999</v>
      </c>
      <c r="O1622">
        <f t="shared" ref="O1622" si="908">N1623</f>
        <v>3.2999999999999901</v>
      </c>
      <c r="P1622" s="68">
        <f t="shared" ref="P1622:P1637" si="909">N1622</f>
        <v>2.94999999999999</v>
      </c>
      <c r="Q1622">
        <f t="shared" ref="Q1622" si="910">P1623</f>
        <v>3.2999999999999901</v>
      </c>
      <c r="R1622" s="5">
        <f t="shared" ref="R1622" si="911">N1622/W1622/X1622/Z1623/AB1623/AA1622</f>
        <v>3.2869112027542933</v>
      </c>
      <c r="S1622" s="5">
        <f t="shared" ref="S1622" si="912">O1622/W1623/Y1622/Z1622/AA1623/AB1622</f>
        <v>2.8352497144401929</v>
      </c>
      <c r="T1622" s="5">
        <f t="shared" ref="T1622" si="913">P1622/W1622/X1622/Z1623/AB1623</f>
        <v>3.0896965305890354</v>
      </c>
      <c r="U1622" s="5">
        <f t="shared" ref="U1622" si="914">Q1622/W1623/Y1622/Z1622/AA1623</f>
        <v>2.9486597030178006</v>
      </c>
      <c r="V1622" s="5">
        <f>_xlfn.XLOOKUP(H1622,'Rest - Home'!A:A,'Rest - Home'!B:B)</f>
        <v>0.90300000000000002</v>
      </c>
      <c r="W1622" s="5">
        <f>_xlfn.XLOOKUP(H1622,'Rest - Home'!A:A,'Rest - Home'!C:C)</f>
        <v>0.92051577291954856</v>
      </c>
      <c r="X1622" s="5">
        <f t="shared" ref="X1622" si="915">AM1623/K1622</f>
        <v>1.0168918918918919</v>
      </c>
      <c r="Y1622" s="5">
        <f t="shared" ref="Y1622" si="916">AK1623/K1622</f>
        <v>1.0386878892149378</v>
      </c>
      <c r="Z1622" s="5">
        <f>IF(J1622="",1,(_xlfn.XLOOKUP(I1622,Goalies!B:B,Goalies!J:J)))</f>
        <v>1.0149999999999999</v>
      </c>
      <c r="AA1622" s="23">
        <v>0.94</v>
      </c>
      <c r="AB1622" s="23">
        <v>1.04</v>
      </c>
      <c r="AC1622" s="23">
        <f>_xlfn.XLOOKUP(E1622,'Game Adjustments'!A:A,'Game Adjustments'!B:B)</f>
        <v>1</v>
      </c>
      <c r="AD1622" s="23">
        <f>_xlfn.XLOOKUP(E1622,'Game Adjustments'!A:A,'Game Adjustments'!C:C)</f>
        <v>1</v>
      </c>
      <c r="AE1622" s="23">
        <f>IF(D1622="A",_xlfn.XLOOKUP(E1622,'Rest - Home'!F:F,'Rest - Home'!J:J),_xlfn.XLOOKUP(E1622,'Rest - Home'!F:F,'Rest - Home'!I:I))</f>
        <v>1</v>
      </c>
      <c r="AF1622" s="23">
        <f>IF(D1622="A",_xlfn.XLOOKUP(E1622,'Rest - Home'!F:F,'Rest - Home'!L:L),_xlfn.XLOOKUP(E1622,'Rest - Home'!F:F,'Rest - Home'!K:K))</f>
        <v>1</v>
      </c>
      <c r="AG1622" s="26">
        <v>1</v>
      </c>
      <c r="AH1622" s="26">
        <v>1</v>
      </c>
      <c r="AI1622" s="53" cm="1">
        <f t="array" ref="AI1622">MAX(IF($E$63:E1621=E1622,ROW($E$63:E1621)-MIN(ROW($E$63:E1621))+1))</f>
        <v>1548</v>
      </c>
      <c r="AJ1622" s="53" cm="1">
        <f t="array" ref="AJ1622">MAX(IF($I$105:I1621=I1622,ROW($I$105:I1621)-MIN(ROW($I$105:I1621))+1))</f>
        <v>1447</v>
      </c>
      <c r="AK1622" s="23">
        <f>IF(AI1622=0,_xlfn.XLOOKUP(E1622,'Starting GF'!A:A,'Starting GF'!B:B),INDEX($AL$63:$AL1622,AI1622))</f>
        <v>3.1631217689012718</v>
      </c>
      <c r="AL1622" s="23">
        <f t="shared" ref="AL1622:AL1637" si="917">IF(R1622=0,AK1622,R1622*L1622*(1-M1622)+T1622*L1622*M1622+AK1622*(1-L1622))</f>
        <v>3.1787319638967459</v>
      </c>
      <c r="AM1622" s="23">
        <f>IF(AI1622=0,_xlfn.XLOOKUP(E1622,'Starting GF'!A:A,'Starting GF'!C:C),INDEX($AN$63:$AN1622,AI1622))</f>
        <v>2.8489268250194968</v>
      </c>
      <c r="AN1622" s="23">
        <f t="shared" ref="AN1622:AN1637" si="918">IF(S1622=0,AM1622,S1622*L1622+AM1622*(1-L1622))</f>
        <v>2.8468752584326014</v>
      </c>
      <c r="AO1622" s="23">
        <f>IF(AJ1622=0,_xlfn.XLOOKUP(I1622,Goalies!B:B,Goalies!I:I),INDEX($AP$105:$AP1622,AJ1622))</f>
        <v>2.9340752336480072</v>
      </c>
      <c r="AP1622" s="23">
        <f t="shared" ref="AP1622:AP1637" si="919">IF(S1622=0,AO1622,S1622*L1622*Z1622+AO1622*(1-L1622))</f>
        <v>2.9256307176243252</v>
      </c>
      <c r="AQ1622" s="23">
        <f t="shared" ref="AQ1622:AQ1637" si="920">AM1622*Z1622</f>
        <v>2.8916607273947887</v>
      </c>
      <c r="AR1622" s="66">
        <v>7.0000000000000007E-2</v>
      </c>
      <c r="AS1622" s="96" t="s">
        <v>1594</v>
      </c>
      <c r="AT1622" s="20">
        <f t="shared" ref="AT1622" si="921">(AK1622*V1622*X1622*Z1623*AA1622*AB1623*AC1622*AD1623*AG1622*AH1623)+AR1622</f>
        <v>2.8548799037945343</v>
      </c>
      <c r="AU1622" s="20">
        <f t="shared" ref="AU1622" si="922">AT1623</f>
        <v>3.2514028793131686</v>
      </c>
      <c r="AV1622" s="12">
        <f t="shared" ref="AV1622" si="923">AK1622*V1622*X1622*Z1623*AA1622*AB1623</f>
        <v>2.7848799037945344</v>
      </c>
      <c r="AW1622" s="12">
        <f t="shared" ref="AW1622" si="924">AV1623</f>
        <v>3.3159190439846622</v>
      </c>
      <c r="AX1622" s="8">
        <f t="shared" ref="AX1622:AX1637" si="925">(AT1622-N1622)</f>
        <v>-9.5120096205455695E-2</v>
      </c>
      <c r="AY1622" s="8">
        <f t="shared" ref="AY1622:AY1637" si="926">(AU1622-O1622)</f>
        <v>-4.8597120686821427E-2</v>
      </c>
      <c r="AZ1622" s="8">
        <f t="shared" ref="AZ1622:AZ1637" si="927">SUM(AX1622:AY1622)</f>
        <v>-0.14371721689227712</v>
      </c>
      <c r="BA1622" s="8">
        <f t="shared" ref="BA1622:BA1637" si="928">AX1622-AY1622</f>
        <v>-4.6522975518634269E-2</v>
      </c>
      <c r="BB1622" s="62">
        <f t="shared" ref="BB1622:BB1637" si="929">IF(BF1622=0.5,100,IF(BF1622&gt;0.5,-ROUND(100*BF1622/(1-BF1622),0),ROUND(100*(1-BF1622)/BF1622,0)))</f>
        <v>130</v>
      </c>
      <c r="BC1622" s="21">
        <f t="shared" ref="BC1622:BC1637" si="930">IF(BG1622=0.5,100,IF(BG1622&gt;0.5,-ROUND(100*BG1622/(1-BG1622),0),ROUND(100*(1-BG1622)/BG1622,0)))</f>
        <v>-136</v>
      </c>
      <c r="BD1622" s="21">
        <f t="shared" ref="BD1622:BD1637" si="931">IF(BH1622=0.5,100,IF(BH1622&gt;0.5,-ROUND(100*BH1622/(1-BH1622),0),ROUND(100*(1-BH1622)/BH1622,0)))</f>
        <v>-109</v>
      </c>
      <c r="BE1622" s="21">
        <f t="shared" ref="BE1622:BE1637" si="932">IF(BI1622=0.5,100,IF(BI1622&gt;0.5,-ROUND(100*BI1622/(1-BI1622),0),ROUND(100*(1-BI1622)/BI1622,0)))</f>
        <v>116</v>
      </c>
      <c r="BF1622" s="94">
        <f t="shared" ref="BF1622" si="93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IF(AT1622&gt;AT1623, 1-_xlpm.interp, _xlpm.interp)
)</f>
        <v>0.43495049573219485</v>
      </c>
      <c r="BG1622" s="22">
        <f t="shared" si="550"/>
        <v>0.57704262381650973</v>
      </c>
      <c r="BH1622" s="22">
        <f t="shared" si="550"/>
        <v>0.52251398970192175</v>
      </c>
      <c r="BI1622" s="22">
        <f t="shared" si="550"/>
        <v>0.46284477886985831</v>
      </c>
      <c r="BJ1622" s="21">
        <f t="shared" ref="BJ1622:BJ1637" si="934">IF(BN1622=0.5,100,IF(BN1622&gt;0.5,-ROUND(100*BN1622/(1-BN1622),0),ROUND(100*(1-BN1622)/BN1622,0)))</f>
        <v>141</v>
      </c>
      <c r="BK1622" s="21">
        <f t="shared" ref="BK1622:BK1637" si="935">IF(BO1622=0.5,100,IF(BO1622&gt;0.5,-ROUND(100*BO1622/(1-BO1622),0),ROUND(100*(1-BO1622)/BO1622,0)))</f>
        <v>-137</v>
      </c>
      <c r="BL1622" s="21">
        <f t="shared" ref="BL1622:BL1637" si="936">IF(BP1622=0.5,100,IF(BP1622&gt;0.5,-ROUND(100*BP1622/(1-BP1622),0),ROUND(100*(1-BP1622)/BP1622,0)))</f>
        <v>-110</v>
      </c>
      <c r="BM1622" s="21">
        <f t="shared" ref="BM1622:BM1637" si="937">IF(BQ1622=0.5,100,IF(BQ1622&gt;0.5,-ROUND(100*BQ1622/(1-BQ1622),0),ROUND(100*(1-BQ1622)/BQ1622,0)))</f>
        <v>116</v>
      </c>
      <c r="BN1622" s="22">
        <f t="shared" ref="BN1622" si="938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IF(AV1622&gt;AV1623, 1-_xlpm.interp, _xlpm.interp)
)</f>
        <v>0.41466879162877063</v>
      </c>
      <c r="BO1622" s="22">
        <f t="shared" si="552"/>
        <v>0.57726018179118843</v>
      </c>
      <c r="BP1622" s="22">
        <f t="shared" si="552"/>
        <v>0.52268783380424633</v>
      </c>
      <c r="BQ1622" s="22">
        <f t="shared" si="552"/>
        <v>0.46291359792303544</v>
      </c>
      <c r="BR1622">
        <v>3.75</v>
      </c>
      <c r="BS1622">
        <v>4.7</v>
      </c>
      <c r="BT1622">
        <v>0.37196000000000001</v>
      </c>
      <c r="BU1622">
        <v>0.14763000000000001</v>
      </c>
      <c r="BV1622">
        <v>0.15947759017402799</v>
      </c>
      <c r="BW1622">
        <v>0.22192000000000001</v>
      </c>
    </row>
    <row r="1623" spans="1:75" ht="16.75" customHeight="1" x14ac:dyDescent="0.2">
      <c r="A1623" t="str">
        <f t="shared" si="536"/>
        <v>2025020780 MTL</v>
      </c>
      <c r="B1623">
        <v>2025020780</v>
      </c>
      <c r="C1623" s="1">
        <v>46042</v>
      </c>
      <c r="D1623" s="2" t="s">
        <v>9</v>
      </c>
      <c r="E1623" t="s">
        <v>19</v>
      </c>
      <c r="F1623" s="2">
        <v>2</v>
      </c>
      <c r="G1623" s="2">
        <v>0</v>
      </c>
      <c r="H1623" t="s">
        <v>31</v>
      </c>
      <c r="I1623" t="str">
        <f t="shared" si="176"/>
        <v>MTL Jakub Dobes</v>
      </c>
      <c r="J1623" s="33" t="s">
        <v>171</v>
      </c>
      <c r="K1623" s="14">
        <v>2.96</v>
      </c>
      <c r="L1623" s="13">
        <v>0.15</v>
      </c>
      <c r="M1623" s="28">
        <v>0.1</v>
      </c>
      <c r="N1623">
        <f>IFERROR(_xlfn.XLOOKUP(A1623,Params!A:A,Params!D:D),0)</f>
        <v>3.2999999999999901</v>
      </c>
      <c r="O1623">
        <f t="shared" ref="O1623" si="939">N1622</f>
        <v>2.94999999999999</v>
      </c>
      <c r="P1623" s="68">
        <f t="shared" si="909"/>
        <v>3.2999999999999901</v>
      </c>
      <c r="Q1623">
        <f t="shared" ref="Q1623" si="940">P1622</f>
        <v>2.94999999999999</v>
      </c>
      <c r="R1623" s="5">
        <f t="shared" ref="R1623" si="941">N1623/W1623/X1623/Z1622/AB1622/AA1623</f>
        <v>3.059756033627222</v>
      </c>
      <c r="S1623" s="5">
        <f t="shared" ref="S1623" si="942">O1623/W1622/Y1623/Z1623/AA1622/AB1623</f>
        <v>3.1277969813116049</v>
      </c>
      <c r="T1623" s="5">
        <f t="shared" ref="T1623" si="943">P1623/W1623/X1623/Z1622/AB1622</f>
        <v>2.9985609129546775</v>
      </c>
      <c r="U1623" s="5">
        <f t="shared" ref="U1623" si="944">Q1623/W1622/Y1623/Z1623/AA1622</f>
        <v>3.1277969813116049</v>
      </c>
      <c r="V1623" s="5">
        <f>_xlfn.XLOOKUP(H1623,'Rest - Home'!A:A,'Rest - Home'!B:B)</f>
        <v>1.085</v>
      </c>
      <c r="W1623" s="5">
        <f>_xlfn.XLOOKUP(H1623,'Rest - Home'!A:A,'Rest - Home'!C:C)</f>
        <v>1.0832085999357419</v>
      </c>
      <c r="X1623" s="5">
        <f t="shared" ref="X1623" si="945">AM1622/K1623</f>
        <v>0.96247527872280303</v>
      </c>
      <c r="Y1623" s="5">
        <f t="shared" ref="Y1623" si="946">AK1622/K1623</f>
        <v>1.0686222192234027</v>
      </c>
      <c r="Z1623" s="5">
        <f>IF(J1623="",1,(_xlfn.XLOOKUP(I1623,Goalies!B:B,Goalies!J:J)))</f>
        <v>1.02</v>
      </c>
      <c r="AA1623" s="23">
        <v>0.98</v>
      </c>
      <c r="AB1623" s="23">
        <v>1</v>
      </c>
      <c r="AC1623" s="23">
        <f>_xlfn.XLOOKUP(E1623,'Game Adjustments'!A:A,'Game Adjustments'!B:B)</f>
        <v>1</v>
      </c>
      <c r="AD1623" s="23">
        <f>_xlfn.XLOOKUP(E1623,'Game Adjustments'!A:A,'Game Adjustments'!C:C)</f>
        <v>1</v>
      </c>
      <c r="AE1623" s="23">
        <f>IF(D1623="A",_xlfn.XLOOKUP(E1623,'Rest - Home'!F:F,'Rest - Home'!J:J),_xlfn.XLOOKUP(E1623,'Rest - Home'!F:F,'Rest - Home'!I:I))</f>
        <v>1</v>
      </c>
      <c r="AF1623" s="23">
        <f>IF(D1623="A",_xlfn.XLOOKUP(E1623,'Rest - Home'!F:F,'Rest - Home'!L:L),_xlfn.XLOOKUP(E1623,'Rest - Home'!F:F,'Rest - Home'!K:K))</f>
        <v>1</v>
      </c>
      <c r="AG1623" s="26">
        <v>1</v>
      </c>
      <c r="AH1623" s="26">
        <v>1</v>
      </c>
      <c r="AI1623" s="53" cm="1">
        <f t="array" ref="AI1623">MAX(IF($E$63:E1622=E1623,ROW($E$63:E1622)-MIN(ROW($E$63:E1622))+1))</f>
        <v>1522</v>
      </c>
      <c r="AJ1623" s="53" cm="1">
        <f t="array" ref="AJ1623">MAX(IF($I$105:I1622=I1623,ROW($I$105:I1622)-MIN(ROW($I$105:I1622))+1))</f>
        <v>1399</v>
      </c>
      <c r="AK1623" s="23">
        <f>IF(AI1623=0,_xlfn.XLOOKUP(E1623,'Starting GF'!A:A,'Starting GF'!B:B),INDEX($AL$63:$AL1623,AI1623))</f>
        <v>3.0745161520762161</v>
      </c>
      <c r="AL1623" s="23">
        <f t="shared" si="917"/>
        <v>3.0713842074987783</v>
      </c>
      <c r="AM1623" s="23">
        <f>IF(AI1623=0,_xlfn.XLOOKUP(E1623,'Starting GF'!A:A,'Starting GF'!C:C),INDEX($AN$63:$AN1623,AI1623))</f>
        <v>3.01</v>
      </c>
      <c r="AN1623" s="23">
        <f t="shared" si="918"/>
        <v>3.0276695471967403</v>
      </c>
      <c r="AO1623" s="23">
        <f>IF(AJ1623=0,_xlfn.XLOOKUP(I1623,Goalies!B:B,Goalies!I:I),INDEX($AP$105:$AP1623,AJ1623))</f>
        <v>3.0754556954326322</v>
      </c>
      <c r="AP1623" s="23">
        <f t="shared" si="919"/>
        <v>3.0926902792584126</v>
      </c>
      <c r="AQ1623" s="23">
        <f t="shared" si="920"/>
        <v>3.0701999999999998</v>
      </c>
      <c r="AR1623" s="66">
        <v>-7.0000000000000007E-2</v>
      </c>
      <c r="AS1623" s="96" t="s">
        <v>1594</v>
      </c>
      <c r="AT1623" s="20">
        <f t="shared" ref="AT1623" si="947">(AK1623*V1623*X1623*Z1622*AA1623*AB1622*AC1623*AD1622*AG1623*AH1622)+AR1623</f>
        <v>3.2514028793131686</v>
      </c>
      <c r="AU1623" s="20">
        <f t="shared" ref="AU1623" si="948">AT1622</f>
        <v>2.8548799037945343</v>
      </c>
      <c r="AV1623" s="12">
        <f t="shared" ref="AV1623" si="949">AK1623*W1623*X1623*Z1622*AA1623*AB1622</f>
        <v>3.3159190439846622</v>
      </c>
      <c r="AW1623" s="12">
        <f t="shared" ref="AW1623" si="950">AV1622</f>
        <v>2.7848799037945344</v>
      </c>
      <c r="AX1623" s="8">
        <f t="shared" si="925"/>
        <v>-4.8597120686821427E-2</v>
      </c>
      <c r="AY1623" s="8">
        <f t="shared" si="926"/>
        <v>-9.5120096205455695E-2</v>
      </c>
      <c r="AZ1623" s="8">
        <f t="shared" si="927"/>
        <v>-0.14371721689227712</v>
      </c>
      <c r="BA1623" s="8">
        <f t="shared" si="928"/>
        <v>4.6522975518634269E-2</v>
      </c>
      <c r="BB1623" s="62">
        <f t="shared" si="929"/>
        <v>-130</v>
      </c>
      <c r="BC1623" s="21">
        <f t="shared" si="930"/>
        <v>136</v>
      </c>
      <c r="BD1623" s="21">
        <f t="shared" si="931"/>
        <v>109</v>
      </c>
      <c r="BE1623" s="21">
        <f t="shared" si="932"/>
        <v>-116</v>
      </c>
      <c r="BF1623" s="94">
        <f t="shared" si="57"/>
        <v>0.5650495042678052</v>
      </c>
      <c r="BG1623" s="22">
        <f t="shared" ref="BG1623" si="951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0.42295737618349027</v>
      </c>
      <c r="BH1623" s="22">
        <f t="shared" ref="BH1623" si="952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0.47748601029807819</v>
      </c>
      <c r="BI1623" s="22">
        <f t="shared" ref="BI1623" si="95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0.53715522113014169</v>
      </c>
      <c r="BJ1623" s="21">
        <f t="shared" si="934"/>
        <v>-141</v>
      </c>
      <c r="BK1623" s="21">
        <f t="shared" si="935"/>
        <v>137</v>
      </c>
      <c r="BL1623" s="21">
        <f t="shared" si="936"/>
        <v>110</v>
      </c>
      <c r="BM1623" s="21">
        <f t="shared" si="937"/>
        <v>-116</v>
      </c>
      <c r="BN1623" s="22">
        <f t="shared" si="61"/>
        <v>0.58533120837122943</v>
      </c>
      <c r="BO1623" s="22">
        <f t="shared" ref="BO1623" si="954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0.42273981820881151</v>
      </c>
      <c r="BP1623" s="22">
        <f t="shared" ref="BP1623" si="955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0.47731216619575367</v>
      </c>
      <c r="BQ1623" s="22">
        <f t="shared" ref="BQ1623" si="956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0.53708640207696456</v>
      </c>
      <c r="BR1623">
        <v>3.75</v>
      </c>
      <c r="BS1623">
        <v>4.75</v>
      </c>
      <c r="BT1623">
        <v>0.36831999999999998</v>
      </c>
      <c r="BU1623">
        <v>0.14538000000000001</v>
      </c>
      <c r="BV1623">
        <v>0.15664260316776199</v>
      </c>
      <c r="BW1623">
        <v>0.21728</v>
      </c>
    </row>
    <row r="1624" spans="1:75" ht="16.75" customHeight="1" x14ac:dyDescent="0.2">
      <c r="A1624" t="str">
        <f t="shared" si="536"/>
        <v>2025020782 OTT</v>
      </c>
      <c r="B1624">
        <v>2025020782</v>
      </c>
      <c r="C1624" s="1">
        <v>46042</v>
      </c>
      <c r="D1624" s="2" t="s">
        <v>6</v>
      </c>
      <c r="E1624" t="s">
        <v>39</v>
      </c>
      <c r="F1624" s="2">
        <v>1</v>
      </c>
      <c r="G1624" s="2">
        <v>2</v>
      </c>
      <c r="H1624" t="s">
        <v>36</v>
      </c>
      <c r="I1624" t="str">
        <f t="shared" si="176"/>
        <v>OTT James Reimer</v>
      </c>
      <c r="J1624" s="33" t="s">
        <v>1950</v>
      </c>
      <c r="K1624" s="14">
        <v>2.96</v>
      </c>
      <c r="L1624" s="13">
        <v>0.15</v>
      </c>
      <c r="M1624" s="28">
        <v>0.1</v>
      </c>
      <c r="N1624">
        <f>IFERROR(_xlfn.XLOOKUP(A1624,Params!A:A,Params!D:D),0)</f>
        <v>3.2999999999999901</v>
      </c>
      <c r="O1624">
        <f t="shared" ref="O1624" si="957">N1625</f>
        <v>3.2499999999999898</v>
      </c>
      <c r="P1624" s="68">
        <f t="shared" si="909"/>
        <v>3.2999999999999901</v>
      </c>
      <c r="Q1624">
        <f t="shared" ref="Q1624" si="958">P1625</f>
        <v>3.2499999999999898</v>
      </c>
      <c r="R1624" s="5">
        <f t="shared" ref="R1624" si="959">N1624/W1624/X1624/Z1625/AB1625/AA1624</f>
        <v>3.0745795636894271</v>
      </c>
      <c r="S1624" s="5">
        <f t="shared" ref="S1624" si="960">O1624/W1625/Y1624/Z1624/AA1625/AB1624</f>
        <v>3.0656494305315496</v>
      </c>
      <c r="T1624" s="5">
        <f t="shared" ref="T1624" si="961">P1624/W1624/X1624/Z1625/AB1625</f>
        <v>3.0745795636894271</v>
      </c>
      <c r="U1624" s="5">
        <f t="shared" ref="U1624" si="962">Q1624/W1625/Y1624/Z1624/AA1625</f>
        <v>3.0656494305315496</v>
      </c>
      <c r="V1624" s="5">
        <f>_xlfn.XLOOKUP(H1624,'Rest - Home'!A:A,'Rest - Home'!B:B)</f>
        <v>0.97</v>
      </c>
      <c r="W1624" s="5">
        <f>_xlfn.XLOOKUP(H1624,'Rest - Home'!A:A,'Rest - Home'!C:C)</f>
        <v>0.95751047349149665</v>
      </c>
      <c r="X1624" s="5">
        <f t="shared" ref="X1624" si="963">AM1625/K1624</f>
        <v>1.0675675675675675</v>
      </c>
      <c r="Y1624" s="5">
        <f t="shared" ref="Y1624" si="964">AK1625/K1624</f>
        <v>1.0304054054054053</v>
      </c>
      <c r="Z1624" s="5">
        <f>IF(J1624="",1,(_xlfn.XLOOKUP(I1624,Goalies!B:B,Goalies!J:J)))</f>
        <v>1.02</v>
      </c>
      <c r="AA1624" s="23">
        <v>1</v>
      </c>
      <c r="AB1624" s="23">
        <v>1</v>
      </c>
      <c r="AC1624" s="23">
        <f>_xlfn.XLOOKUP(E1624,'Game Adjustments'!A:A,'Game Adjustments'!B:B)</f>
        <v>1</v>
      </c>
      <c r="AD1624" s="23">
        <f>_xlfn.XLOOKUP(E1624,'Game Adjustments'!A:A,'Game Adjustments'!C:C)</f>
        <v>1</v>
      </c>
      <c r="AE1624" s="23">
        <f>IF(D1624="A",_xlfn.XLOOKUP(E1624,'Rest - Home'!F:F,'Rest - Home'!J:J),_xlfn.XLOOKUP(E1624,'Rest - Home'!F:F,'Rest - Home'!I:I))</f>
        <v>1</v>
      </c>
      <c r="AF1624" s="23">
        <f>IF(D1624="A",_xlfn.XLOOKUP(E1624,'Rest - Home'!F:F,'Rest - Home'!L:L),_xlfn.XLOOKUP(E1624,'Rest - Home'!F:F,'Rest - Home'!K:K))</f>
        <v>1</v>
      </c>
      <c r="AG1624" s="26">
        <v>1</v>
      </c>
      <c r="AH1624" s="26">
        <v>1</v>
      </c>
      <c r="AI1624" s="53" cm="1">
        <f t="array" ref="AI1624">MAX(IF($E$63:E1623=E1624,ROW($E$63:E1623)-MIN(ROW($E$63:E1623))+1))</f>
        <v>1536</v>
      </c>
      <c r="AJ1624" s="53" cm="1">
        <f t="array" ref="AJ1624">MAX(IF($I$105:I1623=I1624,ROW($I$105:I1623)-MIN(ROW($I$105:I1623))+1))</f>
        <v>1494</v>
      </c>
      <c r="AK1624" s="23">
        <f>IF(AI1624=0,_xlfn.XLOOKUP(E1624,'Starting GF'!A:A,'Starting GF'!B:B),INDEX($AL$63:$AL1624,AI1624))</f>
        <v>3.0637016571605584</v>
      </c>
      <c r="AL1624" s="23">
        <f t="shared" si="917"/>
        <v>3.0653333431398884</v>
      </c>
      <c r="AM1624" s="23">
        <f>IF(AI1624=0,_xlfn.XLOOKUP(E1624,'Starting GF'!A:A,'Starting GF'!C:C),INDEX($AN$63:$AN1624,AI1624))</f>
        <v>3.1</v>
      </c>
      <c r="AN1624" s="23">
        <f t="shared" si="918"/>
        <v>3.094847414579732</v>
      </c>
      <c r="AO1624" s="23">
        <f>IF(AJ1624=0,_xlfn.XLOOKUP(I1624,Goalies!B:B,Goalies!I:I),INDEX($AP$105:$AP1624,AJ1624))</f>
        <v>3.0660938129160424</v>
      </c>
      <c r="AP1624" s="23">
        <f t="shared" si="919"/>
        <v>3.0752241038499628</v>
      </c>
      <c r="AQ1624" s="23">
        <f t="shared" si="920"/>
        <v>3.1620000000000004</v>
      </c>
      <c r="AR1624" s="66">
        <v>0.03</v>
      </c>
      <c r="AS1624" s="96" t="s">
        <v>1594</v>
      </c>
      <c r="AT1624" s="20">
        <f t="shared" ref="AT1624" si="965">(AK1624*V1624*X1624*Z1625*AA1624*AB1625*AC1624*AD1625*AG1624*AH1625)+AR1624</f>
        <v>3.3612166336165443</v>
      </c>
      <c r="AU1624" s="20">
        <f t="shared" ref="AU1624" si="966">AT1625</f>
        <v>3.2726155287162162</v>
      </c>
      <c r="AV1624" s="12">
        <f t="shared" ref="AV1624" si="967">AK1624*V1624*X1624*Z1625*AA1624*AB1625</f>
        <v>3.3312166336165445</v>
      </c>
      <c r="AW1624" s="12">
        <f t="shared" ref="AW1624" si="968">AV1625</f>
        <v>3.2864162156509447</v>
      </c>
      <c r="AX1624" s="8">
        <f t="shared" si="925"/>
        <v>6.1216633616554272E-2</v>
      </c>
      <c r="AY1624" s="8">
        <f t="shared" si="926"/>
        <v>2.2615528716226407E-2</v>
      </c>
      <c r="AZ1624" s="8">
        <f t="shared" si="927"/>
        <v>8.383216233278068E-2</v>
      </c>
      <c r="BA1624" s="8">
        <f t="shared" si="928"/>
        <v>3.8601104900327865E-2</v>
      </c>
      <c r="BB1624" s="62">
        <f t="shared" si="929"/>
        <v>-107</v>
      </c>
      <c r="BC1624" s="21">
        <f t="shared" si="930"/>
        <v>-192</v>
      </c>
      <c r="BD1624" s="21">
        <f t="shared" si="931"/>
        <v>-160</v>
      </c>
      <c r="BE1624" s="21">
        <f t="shared" si="932"/>
        <v>-122</v>
      </c>
      <c r="BF1624" s="94">
        <f t="shared" ref="BF1624" si="969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IF(AT1624&gt;AT1625, 1-_xlpm.interp, _xlpm.interp)
)</f>
        <v>0.51741106023672856</v>
      </c>
      <c r="BG1624" s="22">
        <f t="shared" si="550"/>
        <v>0.6573267409339838</v>
      </c>
      <c r="BH1624" s="22">
        <f t="shared" si="550"/>
        <v>0.61564764058475707</v>
      </c>
      <c r="BI1624" s="22">
        <f t="shared" si="550"/>
        <v>0.54888901395553291</v>
      </c>
      <c r="BJ1624" s="21">
        <f t="shared" si="934"/>
        <v>-105</v>
      </c>
      <c r="BK1624" s="21">
        <f t="shared" si="935"/>
        <v>-189</v>
      </c>
      <c r="BL1624" s="21">
        <f t="shared" si="936"/>
        <v>-158</v>
      </c>
      <c r="BM1624" s="21">
        <f t="shared" si="937"/>
        <v>-121</v>
      </c>
      <c r="BN1624" s="22">
        <f t="shared" ref="BN1624" si="970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IF(AV1624&gt;AV1625, 1-_xlpm.interp, _xlpm.interp)
)</f>
        <v>0.51120552216703929</v>
      </c>
      <c r="BO1624" s="22">
        <f t="shared" si="552"/>
        <v>0.65451742219572329</v>
      </c>
      <c r="BP1624" s="22">
        <f t="shared" si="552"/>
        <v>0.61267910421332572</v>
      </c>
      <c r="BQ1624" s="22">
        <f t="shared" si="552"/>
        <v>0.54649738232189593</v>
      </c>
      <c r="BR1624">
        <v>3.75</v>
      </c>
      <c r="BS1624">
        <v>4.8</v>
      </c>
      <c r="BT1624">
        <v>0.36287000000000003</v>
      </c>
      <c r="BU1624">
        <v>0.14283000000000001</v>
      </c>
      <c r="BV1624">
        <v>0.15391993103076601</v>
      </c>
      <c r="BW1624">
        <v>0.21487999999999999</v>
      </c>
    </row>
    <row r="1625" spans="1:75" ht="16.75" customHeight="1" x14ac:dyDescent="0.2">
      <c r="A1625" t="str">
        <f t="shared" si="536"/>
        <v>2025020782 CBJ</v>
      </c>
      <c r="B1625">
        <v>2025020782</v>
      </c>
      <c r="C1625" s="1">
        <v>46042</v>
      </c>
      <c r="D1625" s="2" t="s">
        <v>9</v>
      </c>
      <c r="E1625" t="s">
        <v>32</v>
      </c>
      <c r="F1625" s="2">
        <v>2</v>
      </c>
      <c r="G1625" s="2">
        <v>1</v>
      </c>
      <c r="H1625" t="s">
        <v>38</v>
      </c>
      <c r="I1625" t="str">
        <f t="shared" si="176"/>
        <v>CBJ Elvis Merzlikins</v>
      </c>
      <c r="J1625" s="33" t="s">
        <v>159</v>
      </c>
      <c r="K1625" s="14">
        <v>2.96</v>
      </c>
      <c r="L1625" s="13">
        <v>0.15</v>
      </c>
      <c r="M1625" s="28">
        <v>0.1</v>
      </c>
      <c r="N1625">
        <f>IFERROR(_xlfn.XLOOKUP(A1625,Params!A:A,Params!D:D),0)</f>
        <v>3.2499999999999898</v>
      </c>
      <c r="O1625">
        <f t="shared" ref="O1625" si="971">N1624</f>
        <v>3.2999999999999901</v>
      </c>
      <c r="P1625" s="68">
        <f t="shared" si="909"/>
        <v>3.2499999999999898</v>
      </c>
      <c r="Q1625">
        <f t="shared" ref="Q1625" si="972">P1624</f>
        <v>3.2999999999999901</v>
      </c>
      <c r="R1625" s="5">
        <f t="shared" ref="R1625" si="973">N1625/W1625/X1625/Z1624/AB1624/AA1625</f>
        <v>3.0162034719745883</v>
      </c>
      <c r="S1625" s="5">
        <f t="shared" ref="S1625" si="974">O1625/W1624/Y1625/Z1625/AA1624/AB1625</f>
        <v>3.1712198211437737</v>
      </c>
      <c r="T1625" s="5">
        <f t="shared" ref="T1625" si="975">P1625/W1625/X1625/Z1624/AB1624</f>
        <v>2.9257173678153507</v>
      </c>
      <c r="U1625" s="5">
        <f t="shared" ref="U1625" si="976">Q1625/W1624/Y1625/Z1625/AA1624</f>
        <v>3.1712198211437737</v>
      </c>
      <c r="V1625" s="5">
        <f>_xlfn.XLOOKUP(H1625,'Rest - Home'!A:A,'Rest - Home'!B:B)</f>
        <v>1.0449999999999999</v>
      </c>
      <c r="W1625" s="5">
        <f>_xlfn.XLOOKUP(H1625,'Rest - Home'!A:A,'Rest - Home'!C:C)</f>
        <v>1.0398742800952707</v>
      </c>
      <c r="X1625" s="5">
        <f t="shared" ref="X1625" si="977">AM1624/K1625</f>
        <v>1.0472972972972974</v>
      </c>
      <c r="Y1625" s="5">
        <f t="shared" ref="Y1625" si="978">AK1624/K1625</f>
        <v>1.0350343436353238</v>
      </c>
      <c r="Z1625" s="5">
        <f>IF(J1625="",1,(_xlfn.XLOOKUP(I1625,Goalies!B:B,Goalies!J:J)))</f>
        <v>1.05</v>
      </c>
      <c r="AA1625" s="23">
        <v>0.97</v>
      </c>
      <c r="AB1625" s="23">
        <v>1</v>
      </c>
      <c r="AC1625" s="23">
        <f>_xlfn.XLOOKUP(E1625,'Game Adjustments'!A:A,'Game Adjustments'!B:B)</f>
        <v>1</v>
      </c>
      <c r="AD1625" s="23">
        <f>_xlfn.XLOOKUP(E1625,'Game Adjustments'!A:A,'Game Adjustments'!C:C)</f>
        <v>1</v>
      </c>
      <c r="AE1625" s="23">
        <f>IF(D1625="A",_xlfn.XLOOKUP(E1625,'Rest - Home'!F:F,'Rest - Home'!J:J),_xlfn.XLOOKUP(E1625,'Rest - Home'!F:F,'Rest - Home'!I:I))</f>
        <v>1</v>
      </c>
      <c r="AF1625" s="23">
        <f>IF(D1625="A",_xlfn.XLOOKUP(E1625,'Rest - Home'!F:F,'Rest - Home'!L:L),_xlfn.XLOOKUP(E1625,'Rest - Home'!F:F,'Rest - Home'!K:K))</f>
        <v>1</v>
      </c>
      <c r="AG1625" s="26">
        <v>1</v>
      </c>
      <c r="AH1625" s="26">
        <v>1</v>
      </c>
      <c r="AI1625" s="53" cm="1">
        <f t="array" ref="AI1625">MAX(IF($E$63:E1624=E1625,ROW($E$63:E1624)-MIN(ROW($E$63:E1624))+1))</f>
        <v>1518</v>
      </c>
      <c r="AJ1625" s="53" cm="1">
        <f t="array" ref="AJ1625">MAX(IF($I$105:I1624=I1625,ROW($I$105:I1624)-MIN(ROW($I$105:I1624))+1))</f>
        <v>1476</v>
      </c>
      <c r="AK1625" s="23">
        <f>IF(AI1625=0,_xlfn.XLOOKUP(E1625,'Starting GF'!A:A,'Starting GF'!B:B),INDEX($AL$63:$AL1625,AI1625))</f>
        <v>3.05</v>
      </c>
      <c r="AL1625" s="23">
        <f t="shared" si="917"/>
        <v>3.0435732292337994</v>
      </c>
      <c r="AM1625" s="23">
        <f>IF(AI1625=0,_xlfn.XLOOKUP(E1625,'Starting GF'!A:A,'Starting GF'!C:C),INDEX($AN$63:$AN1625,AI1625))</f>
        <v>3.16</v>
      </c>
      <c r="AN1625" s="23">
        <f t="shared" si="918"/>
        <v>3.1616829731715659</v>
      </c>
      <c r="AO1625" s="23">
        <f>IF(AJ1625=0,_xlfn.XLOOKUP(I1625,Goalies!B:B,Goalies!I:I),INDEX($AP$105:$AP1625,AJ1625))</f>
        <v>3.2641541166700181</v>
      </c>
      <c r="AP1625" s="23">
        <f t="shared" si="919"/>
        <v>3.2739981209996598</v>
      </c>
      <c r="AQ1625" s="23">
        <f t="shared" si="920"/>
        <v>3.3180000000000005</v>
      </c>
      <c r="AR1625" s="66">
        <v>-0.03</v>
      </c>
      <c r="AS1625" s="96" t="s">
        <v>1594</v>
      </c>
      <c r="AT1625" s="20">
        <f t="shared" ref="AT1625" si="979">(AK1625*V1625*X1625*Z1624*AA1625*AB1624*AC1625*AD1624*AG1625*AH1624)+AR1625</f>
        <v>3.2726155287162162</v>
      </c>
      <c r="AU1625" s="20">
        <f t="shared" ref="AU1625" si="980">AT1624</f>
        <v>3.3612166336165443</v>
      </c>
      <c r="AV1625" s="12">
        <f t="shared" ref="AV1625" si="981">AK1625*W1625*X1625*Z1624*AA1625*AB1624</f>
        <v>3.2864162156509447</v>
      </c>
      <c r="AW1625" s="12">
        <f t="shared" ref="AW1625" si="982">AV1624</f>
        <v>3.3312166336165445</v>
      </c>
      <c r="AX1625" s="8">
        <f t="shared" si="925"/>
        <v>2.2615528716226407E-2</v>
      </c>
      <c r="AY1625" s="8">
        <f t="shared" si="926"/>
        <v>6.1216633616554272E-2</v>
      </c>
      <c r="AZ1625" s="8">
        <f t="shared" si="927"/>
        <v>8.383216233278068E-2</v>
      </c>
      <c r="BA1625" s="8">
        <f t="shared" si="928"/>
        <v>-3.8601104900327865E-2</v>
      </c>
      <c r="BB1625" s="62">
        <f t="shared" si="929"/>
        <v>107</v>
      </c>
      <c r="BC1625" s="21">
        <f t="shared" si="930"/>
        <v>192</v>
      </c>
      <c r="BD1625" s="21">
        <f t="shared" si="931"/>
        <v>160</v>
      </c>
      <c r="BE1625" s="21">
        <f t="shared" si="932"/>
        <v>122</v>
      </c>
      <c r="BF1625" s="94">
        <f t="shared" si="57"/>
        <v>0.48258893976327144</v>
      </c>
      <c r="BG1625" s="22">
        <f t="shared" ref="BG1625" si="983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0.3426732590660162</v>
      </c>
      <c r="BH1625" s="22">
        <f t="shared" ref="BH1625" si="984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0.38435235941524293</v>
      </c>
      <c r="BI1625" s="22">
        <f t="shared" ref="BI1625" si="985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0.45111098604446709</v>
      </c>
      <c r="BJ1625" s="21">
        <f t="shared" si="934"/>
        <v>105</v>
      </c>
      <c r="BK1625" s="21">
        <f t="shared" si="935"/>
        <v>189</v>
      </c>
      <c r="BL1625" s="21">
        <f t="shared" si="936"/>
        <v>158</v>
      </c>
      <c r="BM1625" s="21">
        <f t="shared" si="937"/>
        <v>121</v>
      </c>
      <c r="BN1625" s="22">
        <f t="shared" si="61"/>
        <v>0.48879447783296071</v>
      </c>
      <c r="BO1625" s="22">
        <f t="shared" ref="BO1625" si="986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0.34548257780427671</v>
      </c>
      <c r="BP1625" s="22">
        <f t="shared" ref="BP1625" si="987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0.38732089578667422</v>
      </c>
      <c r="BQ1625" s="22">
        <f t="shared" ref="BQ1625" si="988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0.45350261767810407</v>
      </c>
      <c r="BR1625">
        <v>3.75</v>
      </c>
      <c r="BS1625">
        <v>4.8499999999999996</v>
      </c>
      <c r="BT1625">
        <v>0.35321000000000002</v>
      </c>
      <c r="BU1625">
        <v>0.13933999999999999</v>
      </c>
      <c r="BV1625">
        <v>0.15007000538502899</v>
      </c>
      <c r="BW1625">
        <v>0.21084</v>
      </c>
    </row>
    <row r="1626" spans="1:75" ht="16.75" customHeight="1" x14ac:dyDescent="0.2">
      <c r="A1626" t="str">
        <f t="shared" si="536"/>
        <v>2025020781 SJS</v>
      </c>
      <c r="B1626">
        <v>2025020781</v>
      </c>
      <c r="C1626" s="1">
        <v>46042</v>
      </c>
      <c r="D1626" s="2" t="s">
        <v>6</v>
      </c>
      <c r="E1626" t="s">
        <v>40</v>
      </c>
      <c r="F1626" s="2">
        <v>0</v>
      </c>
      <c r="G1626" s="2">
        <v>1</v>
      </c>
      <c r="H1626" t="s">
        <v>26</v>
      </c>
      <c r="I1626" t="str">
        <f t="shared" si="176"/>
        <v>SJS Yaroslav Askarov</v>
      </c>
      <c r="J1626" s="33" t="s">
        <v>183</v>
      </c>
      <c r="K1626" s="14">
        <v>2.96</v>
      </c>
      <c r="L1626" s="13">
        <v>0.15</v>
      </c>
      <c r="M1626" s="28">
        <v>0.1</v>
      </c>
      <c r="N1626">
        <f>IFERROR(_xlfn.XLOOKUP(A1626,Params!A:A,Params!D:D),0)</f>
        <v>2.3499999999999899</v>
      </c>
      <c r="O1626">
        <f t="shared" ref="O1626" si="989">N1627</f>
        <v>3.94999999999999</v>
      </c>
      <c r="P1626" s="68">
        <f t="shared" si="909"/>
        <v>2.3499999999999899</v>
      </c>
      <c r="Q1626">
        <f t="shared" ref="Q1626" si="990">P1627</f>
        <v>3.94999999999999</v>
      </c>
      <c r="R1626" s="5">
        <f t="shared" ref="R1626" si="991">N1626/W1626/X1626/Z1627/AB1627/AA1626</f>
        <v>2.8769212817196741</v>
      </c>
      <c r="S1626" s="5">
        <f t="shared" ref="S1626" si="992">O1626/W1627/Y1626/Z1626/AA1627/AB1626</f>
        <v>3.4849825732428474</v>
      </c>
      <c r="T1626" s="5">
        <f t="shared" ref="T1626" si="993">P1626/W1626/X1626/Z1627/AB1627</f>
        <v>2.8337674624938791</v>
      </c>
      <c r="U1626" s="5">
        <f t="shared" ref="U1626" si="994">Q1626/W1627/Y1626/Z1626/AA1627</f>
        <v>3.4849825732428474</v>
      </c>
      <c r="V1626" s="5">
        <f>_xlfn.XLOOKUP(H1626,'Rest - Home'!A:A,'Rest - Home'!B:B)</f>
        <v>0.95</v>
      </c>
      <c r="W1626" s="5">
        <f>_xlfn.XLOOKUP(H1626,'Rest - Home'!A:A,'Rest - Home'!C:C)</f>
        <v>0.92554174501717079</v>
      </c>
      <c r="X1626" s="5">
        <f t="shared" ref="X1626" si="995">AM1627/K1626</f>
        <v>0.88851351351351349</v>
      </c>
      <c r="Y1626" s="5">
        <f t="shared" ref="Y1626" si="996">AK1627/K1626</f>
        <v>1.1351351351351351</v>
      </c>
      <c r="Z1626" s="5">
        <f>IF(J1626="",1,(_xlfn.XLOOKUP(I1626,Goalies!B:B,Goalies!J:J)))</f>
        <v>0.98</v>
      </c>
      <c r="AA1626" s="23">
        <v>0.98499999999999999</v>
      </c>
      <c r="AB1626" s="23">
        <v>1</v>
      </c>
      <c r="AC1626" s="23">
        <f>_xlfn.XLOOKUP(E1626,'Game Adjustments'!A:A,'Game Adjustments'!B:B)</f>
        <v>1</v>
      </c>
      <c r="AD1626" s="23">
        <f>_xlfn.XLOOKUP(E1626,'Game Adjustments'!A:A,'Game Adjustments'!C:C)</f>
        <v>1</v>
      </c>
      <c r="AE1626" s="23">
        <f>IF(D1626="A",_xlfn.XLOOKUP(E1626,'Rest - Home'!F:F,'Rest - Home'!J:J),_xlfn.XLOOKUP(E1626,'Rest - Home'!F:F,'Rest - Home'!I:I))</f>
        <v>1</v>
      </c>
      <c r="AF1626" s="23">
        <f>IF(D1626="A",_xlfn.XLOOKUP(E1626,'Rest - Home'!F:F,'Rest - Home'!L:L),_xlfn.XLOOKUP(E1626,'Rest - Home'!F:F,'Rest - Home'!K:K))</f>
        <v>1</v>
      </c>
      <c r="AG1626" s="26">
        <v>1</v>
      </c>
      <c r="AH1626" s="26">
        <v>1</v>
      </c>
      <c r="AI1626" s="53" cm="1">
        <f t="array" ref="AI1626">MAX(IF($E$63:E1625=E1626,ROW($E$63:E1625)-MIN(ROW($E$63:E1625))+1))</f>
        <v>1546</v>
      </c>
      <c r="AJ1626" s="53" cm="1">
        <f t="array" ref="AJ1626">MAX(IF($I$105:I1625=I1626,ROW($I$105:I1625)-MIN(ROW($I$105:I1625))+1))</f>
        <v>1458</v>
      </c>
      <c r="AK1626" s="23">
        <f>IF(AI1626=0,_xlfn.XLOOKUP(E1626,'Starting GF'!A:A,'Starting GF'!B:B),INDEX($AL$63:$AL1626,AI1626))</f>
        <v>2.9750000000000001</v>
      </c>
      <c r="AL1626" s="23">
        <f t="shared" si="917"/>
        <v>2.9596408849695641</v>
      </c>
      <c r="AM1626" s="23">
        <f>IF(AI1626=0,_xlfn.XLOOKUP(E1626,'Starting GF'!A:A,'Starting GF'!C:C),INDEX($AN$63:$AN1626,AI1626))</f>
        <v>3.34</v>
      </c>
      <c r="AN1626" s="23">
        <f t="shared" si="918"/>
        <v>3.3617473859864271</v>
      </c>
      <c r="AO1626" s="23">
        <f>IF(AJ1626=0,_xlfn.XLOOKUP(I1626,Goalies!B:B,Goalies!I:I),INDEX($AP$105:$AP1626,AJ1626))</f>
        <v>3.4357135723684338</v>
      </c>
      <c r="AP1626" s="23">
        <f t="shared" si="919"/>
        <v>3.432648974779867</v>
      </c>
      <c r="AQ1626" s="23">
        <f t="shared" si="920"/>
        <v>3.2731999999999997</v>
      </c>
      <c r="AR1626" s="66">
        <v>-0.06</v>
      </c>
      <c r="AS1626" s="96" t="s">
        <v>1593</v>
      </c>
      <c r="AT1626" s="20">
        <f t="shared" ref="AT1626" si="997">(AK1626*V1626*X1626*Z1627*AA1626*AB1627*AC1626*AD1627*AG1626*AH1627)+AR1626</f>
        <v>2.4343330838930526</v>
      </c>
      <c r="AU1626" s="20">
        <f t="shared" ref="AU1626" si="998">AT1627</f>
        <v>3.766235513513513</v>
      </c>
      <c r="AV1626" s="12">
        <f t="shared" ref="AV1626" si="999">AK1626*V1626*X1626*Z1627*AA1626*AB1627</f>
        <v>2.4943330838930526</v>
      </c>
      <c r="AW1626" s="12">
        <f t="shared" ref="AW1626" si="1000">AV1627</f>
        <v>3.7856717279718297</v>
      </c>
      <c r="AX1626" s="8">
        <f t="shared" si="925"/>
        <v>8.433308389306271E-2</v>
      </c>
      <c r="AY1626" s="8">
        <f t="shared" si="926"/>
        <v>-0.18376448648647692</v>
      </c>
      <c r="AZ1626" s="8">
        <f t="shared" si="927"/>
        <v>-9.9431402593414209E-2</v>
      </c>
      <c r="BA1626" s="8">
        <f t="shared" si="928"/>
        <v>0.26809757037953963</v>
      </c>
      <c r="BB1626" s="62">
        <f t="shared" si="929"/>
        <v>233</v>
      </c>
      <c r="BC1626" s="21">
        <f t="shared" si="930"/>
        <v>-145</v>
      </c>
      <c r="BD1626" s="21">
        <f t="shared" si="931"/>
        <v>-116</v>
      </c>
      <c r="BE1626" s="21">
        <f t="shared" si="932"/>
        <v>111</v>
      </c>
      <c r="BF1626" s="94">
        <f t="shared" ref="BF1626" si="1001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IF(AT1626&gt;AT1627, 1-_xlpm.interp, _xlpm.interp)
)</f>
        <v>0.29999515905318652</v>
      </c>
      <c r="BG1626" s="22">
        <f t="shared" si="550"/>
        <v>0.59142933965481648</v>
      </c>
      <c r="BH1626" s="22">
        <f t="shared" si="550"/>
        <v>0.53663005006008746</v>
      </c>
      <c r="BI1626" s="22">
        <f t="shared" si="550"/>
        <v>0.47317267150586584</v>
      </c>
      <c r="BJ1626" s="21">
        <f t="shared" si="934"/>
        <v>227</v>
      </c>
      <c r="BK1626" s="21">
        <f t="shared" si="935"/>
        <v>-153</v>
      </c>
      <c r="BL1626" s="21">
        <f t="shared" si="936"/>
        <v>-124</v>
      </c>
      <c r="BM1626" s="21">
        <f t="shared" si="937"/>
        <v>105</v>
      </c>
      <c r="BN1626" s="22">
        <f t="shared" ref="BN1626" si="1002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IF(AV1626&gt;AV1627, 1-_xlpm.interp, _xlpm.interp)
)</f>
        <v>0.30622821313315784</v>
      </c>
      <c r="BO1626" s="22">
        <f t="shared" si="552"/>
        <v>0.60510387005731969</v>
      </c>
      <c r="BP1626" s="22">
        <f t="shared" si="552"/>
        <v>0.5530132507098281</v>
      </c>
      <c r="BQ1626" s="22">
        <f t="shared" si="552"/>
        <v>0.48857029153167608</v>
      </c>
      <c r="BR1626">
        <v>3.75</v>
      </c>
      <c r="BS1626">
        <v>4.9000000000000004</v>
      </c>
      <c r="BT1626">
        <v>0.34741</v>
      </c>
      <c r="BU1626">
        <v>0.13477</v>
      </c>
      <c r="BV1626">
        <v>0.144935796786613</v>
      </c>
      <c r="BW1626">
        <v>0.20491000000000001</v>
      </c>
    </row>
    <row r="1627" spans="1:75" ht="16.75" customHeight="1" x14ac:dyDescent="0.2">
      <c r="A1627" t="str">
        <f t="shared" si="536"/>
        <v>2025020781 TBL</v>
      </c>
      <c r="B1627">
        <v>2025020781</v>
      </c>
      <c r="C1627" s="1">
        <v>46042</v>
      </c>
      <c r="D1627" s="2" t="s">
        <v>9</v>
      </c>
      <c r="E1627" t="s">
        <v>41</v>
      </c>
      <c r="F1627" s="2">
        <v>1</v>
      </c>
      <c r="G1627" s="2">
        <v>0</v>
      </c>
      <c r="H1627" t="s">
        <v>27</v>
      </c>
      <c r="I1627" t="str">
        <f t="shared" si="176"/>
        <v>TBL Andrei Vasilevskiy</v>
      </c>
      <c r="J1627" s="33" t="s">
        <v>187</v>
      </c>
      <c r="K1627" s="14">
        <v>2.96</v>
      </c>
      <c r="L1627" s="13">
        <v>0.15</v>
      </c>
      <c r="M1627" s="28">
        <v>0.1</v>
      </c>
      <c r="N1627">
        <f>IFERROR(_xlfn.XLOOKUP(A1627,Params!A:A,Params!D:D),0)</f>
        <v>3.94999999999999</v>
      </c>
      <c r="O1627">
        <f t="shared" ref="O1627" si="1003">N1626</f>
        <v>2.3499999999999899</v>
      </c>
      <c r="P1627" s="68">
        <f t="shared" si="909"/>
        <v>3.94999999999999</v>
      </c>
      <c r="Q1627">
        <f t="shared" ref="Q1627" si="1004">P1626</f>
        <v>2.3499999999999899</v>
      </c>
      <c r="R1627" s="5">
        <f t="shared" ref="R1627" si="1005">N1627/W1627/X1627/Z1626/AB1626/AA1627</f>
        <v>3.5058507323640629</v>
      </c>
      <c r="S1627" s="5">
        <f t="shared" ref="S1627" si="1006">O1627/W1626/Y1627/Z1627/AA1626/AB1627</f>
        <v>2.5432951162765525</v>
      </c>
      <c r="T1627" s="5">
        <f t="shared" ref="T1627" si="1007">P1627/W1627/X1627/Z1626/AB1626</f>
        <v>3.3305581957458594</v>
      </c>
      <c r="U1627" s="5">
        <f t="shared" ref="U1627" si="1008">Q1627/W1626/Y1627/Z1627/AA1626</f>
        <v>2.6577433965089972</v>
      </c>
      <c r="V1627" s="5">
        <f>_xlfn.XLOOKUP(H1627,'Rest - Home'!A:A,'Rest - Home'!B:B)</f>
        <v>1.05</v>
      </c>
      <c r="W1627" s="5">
        <f>_xlfn.XLOOKUP(H1627,'Rest - Home'!A:A,'Rest - Home'!C:C)</f>
        <v>1.0725047827848808</v>
      </c>
      <c r="X1627" s="5">
        <f t="shared" ref="X1627" si="1009">AM1626/K1627</f>
        <v>1.1283783783783783</v>
      </c>
      <c r="Y1627" s="5">
        <f t="shared" ref="Y1627" si="1010">AK1626/K1627</f>
        <v>1.0050675675675675</v>
      </c>
      <c r="Z1627" s="5">
        <f>IF(J1627="",1,(_xlfn.XLOOKUP(I1627,Goalies!B:B,Goalies!J:J)))</f>
        <v>0.96499999999999997</v>
      </c>
      <c r="AA1627" s="23">
        <v>0.95</v>
      </c>
      <c r="AB1627" s="23">
        <v>1.0449999999999999</v>
      </c>
      <c r="AC1627" s="23">
        <f>_xlfn.XLOOKUP(E1627,'Game Adjustments'!A:A,'Game Adjustments'!B:B)</f>
        <v>1</v>
      </c>
      <c r="AD1627" s="23">
        <f>_xlfn.XLOOKUP(E1627,'Game Adjustments'!A:A,'Game Adjustments'!C:C)</f>
        <v>1</v>
      </c>
      <c r="AE1627" s="23">
        <f>IF(D1627="A",_xlfn.XLOOKUP(E1627,'Rest - Home'!F:F,'Rest - Home'!J:J),_xlfn.XLOOKUP(E1627,'Rest - Home'!F:F,'Rest - Home'!I:I))</f>
        <v>1</v>
      </c>
      <c r="AF1627" s="23">
        <f>IF(D1627="A",_xlfn.XLOOKUP(E1627,'Rest - Home'!F:F,'Rest - Home'!L:L),_xlfn.XLOOKUP(E1627,'Rest - Home'!F:F,'Rest - Home'!K:K))</f>
        <v>1</v>
      </c>
      <c r="AG1627" s="26">
        <v>1</v>
      </c>
      <c r="AH1627" s="26">
        <v>1</v>
      </c>
      <c r="AI1627" s="53" cm="1">
        <f t="array" ref="AI1627">MAX(IF($E$63:E1626=E1627,ROW($E$63:E1626)-MIN(ROW($E$63:E1626))+1))</f>
        <v>1534</v>
      </c>
      <c r="AJ1627" s="53" cm="1">
        <f t="array" ref="AJ1627">MAX(IF($I$105:I1626=I1627,ROW($I$105:I1626)-MIN(ROW($I$105:I1626))+1))</f>
        <v>1492</v>
      </c>
      <c r="AK1627" s="23">
        <v>3.36</v>
      </c>
      <c r="AL1627" s="23">
        <f t="shared" si="917"/>
        <v>3.3792482218053363</v>
      </c>
      <c r="AM1627" s="23">
        <v>2.63</v>
      </c>
      <c r="AN1627" s="23">
        <f t="shared" si="918"/>
        <v>2.6169942674414828</v>
      </c>
      <c r="AO1627" s="23">
        <f>IF(AJ1627=0,_xlfn.XLOOKUP(I1627,Goalies!B:B,Goalies!I:I),INDEX($AP$105:$AP1627,AJ1627))</f>
        <v>2.6063345471988395</v>
      </c>
      <c r="AP1627" s="23">
        <f t="shared" si="919"/>
        <v>2.5835263332000444</v>
      </c>
      <c r="AQ1627" s="23">
        <f t="shared" si="920"/>
        <v>2.5379499999999999</v>
      </c>
      <c r="AR1627" s="66">
        <v>0.06</v>
      </c>
      <c r="AS1627" s="96" t="s">
        <v>1593</v>
      </c>
      <c r="AT1627" s="20">
        <f t="shared" ref="AT1627" si="1011">(AK1627*V1627*X1627*Z1626*AA1627*AB1626*AC1627*AD1626*AG1627*AH1626)+AR1627</f>
        <v>3.766235513513513</v>
      </c>
      <c r="AU1627" s="20">
        <f t="shared" ref="AU1627" si="1012">AT1626</f>
        <v>2.4343330838930526</v>
      </c>
      <c r="AV1627" s="12">
        <f t="shared" ref="AV1627" si="1013">AK1627*W1627*X1627*Z1626*AA1627*AB1626</f>
        <v>3.7856717279718297</v>
      </c>
      <c r="AW1627" s="12">
        <f t="shared" ref="AW1627" si="1014">AV1626</f>
        <v>2.4943330838930526</v>
      </c>
      <c r="AX1627" s="8">
        <f t="shared" si="925"/>
        <v>-0.18376448648647692</v>
      </c>
      <c r="AY1627" s="8">
        <f t="shared" si="926"/>
        <v>8.433308389306271E-2</v>
      </c>
      <c r="AZ1627" s="8">
        <f t="shared" si="927"/>
        <v>-9.9431402593414209E-2</v>
      </c>
      <c r="BA1627" s="8">
        <f t="shared" si="928"/>
        <v>-0.26809757037953963</v>
      </c>
      <c r="BB1627" s="62">
        <f t="shared" si="929"/>
        <v>-233</v>
      </c>
      <c r="BC1627" s="21">
        <f t="shared" si="930"/>
        <v>145</v>
      </c>
      <c r="BD1627" s="21">
        <f t="shared" si="931"/>
        <v>116</v>
      </c>
      <c r="BE1627" s="21">
        <f t="shared" si="932"/>
        <v>-111</v>
      </c>
      <c r="BF1627" s="94">
        <f t="shared" si="57"/>
        <v>0.70000484094681348</v>
      </c>
      <c r="BG1627" s="22">
        <f t="shared" ref="BG1627" si="1015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0.40857066034518352</v>
      </c>
      <c r="BH1627" s="22">
        <f t="shared" ref="BH1627" si="1016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0.46336994993991254</v>
      </c>
      <c r="BI1627" s="22">
        <f t="shared" ref="BI1627" si="1017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0.52682732849413416</v>
      </c>
      <c r="BJ1627" s="21">
        <f t="shared" si="934"/>
        <v>-227</v>
      </c>
      <c r="BK1627" s="21">
        <f t="shared" si="935"/>
        <v>153</v>
      </c>
      <c r="BL1627" s="21">
        <f t="shared" si="936"/>
        <v>124</v>
      </c>
      <c r="BM1627" s="21">
        <f t="shared" si="937"/>
        <v>-105</v>
      </c>
      <c r="BN1627" s="22">
        <f t="shared" si="61"/>
        <v>0.69377178686684216</v>
      </c>
      <c r="BO1627" s="22">
        <f t="shared" ref="BO1627" si="1018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0.39489612994268025</v>
      </c>
      <c r="BP1627" s="22">
        <f t="shared" ref="BP1627" si="1019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0.4469867492901719</v>
      </c>
      <c r="BQ1627" s="22">
        <f t="shared" ref="BQ1627" si="1020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0.51142970846832392</v>
      </c>
      <c r="BR1627">
        <v>3.75</v>
      </c>
      <c r="BS1627">
        <v>4.95</v>
      </c>
      <c r="BT1627">
        <v>0.34426000000000001</v>
      </c>
      <c r="BU1627">
        <v>0.13259000000000001</v>
      </c>
      <c r="BV1627">
        <v>0.14256376069846399</v>
      </c>
      <c r="BW1627">
        <v>0.20255000000000001</v>
      </c>
    </row>
    <row r="1628" spans="1:75" ht="16.75" customHeight="1" x14ac:dyDescent="0.2">
      <c r="A1628" t="str">
        <f t="shared" si="536"/>
        <v>2025020783 BOS</v>
      </c>
      <c r="B1628">
        <v>2025020783</v>
      </c>
      <c r="C1628" s="1">
        <v>46042</v>
      </c>
      <c r="D1628" s="2" t="s">
        <v>6</v>
      </c>
      <c r="E1628" t="s">
        <v>7</v>
      </c>
      <c r="F1628" s="2">
        <v>2</v>
      </c>
      <c r="G1628" s="2">
        <v>1</v>
      </c>
      <c r="H1628" t="s">
        <v>44</v>
      </c>
      <c r="I1628" t="str">
        <f t="shared" si="176"/>
        <v>BOS Jeremy Swayman</v>
      </c>
      <c r="J1628" s="33" t="s">
        <v>148</v>
      </c>
      <c r="K1628" s="14">
        <v>2.96</v>
      </c>
      <c r="L1628" s="13">
        <v>0.15</v>
      </c>
      <c r="M1628" s="28">
        <v>0.1</v>
      </c>
      <c r="N1628">
        <f>IFERROR(_xlfn.XLOOKUP(A1628,Params!A:A,Params!D:D),0)</f>
        <v>2.69999999999999</v>
      </c>
      <c r="O1628">
        <f t="shared" ref="O1628" si="1021">N1629</f>
        <v>3.0499999999999901</v>
      </c>
      <c r="P1628" s="68">
        <f t="shared" si="909"/>
        <v>2.69999999999999</v>
      </c>
      <c r="Q1628">
        <f t="shared" ref="Q1628" si="1022">P1629</f>
        <v>3.0499999999999901</v>
      </c>
      <c r="R1628" s="5">
        <f>N1628/W1628/X1628/Z1629/AB1629/AA1628</f>
        <v>2.8859175406128674</v>
      </c>
      <c r="S1628" s="5">
        <f t="shared" ref="S1628" si="1023">O1628/W1629/Y1628/Z1628/AA1629/AB1628</f>
        <v>2.9737782593556243</v>
      </c>
      <c r="T1628" s="5">
        <f t="shared" ref="T1628" si="1024">P1628/W1628/X1628/Z1629/AB1629</f>
        <v>2.8859175406128674</v>
      </c>
      <c r="U1628" s="5">
        <f t="shared" ref="U1628" si="1025">Q1628/W1629/Y1628/Z1628/AA1629</f>
        <v>2.9737782593556243</v>
      </c>
      <c r="V1628" s="5">
        <f>_xlfn.XLOOKUP(H1628,'Rest - Home'!A:A,'Rest - Home'!B:B)</f>
        <v>0.96</v>
      </c>
      <c r="W1628" s="5">
        <f>_xlfn.XLOOKUP(H1628,'Rest - Home'!A:A,'Rest - Home'!C:C)</f>
        <v>0.96305398776725637</v>
      </c>
      <c r="X1628" s="5">
        <f t="shared" ref="X1628" si="1026">AM1629/K1628</f>
        <v>0.97635135135135143</v>
      </c>
      <c r="Y1628" s="5">
        <f t="shared" ref="Y1628" si="1027">AK1629/K1628</f>
        <v>1.060810810810811</v>
      </c>
      <c r="Z1628" s="5">
        <f>IF(J1628="",1,(_xlfn.XLOOKUP(I1628,Goalies!B:B,Goalies!J:J)))</f>
        <v>0.97499999999999998</v>
      </c>
      <c r="AA1628" s="23">
        <v>1</v>
      </c>
      <c r="AB1628" s="23">
        <v>1</v>
      </c>
      <c r="AC1628" s="23">
        <f>_xlfn.XLOOKUP(E1628,'Game Adjustments'!A:A,'Game Adjustments'!B:B)</f>
        <v>1</v>
      </c>
      <c r="AD1628" s="23">
        <f>_xlfn.XLOOKUP(E1628,'Game Adjustments'!A:A,'Game Adjustments'!C:C)</f>
        <v>1</v>
      </c>
      <c r="AE1628" s="23">
        <f>IF(D1628="A",_xlfn.XLOOKUP(E1628,'Rest - Home'!F:F,'Rest - Home'!J:J),_xlfn.XLOOKUP(E1628,'Rest - Home'!F:F,'Rest - Home'!I:I))</f>
        <v>1</v>
      </c>
      <c r="AF1628" s="23">
        <f>IF(D1628="A",_xlfn.XLOOKUP(E1628,'Rest - Home'!F:F,'Rest - Home'!L:L),_xlfn.XLOOKUP(E1628,'Rest - Home'!F:F,'Rest - Home'!K:K))</f>
        <v>1</v>
      </c>
      <c r="AG1628" s="26">
        <v>1</v>
      </c>
      <c r="AH1628" s="26">
        <v>1</v>
      </c>
      <c r="AI1628" s="53" cm="1">
        <f t="array" ref="AI1628">MAX(IF($E$63:E1627=E1628,ROW($E$63:E1627)-MIN(ROW($E$63:E1627))+1))</f>
        <v>1526</v>
      </c>
      <c r="AJ1628" s="53" cm="1">
        <f t="array" ref="AJ1628">MAX(IF($I$105:I1627=I1628,ROW($I$105:I1627)-MIN(ROW($I$105:I1627))+1))</f>
        <v>1443</v>
      </c>
      <c r="AK1628" s="23">
        <f>IF(AI1628=0,_xlfn.XLOOKUP(E1628,'Starting GF'!A:A,'Starting GF'!B:B),INDEX($AL$63:$AL1628,AI1628))</f>
        <v>2.94</v>
      </c>
      <c r="AL1628" s="23">
        <f t="shared" si="917"/>
        <v>2.9318876310919304</v>
      </c>
      <c r="AM1628" s="23">
        <f>IF(AI1628=0,_xlfn.XLOOKUP(E1628,'Starting GF'!A:A,'Starting GF'!C:C),INDEX($AN$63:$AN1628,AI1628))</f>
        <v>3.08</v>
      </c>
      <c r="AN1628" s="23">
        <f t="shared" si="918"/>
        <v>3.0640667389033434</v>
      </c>
      <c r="AO1628" s="23">
        <f>IF(AJ1628=0,_xlfn.XLOOKUP(I1628,Goalies!B:B,Goalies!I:I),INDEX($AP$105:$AP1628,AJ1628))</f>
        <v>3.1297029277949844</v>
      </c>
      <c r="AP1628" s="23">
        <f t="shared" si="919"/>
        <v>3.0951625590564968</v>
      </c>
      <c r="AQ1628" s="23">
        <f t="shared" si="920"/>
        <v>3.0030000000000001</v>
      </c>
      <c r="AR1628" s="66">
        <v>0.03</v>
      </c>
      <c r="AS1628" s="96" t="s">
        <v>1593</v>
      </c>
      <c r="AT1628" s="20">
        <f t="shared" ref="AT1628" si="1028">(AK1628*V1628*X1628*Z1629*AA1628*AB1629*AC1628*AD1629*AG1628*AH1629)+AR1628</f>
        <v>2.7718757837837837</v>
      </c>
      <c r="AU1628" s="20">
        <f t="shared" ref="AU1628" si="1029">AT1629</f>
        <v>3.1352269297297295</v>
      </c>
      <c r="AV1628" s="12">
        <f t="shared" ref="AV1628" si="1030">AK1628*V1628*X1628*Z1629*AA1628*AB1629</f>
        <v>2.7418757837837839</v>
      </c>
      <c r="AW1628" s="12">
        <f t="shared" ref="AW1628" si="1031">AV1629</f>
        <v>3.1589443397287855</v>
      </c>
      <c r="AX1628" s="8">
        <f t="shared" si="925"/>
        <v>7.1875783783793779E-2</v>
      </c>
      <c r="AY1628" s="8">
        <f t="shared" si="926"/>
        <v>8.5226929729739442E-2</v>
      </c>
      <c r="AZ1628" s="8">
        <f t="shared" si="927"/>
        <v>0.15710271351353322</v>
      </c>
      <c r="BA1628" s="8">
        <f t="shared" si="928"/>
        <v>-1.3351145945945664E-2</v>
      </c>
      <c r="BB1628" s="62">
        <f t="shared" si="929"/>
        <v>128</v>
      </c>
      <c r="BC1628" s="21">
        <f t="shared" si="930"/>
        <v>-120</v>
      </c>
      <c r="BD1628" s="21">
        <f t="shared" si="931"/>
        <v>105</v>
      </c>
      <c r="BE1628" s="21">
        <f t="shared" si="932"/>
        <v>131</v>
      </c>
      <c r="BF1628" s="94">
        <f t="shared" ref="BF1628" si="1032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IF(AT1628&gt;AT1629, 1-_xlpm.interp, _xlpm.interp)
)</f>
        <v>0.43857468049020765</v>
      </c>
      <c r="BG1628" s="22">
        <f t="shared" si="550"/>
        <v>0.54580226025433787</v>
      </c>
      <c r="BH1628" s="22">
        <f t="shared" si="550"/>
        <v>0.48772983956860017</v>
      </c>
      <c r="BI1628" s="22">
        <f t="shared" si="550"/>
        <v>0.43243299364674281</v>
      </c>
      <c r="BJ1628" s="21">
        <f t="shared" si="934"/>
        <v>133</v>
      </c>
      <c r="BK1628" s="21">
        <f t="shared" si="935"/>
        <v>-120</v>
      </c>
      <c r="BL1628" s="21">
        <f t="shared" si="936"/>
        <v>105</v>
      </c>
      <c r="BM1628" s="21">
        <f t="shared" si="937"/>
        <v>131</v>
      </c>
      <c r="BN1628" s="22">
        <f t="shared" ref="BN1628" si="1033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IF(AV1628&gt;AV1629, 1-_xlpm.interp, _xlpm.interp)
)</f>
        <v>0.42856842851895594</v>
      </c>
      <c r="BO1628" s="22">
        <f t="shared" si="552"/>
        <v>0.54557715118808114</v>
      </c>
      <c r="BP1628" s="22">
        <f t="shared" si="552"/>
        <v>0.48756578782570703</v>
      </c>
      <c r="BQ1628" s="22">
        <f t="shared" si="552"/>
        <v>0.4323739631569542</v>
      </c>
      <c r="BR1628">
        <v>3.75</v>
      </c>
      <c r="BS1628">
        <v>5</v>
      </c>
      <c r="BT1628">
        <v>0.33740999999999999</v>
      </c>
      <c r="BU1628">
        <v>0.13134999999999999</v>
      </c>
      <c r="BV1628">
        <v>0.14105000912771201</v>
      </c>
      <c r="BW1628">
        <v>0.20011999999999999</v>
      </c>
    </row>
    <row r="1629" spans="1:75" ht="16.75" customHeight="1" x14ac:dyDescent="0.2">
      <c r="A1629" t="str">
        <f t="shared" si="536"/>
        <v>2025020783 DAL</v>
      </c>
      <c r="B1629">
        <v>2025020783</v>
      </c>
      <c r="C1629" s="1">
        <v>46042</v>
      </c>
      <c r="D1629" s="2" t="s">
        <v>9</v>
      </c>
      <c r="E1629" t="s">
        <v>34</v>
      </c>
      <c r="F1629" s="2">
        <v>1</v>
      </c>
      <c r="G1629" s="2">
        <v>2</v>
      </c>
      <c r="H1629" t="s">
        <v>45</v>
      </c>
      <c r="I1629" t="str">
        <f t="shared" si="176"/>
        <v>DAL Jake Oettinger</v>
      </c>
      <c r="J1629" s="33" t="s">
        <v>160</v>
      </c>
      <c r="K1629" s="14">
        <v>2.96</v>
      </c>
      <c r="L1629" s="13">
        <v>0.15</v>
      </c>
      <c r="M1629" s="28">
        <v>0.1</v>
      </c>
      <c r="N1629">
        <f>IFERROR(_xlfn.XLOOKUP(A1629,Params!A:A,Params!D:D),0)</f>
        <v>3.0499999999999901</v>
      </c>
      <c r="O1629">
        <f t="shared" ref="O1629" si="1034">N1628</f>
        <v>2.69999999999999</v>
      </c>
      <c r="P1629" s="68">
        <f t="shared" si="909"/>
        <v>3.0499999999999901</v>
      </c>
      <c r="Q1629">
        <f t="shared" ref="Q1629" si="1035">P1628</f>
        <v>2.69999999999999</v>
      </c>
      <c r="R1629" s="5">
        <f t="shared" ref="R1629" si="1036">N1629/W1629/X1629/Z1628/AB1628/AA1629</f>
        <v>3.0317090046677468</v>
      </c>
      <c r="S1629" s="5">
        <f t="shared" ref="S1629" si="1037">O1629/W1628/Y1629/Z1629/AA1628/AB1629</f>
        <v>2.8368373103303361</v>
      </c>
      <c r="T1629" s="5">
        <f t="shared" ref="T1629" si="1038">P1629/W1629/X1629/Z1628/AB1628</f>
        <v>2.9104406444810369</v>
      </c>
      <c r="U1629" s="5">
        <f t="shared" ref="U1629" si="1039">Q1629/W1628/Y1629/Z1629/AA1628</f>
        <v>2.8368373103303361</v>
      </c>
      <c r="V1629" s="5">
        <f>_xlfn.XLOOKUP(H1629,'Rest - Home'!A:A,'Rest - Home'!B:B)</f>
        <v>1.0349999999999999</v>
      </c>
      <c r="W1629" s="5">
        <f>_xlfn.XLOOKUP(H1629,'Rest - Home'!A:A,'Rest - Home'!C:C)</f>
        <v>1.0329456510400874</v>
      </c>
      <c r="X1629" s="5">
        <f t="shared" ref="X1629" si="1040">AM1628/K1629</f>
        <v>1.0405405405405406</v>
      </c>
      <c r="Y1629" s="5">
        <f t="shared" ref="Y1629" si="1041">AK1628/K1629</f>
        <v>0.9932432432432432</v>
      </c>
      <c r="Z1629" s="5">
        <f>IF(J1629="",1,(_xlfn.XLOOKUP(I1629,Goalies!B:B,Goalies!J:J)))</f>
        <v>0.995</v>
      </c>
      <c r="AA1629" s="23">
        <v>0.96</v>
      </c>
      <c r="AB1629" s="23">
        <v>1</v>
      </c>
      <c r="AC1629" s="23">
        <f>_xlfn.XLOOKUP(E1629,'Game Adjustments'!A:A,'Game Adjustments'!B:B)</f>
        <v>1</v>
      </c>
      <c r="AD1629" s="23">
        <f>_xlfn.XLOOKUP(E1629,'Game Adjustments'!A:A,'Game Adjustments'!C:C)</f>
        <v>1</v>
      </c>
      <c r="AE1629" s="23">
        <f>IF(D1629="A",_xlfn.XLOOKUP(E1629,'Rest - Home'!F:F,'Rest - Home'!J:J),_xlfn.XLOOKUP(E1629,'Rest - Home'!F:F,'Rest - Home'!I:I))</f>
        <v>1</v>
      </c>
      <c r="AF1629" s="23">
        <f>IF(D1629="A",_xlfn.XLOOKUP(E1629,'Rest - Home'!F:F,'Rest - Home'!L:L),_xlfn.XLOOKUP(E1629,'Rest - Home'!F:F,'Rest - Home'!K:K))</f>
        <v>1</v>
      </c>
      <c r="AG1629" s="26">
        <v>1</v>
      </c>
      <c r="AH1629" s="26">
        <v>1</v>
      </c>
      <c r="AI1629" s="53" cm="1">
        <f t="array" ref="AI1629">MAX(IF($E$63:E1628=E1629,ROW($E$63:E1628)-MIN(ROW($E$63:E1628))+1))</f>
        <v>1535</v>
      </c>
      <c r="AJ1629" s="53" cm="1">
        <f t="array" ref="AJ1629">MAX(IF($I$105:I1628=I1629,ROW($I$105:I1628)-MIN(ROW($I$105:I1628))+1))</f>
        <v>1493</v>
      </c>
      <c r="AK1629" s="23">
        <f>IF(AI1629=0,_xlfn.XLOOKUP(E1629,'Starting GF'!A:A,'Starting GF'!B:B),INDEX($AL$63:$AL1629,AI1629))</f>
        <v>3.14</v>
      </c>
      <c r="AL1629" s="23">
        <f t="shared" si="917"/>
        <v>3.1219373252973615</v>
      </c>
      <c r="AM1629" s="23">
        <f>IF(AI1629=0,_xlfn.XLOOKUP(E1629,'Starting GF'!A:A,'Starting GF'!C:C),INDEX($AN$63:$AN1629,AI1629))</f>
        <v>2.89</v>
      </c>
      <c r="AN1629" s="23">
        <f t="shared" si="918"/>
        <v>2.8820255965495507</v>
      </c>
      <c r="AO1629" s="23">
        <f>IF(AJ1629=0,_xlfn.XLOOKUP(I1629,Goalies!B:B,Goalies!I:I),INDEX($AP$105:$AP1629,AJ1629))</f>
        <v>2.8620533921821014</v>
      </c>
      <c r="AP1629" s="23">
        <f t="shared" si="919"/>
        <v>2.8561433519215891</v>
      </c>
      <c r="AQ1629" s="23">
        <f t="shared" si="920"/>
        <v>2.8755500000000001</v>
      </c>
      <c r="AR1629" s="66">
        <v>-0.03</v>
      </c>
      <c r="AS1629" s="96" t="s">
        <v>1593</v>
      </c>
      <c r="AT1629" s="20">
        <f t="shared" ref="AT1629" si="1042">(AK1629*V1629*X1629*Z1628*AA1629*AB1628*AC1629*AD1628*AG1629*AH1628)+AR1629</f>
        <v>3.1352269297297295</v>
      </c>
      <c r="AU1629" s="20">
        <f t="shared" ref="AU1629" si="1043">AT1628</f>
        <v>2.7718757837837837</v>
      </c>
      <c r="AV1629" s="12">
        <f t="shared" ref="AV1629" si="1044">AK1629*W1629*X1629*Z1628*AA1629*AB1628</f>
        <v>3.1589443397287855</v>
      </c>
      <c r="AW1629" s="12">
        <f t="shared" ref="AW1629" si="1045">AV1628</f>
        <v>2.7418757837837839</v>
      </c>
      <c r="AX1629" s="8">
        <f t="shared" si="925"/>
        <v>8.5226929729739442E-2</v>
      </c>
      <c r="AY1629" s="8">
        <f t="shared" si="926"/>
        <v>7.1875783783793779E-2</v>
      </c>
      <c r="AZ1629" s="8">
        <f t="shared" si="927"/>
        <v>0.15710271351353322</v>
      </c>
      <c r="BA1629" s="8">
        <f t="shared" si="928"/>
        <v>1.3351145945945664E-2</v>
      </c>
      <c r="BB1629" s="62">
        <f t="shared" si="929"/>
        <v>-128</v>
      </c>
      <c r="BC1629" s="21">
        <f t="shared" si="930"/>
        <v>120</v>
      </c>
      <c r="BD1629" s="21">
        <f t="shared" si="931"/>
        <v>-105</v>
      </c>
      <c r="BE1629" s="21">
        <f t="shared" si="932"/>
        <v>-131</v>
      </c>
      <c r="BF1629" s="94">
        <f t="shared" si="57"/>
        <v>0.56142531950979235</v>
      </c>
      <c r="BG1629" s="22">
        <f t="shared" ref="BG1629" si="1046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0.45419773974566213</v>
      </c>
      <c r="BH1629" s="22">
        <f t="shared" ref="BH1629" si="1047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0.51227016043139983</v>
      </c>
      <c r="BI1629" s="22">
        <f t="shared" ref="BI1629" si="1048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0.56756700635325719</v>
      </c>
      <c r="BJ1629" s="21">
        <f t="shared" si="934"/>
        <v>-133</v>
      </c>
      <c r="BK1629" s="21">
        <f t="shared" si="935"/>
        <v>120</v>
      </c>
      <c r="BL1629" s="21">
        <f t="shared" si="936"/>
        <v>-105</v>
      </c>
      <c r="BM1629" s="21">
        <f t="shared" si="937"/>
        <v>-131</v>
      </c>
      <c r="BN1629" s="22">
        <f t="shared" si="61"/>
        <v>0.57143157148104406</v>
      </c>
      <c r="BO1629" s="22">
        <f t="shared" ref="BO1629" si="1049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0.4544228488119188</v>
      </c>
      <c r="BP1629" s="22">
        <f t="shared" ref="BP1629" si="1050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0.51243421217429297</v>
      </c>
      <c r="BQ1629" s="22">
        <f t="shared" ref="BQ1629" si="1051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0.5676260368430458</v>
      </c>
      <c r="BR1629">
        <v>3.8</v>
      </c>
      <c r="BS1629">
        <v>3.8</v>
      </c>
      <c r="BT1629">
        <v>0.49556</v>
      </c>
      <c r="BU1629">
        <v>0.22383</v>
      </c>
      <c r="BV1629">
        <v>0.246443671276314</v>
      </c>
      <c r="BW1629">
        <v>0.31558999999999998</v>
      </c>
    </row>
    <row r="1630" spans="1:75" ht="16.75" customHeight="1" x14ac:dyDescent="0.2">
      <c r="A1630" t="str">
        <f t="shared" si="536"/>
        <v>2025020784 BUF</v>
      </c>
      <c r="B1630">
        <v>2025020784</v>
      </c>
      <c r="C1630" s="1">
        <v>46042</v>
      </c>
      <c r="D1630" s="2" t="s">
        <v>6</v>
      </c>
      <c r="E1630" t="s">
        <v>5</v>
      </c>
      <c r="F1630" s="2">
        <v>0</v>
      </c>
      <c r="G1630" s="2">
        <v>2</v>
      </c>
      <c r="H1630" t="s">
        <v>29</v>
      </c>
      <c r="I1630" t="str">
        <f t="shared" si="176"/>
        <v>BUF Alex Lyon</v>
      </c>
      <c r="J1630" s="33" t="s">
        <v>274</v>
      </c>
      <c r="K1630" s="14">
        <v>2.96</v>
      </c>
      <c r="L1630" s="13">
        <v>0.15</v>
      </c>
      <c r="M1630" s="28">
        <v>0.1</v>
      </c>
      <c r="N1630">
        <f>IFERROR(_xlfn.XLOOKUP(A1630,Params!A:A,Params!D:D),0)</f>
        <v>2.94999999999999</v>
      </c>
      <c r="O1630">
        <f t="shared" ref="O1630" si="1052">N1631</f>
        <v>3.2499999999999898</v>
      </c>
      <c r="P1630" s="68">
        <f t="shared" si="909"/>
        <v>2.94999999999999</v>
      </c>
      <c r="Q1630">
        <f t="shared" ref="Q1630" si="1053">P1631</f>
        <v>3.2499999999999898</v>
      </c>
      <c r="R1630" s="5">
        <f t="shared" ref="R1630" si="1054">N1630/W1630/X1630/Z1631/AB1631/AA1630</f>
        <v>3.1255725121878331</v>
      </c>
      <c r="S1630" s="5">
        <f t="shared" ref="S1630" si="1055">O1630/W1631/Y1630/Z1630/AA1631/AB1630</f>
        <v>3.1780695769676064</v>
      </c>
      <c r="T1630" s="5">
        <f t="shared" ref="T1630" si="1056">P1630/W1630/X1630/Z1631/AB1631</f>
        <v>3.0630610619440763</v>
      </c>
      <c r="U1630" s="5">
        <f t="shared" ref="U1630" si="1057">Q1630/W1631/Y1630/Z1630/AA1631</f>
        <v>3.1780695769676064</v>
      </c>
      <c r="V1630" s="5">
        <f>_xlfn.XLOOKUP(H1630,'Rest - Home'!A:A,'Rest - Home'!B:B)</f>
        <v>0.90300000000000002</v>
      </c>
      <c r="W1630" s="5">
        <f>_xlfn.XLOOKUP(H1630,'Rest - Home'!A:A,'Rest - Home'!C:C)</f>
        <v>0.92051577291954856</v>
      </c>
      <c r="X1630" s="5">
        <f t="shared" ref="X1630" si="1058">AM1631/K1630</f>
        <v>1.0558135240607931</v>
      </c>
      <c r="Y1630" s="5">
        <f t="shared" ref="Y1630" si="1059">AK1631/K1630</f>
        <v>0.95361410494366461</v>
      </c>
      <c r="Z1630" s="5">
        <f>IF(J1630="",1,(_xlfn.XLOOKUP(I1630,Goalies!B:B,Goalies!J:J)))</f>
        <v>0.99</v>
      </c>
      <c r="AA1630" s="23">
        <v>0.98</v>
      </c>
      <c r="AB1630" s="23">
        <v>1</v>
      </c>
      <c r="AC1630" s="23">
        <f>_xlfn.XLOOKUP(E1630,'Game Adjustments'!A:A,'Game Adjustments'!B:B)</f>
        <v>1</v>
      </c>
      <c r="AD1630" s="23">
        <f>_xlfn.XLOOKUP(E1630,'Game Adjustments'!A:A,'Game Adjustments'!C:C)</f>
        <v>1</v>
      </c>
      <c r="AE1630" s="23">
        <f>IF(D1630="A",_xlfn.XLOOKUP(E1630,'Rest - Home'!F:F,'Rest - Home'!J:J),_xlfn.XLOOKUP(E1630,'Rest - Home'!F:F,'Rest - Home'!I:I))</f>
        <v>1</v>
      </c>
      <c r="AF1630" s="23">
        <f>IF(D1630="A",_xlfn.XLOOKUP(E1630,'Rest - Home'!F:F,'Rest - Home'!L:L),_xlfn.XLOOKUP(E1630,'Rest - Home'!F:F,'Rest - Home'!K:K))</f>
        <v>1</v>
      </c>
      <c r="AG1630" s="26">
        <v>1</v>
      </c>
      <c r="AH1630" s="26">
        <v>1</v>
      </c>
      <c r="AI1630" s="53" cm="1">
        <f t="array" ref="AI1630">MAX(IF($E$63:E1629=E1630,ROW($E$63:E1629)-MIN(ROW($E$63:E1629))+1))</f>
        <v>1540</v>
      </c>
      <c r="AJ1630" s="53" cm="1">
        <f t="array" ref="AJ1630">MAX(IF($I$105:I1629=I1630,ROW($I$105:I1629)-MIN(ROW($I$105:I1629))+1))</f>
        <v>1178</v>
      </c>
      <c r="AK1630" s="23">
        <f>IF(AI1630=0,_xlfn.XLOOKUP(E1630,'Starting GF'!A:A,'Starting GF'!B:B),INDEX($AL$63:$AL1630,AI1630))</f>
        <v>3.091245633564522</v>
      </c>
      <c r="AL1630" s="23">
        <f t="shared" si="917"/>
        <v>3.0954569936043623</v>
      </c>
      <c r="AM1630" s="23">
        <f>IF(AI1630=0,_xlfn.XLOOKUP(E1630,'Starting GF'!A:A,'Starting GF'!C:C),INDEX($AN$63:$AN1630,AI1630))</f>
        <v>3.0374100802177497</v>
      </c>
      <c r="AN1630" s="23">
        <f t="shared" si="918"/>
        <v>3.0585090047302281</v>
      </c>
      <c r="AO1630" s="23">
        <f>IF(AJ1630=0,_xlfn.XLOOKUP(I1630,Goalies!B:B,Goalies!I:I),INDEX($AP$105:$AP1630,AJ1630))</f>
        <v>3.1954482578559116</v>
      </c>
      <c r="AP1630" s="23">
        <f t="shared" si="919"/>
        <v>3.1880743513572143</v>
      </c>
      <c r="AQ1630" s="23">
        <f t="shared" si="920"/>
        <v>3.0070359794155723</v>
      </c>
      <c r="AR1630" s="66">
        <v>0.02</v>
      </c>
      <c r="AS1630" s="96" t="s">
        <v>1594</v>
      </c>
      <c r="AT1630" s="20">
        <f t="shared" ref="AT1630" si="1060">(AK1630*V1630*X1630*Z1631*AA1630*AB1631*AC1630*AD1631*AG1630*AH1631)+AR1630</f>
        <v>2.8820846133392948</v>
      </c>
      <c r="AU1630" s="20">
        <f t="shared" ref="AU1630" si="1061">AT1631</f>
        <v>3.0912938375874979</v>
      </c>
      <c r="AV1630" s="12">
        <f t="shared" ref="AV1630" si="1062">AK1630*V1630*X1630*Z1631*AA1630*AB1631</f>
        <v>2.8620846133392948</v>
      </c>
      <c r="AW1630" s="12">
        <f t="shared" ref="AW1630" si="1063">AV1631</f>
        <v>3.106156904886503</v>
      </c>
      <c r="AX1630" s="8">
        <f t="shared" si="925"/>
        <v>-6.7915386660695187E-2</v>
      </c>
      <c r="AY1630" s="8">
        <f t="shared" si="926"/>
        <v>-0.15870616241249191</v>
      </c>
      <c r="AZ1630" s="8">
        <f t="shared" si="927"/>
        <v>-0.2266215490731871</v>
      </c>
      <c r="BA1630" s="8">
        <f t="shared" si="928"/>
        <v>9.0790775751796726E-2</v>
      </c>
      <c r="BB1630" s="62">
        <f t="shared" si="929"/>
        <v>117</v>
      </c>
      <c r="BC1630" s="21">
        <f t="shared" si="930"/>
        <v>-126</v>
      </c>
      <c r="BD1630" s="21">
        <f t="shared" si="931"/>
        <v>-100</v>
      </c>
      <c r="BE1630" s="21">
        <f t="shared" si="932"/>
        <v>126</v>
      </c>
      <c r="BF1630" s="94">
        <f t="shared" ref="BF1630" si="1064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IF(AT1630&gt;AT1631, 1-_xlpm.interp, _xlpm.interp)
)</f>
        <v>0.46169387367794068</v>
      </c>
      <c r="BG1630" s="22">
        <f t="shared" si="550"/>
        <v>0.55839538716403947</v>
      </c>
      <c r="BH1630" s="22">
        <f t="shared" si="550"/>
        <v>0.50090955352245981</v>
      </c>
      <c r="BI1630" s="22">
        <f t="shared" si="550"/>
        <v>0.44320816899631366</v>
      </c>
      <c r="BJ1630" s="21">
        <f t="shared" si="934"/>
        <v>118</v>
      </c>
      <c r="BK1630" s="21">
        <f t="shared" si="935"/>
        <v>-126</v>
      </c>
      <c r="BL1630" s="21">
        <f t="shared" si="936"/>
        <v>100</v>
      </c>
      <c r="BM1630" s="21">
        <f t="shared" si="937"/>
        <v>126</v>
      </c>
      <c r="BN1630" s="22">
        <f t="shared" ref="BN1630" si="1065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IF(AV1630&gt;AV1631, 1-_xlpm.interp, _xlpm.interp)
)</f>
        <v>0.45772564465479321</v>
      </c>
      <c r="BO1630" s="22">
        <f t="shared" si="552"/>
        <v>0.55699095701828394</v>
      </c>
      <c r="BP1630" s="22">
        <f t="shared" si="552"/>
        <v>0.49944693653204308</v>
      </c>
      <c r="BQ1630" s="22">
        <f t="shared" si="552"/>
        <v>0.44202954745965684</v>
      </c>
      <c r="BR1630">
        <v>3.8</v>
      </c>
      <c r="BS1630">
        <v>3.85</v>
      </c>
      <c r="BT1630">
        <v>0.48938999999999999</v>
      </c>
      <c r="BU1630">
        <v>0.22033</v>
      </c>
      <c r="BV1630">
        <v>0.24242190852377099</v>
      </c>
      <c r="BW1630">
        <v>0.31146000000000001</v>
      </c>
    </row>
    <row r="1631" spans="1:75" ht="16.75" customHeight="1" x14ac:dyDescent="0.2">
      <c r="A1631" t="str">
        <f t="shared" si="536"/>
        <v>2025020784 NSH</v>
      </c>
      <c r="B1631">
        <v>2025020784</v>
      </c>
      <c r="C1631" s="1">
        <v>46042</v>
      </c>
      <c r="D1631" s="2" t="s">
        <v>9</v>
      </c>
      <c r="E1631" t="s">
        <v>35</v>
      </c>
      <c r="F1631" s="2">
        <v>2</v>
      </c>
      <c r="G1631" s="2">
        <v>0</v>
      </c>
      <c r="H1631" t="s">
        <v>31</v>
      </c>
      <c r="I1631" t="str">
        <f t="shared" si="176"/>
        <v>NSH Juuse Saros</v>
      </c>
      <c r="J1631" s="33" t="s">
        <v>172</v>
      </c>
      <c r="K1631" s="14">
        <v>2.96</v>
      </c>
      <c r="L1631" s="13">
        <v>0.15</v>
      </c>
      <c r="M1631" s="28">
        <v>0.1</v>
      </c>
      <c r="N1631">
        <f>IFERROR(_xlfn.XLOOKUP(A1631,Params!A:A,Params!D:D),0)</f>
        <v>3.2499999999999898</v>
      </c>
      <c r="O1631">
        <f t="shared" ref="O1631" si="1066">N1630</f>
        <v>2.94999999999999</v>
      </c>
      <c r="P1631" s="68">
        <f t="shared" si="909"/>
        <v>3.2499999999999898</v>
      </c>
      <c r="Q1631">
        <f t="shared" ref="Q1631" si="1067">P1630</f>
        <v>2.94999999999999</v>
      </c>
      <c r="R1631" s="5">
        <f t="shared" ref="R1631" si="1068">N1631/W1631/X1631/Z1630/AB1630/AA1631</f>
        <v>2.9534141289276663</v>
      </c>
      <c r="S1631" s="5">
        <f t="shared" ref="S1631" si="1069">O1631/W1630/Y1631/Z1631/AA1630/AB1631</f>
        <v>3.159912046842472</v>
      </c>
      <c r="T1631" s="5">
        <f t="shared" ref="T1631" si="1070">P1631/W1631/X1631/Z1630/AB1630</f>
        <v>2.9534141289276663</v>
      </c>
      <c r="U1631" s="5">
        <f t="shared" ref="U1631" si="1071">Q1631/W1630/Y1631/Z1631/AA1630</f>
        <v>3.159912046842472</v>
      </c>
      <c r="V1631" s="5">
        <f>_xlfn.XLOOKUP(H1631,'Rest - Home'!A:A,'Rest - Home'!B:B)</f>
        <v>1.085</v>
      </c>
      <c r="W1631" s="5">
        <f>_xlfn.XLOOKUP(H1631,'Rest - Home'!A:A,'Rest - Home'!C:C)</f>
        <v>1.0832085999357419</v>
      </c>
      <c r="X1631" s="5">
        <f t="shared" ref="X1631" si="1072">AM1630/K1631</f>
        <v>1.0261520541276181</v>
      </c>
      <c r="Y1631" s="5">
        <f t="shared" ref="Y1631" si="1073">AK1630/K1631</f>
        <v>1.0443397410690953</v>
      </c>
      <c r="Z1631" s="5">
        <f>IF(J1631="",1,(_xlfn.XLOOKUP(I1631,Goalies!B:B,Goalies!J:J)))</f>
        <v>0.99094124800379646</v>
      </c>
      <c r="AA1631" s="23">
        <v>1</v>
      </c>
      <c r="AB1631" s="23">
        <v>1</v>
      </c>
      <c r="AC1631" s="23">
        <f>_xlfn.XLOOKUP(E1631,'Game Adjustments'!A:A,'Game Adjustments'!B:B)</f>
        <v>1</v>
      </c>
      <c r="AD1631" s="23">
        <f>_xlfn.XLOOKUP(E1631,'Game Adjustments'!A:A,'Game Adjustments'!C:C)</f>
        <v>1</v>
      </c>
      <c r="AE1631" s="23">
        <f>IF(D1631="A",_xlfn.XLOOKUP(E1631,'Rest - Home'!F:F,'Rest - Home'!J:J),_xlfn.XLOOKUP(E1631,'Rest - Home'!F:F,'Rest - Home'!I:I))</f>
        <v>1</v>
      </c>
      <c r="AF1631" s="23">
        <f>IF(D1631="A",_xlfn.XLOOKUP(E1631,'Rest - Home'!F:F,'Rest - Home'!L:L),_xlfn.XLOOKUP(E1631,'Rest - Home'!F:F,'Rest - Home'!K:K))</f>
        <v>1</v>
      </c>
      <c r="AG1631" s="26">
        <v>1</v>
      </c>
      <c r="AH1631" s="26">
        <v>1</v>
      </c>
      <c r="AI1631" s="53" cm="1">
        <f t="array" ref="AI1631">MAX(IF($E$63:E1630=E1631,ROW($E$63:E1630)-MIN(ROW($E$63:E1630))+1))</f>
        <v>1532</v>
      </c>
      <c r="AJ1631" s="53" cm="1">
        <f t="array" ref="AJ1631">MAX(IF($I$105:I1630=I1631,ROW($I$105:I1630)-MIN(ROW($I$105:I1630))+1))</f>
        <v>1462</v>
      </c>
      <c r="AK1631" s="23">
        <f>IF(AI1631=0,_xlfn.XLOOKUP(E1631,'Starting GF'!A:A,'Starting GF'!B:B),INDEX($AL$63:$AL1631,AI1631))</f>
        <v>2.8226977506332473</v>
      </c>
      <c r="AL1631" s="23">
        <f t="shared" si="917"/>
        <v>2.8423052073774104</v>
      </c>
      <c r="AM1631" s="23">
        <f>IF(AI1631=0,_xlfn.XLOOKUP(E1631,'Starting GF'!A:A,'Starting GF'!C:C),INDEX($AN$63:$AN1631,AI1631))</f>
        <v>3.1252080312199477</v>
      </c>
      <c r="AN1631" s="23">
        <f t="shared" si="918"/>
        <v>3.1304136335633261</v>
      </c>
      <c r="AO1631" s="23">
        <f>IF(AJ1631=0,_xlfn.XLOOKUP(I1631,Goalies!B:B,Goalies!I:I),INDEX($AP$105:$AP1631,AJ1631))</f>
        <v>3.13306191240203</v>
      </c>
      <c r="AP1631" s="23">
        <f t="shared" si="919"/>
        <v>3.1327957036337719</v>
      </c>
      <c r="AQ1631" s="23">
        <f t="shared" si="920"/>
        <v>3.0968975467285826</v>
      </c>
      <c r="AR1631" s="66">
        <v>-0.02</v>
      </c>
      <c r="AS1631" s="96" t="s">
        <v>1594</v>
      </c>
      <c r="AT1631" s="20">
        <f t="shared" ref="AT1631" si="1074">(AK1631*V1631*X1631*Z1630*AA1631*AB1630*AC1631*AD1630*AG1631*AH1630)+AR1631</f>
        <v>3.0912938375874979</v>
      </c>
      <c r="AU1631" s="20">
        <f t="shared" ref="AU1631" si="1075">AT1630</f>
        <v>2.8820846133392948</v>
      </c>
      <c r="AV1631" s="12">
        <f t="shared" ref="AV1631" si="1076">AK1631*W1631*X1631*Z1630*AA1631*AB1630</f>
        <v>3.106156904886503</v>
      </c>
      <c r="AW1631" s="12">
        <f t="shared" ref="AW1631" si="1077">AV1630</f>
        <v>2.8620846133392948</v>
      </c>
      <c r="AX1631" s="8">
        <f t="shared" si="925"/>
        <v>-0.15870616241249191</v>
      </c>
      <c r="AY1631" s="8">
        <f t="shared" si="926"/>
        <v>-6.7915386660695187E-2</v>
      </c>
      <c r="AZ1631" s="8">
        <f t="shared" si="927"/>
        <v>-0.2266215490731871</v>
      </c>
      <c r="BA1631" s="8">
        <f t="shared" si="928"/>
        <v>-9.0790775751796726E-2</v>
      </c>
      <c r="BB1631" s="62">
        <f t="shared" si="929"/>
        <v>-117</v>
      </c>
      <c r="BC1631" s="21">
        <f t="shared" si="930"/>
        <v>126</v>
      </c>
      <c r="BD1631" s="21">
        <f t="shared" si="931"/>
        <v>100</v>
      </c>
      <c r="BE1631" s="21">
        <f t="shared" si="932"/>
        <v>-126</v>
      </c>
      <c r="BF1631" s="94">
        <f t="shared" si="57"/>
        <v>0.53830612632205932</v>
      </c>
      <c r="BG1631" s="22">
        <f t="shared" ref="BG1631" si="1078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0.44160461283596053</v>
      </c>
      <c r="BH1631" s="22">
        <f t="shared" ref="BH1631" si="1079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0.49909044647754019</v>
      </c>
      <c r="BI1631" s="22">
        <f t="shared" ref="BI1631" si="1080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0.55679183100368634</v>
      </c>
      <c r="BJ1631" s="21">
        <f t="shared" si="934"/>
        <v>-118</v>
      </c>
      <c r="BK1631" s="21">
        <f t="shared" si="935"/>
        <v>126</v>
      </c>
      <c r="BL1631" s="21">
        <f t="shared" si="936"/>
        <v>-100</v>
      </c>
      <c r="BM1631" s="21">
        <f t="shared" si="937"/>
        <v>-126</v>
      </c>
      <c r="BN1631" s="22">
        <f t="shared" si="61"/>
        <v>0.54227435534520674</v>
      </c>
      <c r="BO1631" s="22">
        <f t="shared" ref="BO1631" si="1081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0.44300904298171606</v>
      </c>
      <c r="BP1631" s="22">
        <f t="shared" ref="BP1631" si="1082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0.50055306346795692</v>
      </c>
      <c r="BQ1631" s="22">
        <f t="shared" ref="BQ1631" si="1083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0.55797045254034316</v>
      </c>
      <c r="BR1631">
        <v>3.8</v>
      </c>
      <c r="BS1631">
        <v>3.9</v>
      </c>
      <c r="BT1631">
        <v>0.48010000000000003</v>
      </c>
      <c r="BU1631">
        <v>0.21625</v>
      </c>
      <c r="BV1631">
        <v>0.237217669836882</v>
      </c>
      <c r="BW1631">
        <v>0.30464000000000002</v>
      </c>
    </row>
    <row r="1632" spans="1:75" ht="16.75" customHeight="1" x14ac:dyDescent="0.2">
      <c r="A1632" t="str">
        <f t="shared" si="536"/>
        <v>2025020785 STL</v>
      </c>
      <c r="B1632">
        <v>2025020785</v>
      </c>
      <c r="C1632" s="1">
        <v>46042</v>
      </c>
      <c r="D1632" s="2" t="s">
        <v>6</v>
      </c>
      <c r="E1632" t="s">
        <v>12</v>
      </c>
      <c r="F1632" s="2">
        <v>1</v>
      </c>
      <c r="G1632" s="2">
        <v>0</v>
      </c>
      <c r="H1632" t="s">
        <v>52</v>
      </c>
      <c r="I1632" t="str">
        <f t="shared" si="176"/>
        <v>STL Joel Hofer</v>
      </c>
      <c r="J1632" s="33" t="s">
        <v>233</v>
      </c>
      <c r="K1632" s="14">
        <v>2.96</v>
      </c>
      <c r="L1632" s="13">
        <v>0.15</v>
      </c>
      <c r="M1632" s="28">
        <v>0.1</v>
      </c>
      <c r="N1632">
        <f>IFERROR(_xlfn.XLOOKUP(A1632,Params!A:A,Params!D:D),0)</f>
        <v>2.8499999999999899</v>
      </c>
      <c r="O1632">
        <f t="shared" ref="O1632" si="1084">N1633</f>
        <v>2.9999999999999898</v>
      </c>
      <c r="P1632" s="68">
        <f t="shared" si="909"/>
        <v>2.8499999999999899</v>
      </c>
      <c r="Q1632">
        <f t="shared" ref="Q1632" si="1085">P1633</f>
        <v>2.9999999999999898</v>
      </c>
      <c r="R1632" s="5">
        <f t="shared" ref="R1632" si="1086">N1632/W1632/X1632/Z1633/AB1633/AA1632</f>
        <v>2.7034211558559438</v>
      </c>
      <c r="S1632" s="5">
        <f t="shared" ref="S1632" si="1087">O1632/W1633/Y1632/Z1632/AA1633/AB1632</f>
        <v>3.1222297807852746</v>
      </c>
      <c r="T1632" s="5">
        <f t="shared" ref="T1632" si="1088">P1632/W1632/X1632/Z1633/AB1633</f>
        <v>2.5682500980631464</v>
      </c>
      <c r="U1632" s="5">
        <f t="shared" ref="U1632" si="1089">Q1632/W1633/Y1632/Z1632/AA1633</f>
        <v>3.1534520785931273</v>
      </c>
      <c r="V1632" s="5">
        <f>_xlfn.XLOOKUP(H1632,'Rest - Home'!A:A,'Rest - Home'!B:B)</f>
        <v>1.04</v>
      </c>
      <c r="W1632" s="5">
        <f>_xlfn.XLOOKUP(H1632,'Rest - Home'!A:A,'Rest - Home'!C:C)</f>
        <v>1.0074936850113505</v>
      </c>
      <c r="X1632" s="5">
        <f t="shared" ref="X1632" si="1090">AM1633/K1632</f>
        <v>1.0187301907517736</v>
      </c>
      <c r="Y1632" s="5">
        <f t="shared" ref="Y1632" si="1091">AK1633/K1632</f>
        <v>0.96621621621621623</v>
      </c>
      <c r="Z1632" s="5">
        <f>IF(J1632="",1,(_xlfn.XLOOKUP(I1632,Goalies!B:B,Goalies!J:J)))</f>
        <v>0.98</v>
      </c>
      <c r="AA1632" s="23">
        <v>0.95</v>
      </c>
      <c r="AB1632" s="23">
        <v>1.01</v>
      </c>
      <c r="AC1632" s="23">
        <f>_xlfn.XLOOKUP(E1632,'Game Adjustments'!A:A,'Game Adjustments'!B:B)</f>
        <v>1</v>
      </c>
      <c r="AD1632" s="23">
        <f>_xlfn.XLOOKUP(E1632,'Game Adjustments'!A:A,'Game Adjustments'!C:C)</f>
        <v>1</v>
      </c>
      <c r="AE1632" s="23">
        <f>IF(D1632="A",_xlfn.XLOOKUP(E1632,'Rest - Home'!F:F,'Rest - Home'!J:J),_xlfn.XLOOKUP(E1632,'Rest - Home'!F:F,'Rest - Home'!I:I))</f>
        <v>1</v>
      </c>
      <c r="AF1632" s="23">
        <f>IF(D1632="A",_xlfn.XLOOKUP(E1632,'Rest - Home'!F:F,'Rest - Home'!L:L),_xlfn.XLOOKUP(E1632,'Rest - Home'!F:F,'Rest - Home'!K:K))</f>
        <v>1</v>
      </c>
      <c r="AG1632" s="26">
        <v>1</v>
      </c>
      <c r="AH1632" s="26">
        <v>1</v>
      </c>
      <c r="AI1632" s="53" cm="1">
        <f t="array" ref="AI1632">MAX(IF($E$63:E1631=E1632,ROW($E$63:E1631)-MIN(ROW($E$63:E1631))+1))</f>
        <v>1538</v>
      </c>
      <c r="AJ1632" s="53" cm="1">
        <f t="array" ref="AJ1632">MAX(IF($I$105:I1631=I1632,ROW($I$105:I1631)-MIN(ROW($I$105:I1631))+1))</f>
        <v>1461</v>
      </c>
      <c r="AK1632" s="23">
        <f>IF(AI1632=0,_xlfn.XLOOKUP(E1632,'Starting GF'!A:A,'Starting GF'!B:B),INDEX($AL$63:$AL1632,AI1632))</f>
        <v>2.72</v>
      </c>
      <c r="AL1632" s="23">
        <f t="shared" si="917"/>
        <v>2.7154856075114999</v>
      </c>
      <c r="AM1632" s="23">
        <f>IF(AI1632=0,_xlfn.XLOOKUP(E1632,'Starting GF'!A:A,'Starting GF'!C:C),INDEX($AN$63:$AN1632,AI1632))</f>
        <v>3.16</v>
      </c>
      <c r="AN1632" s="23">
        <f t="shared" si="918"/>
        <v>3.1543344671177911</v>
      </c>
      <c r="AO1632" s="23">
        <f>IF(AJ1632=0,_xlfn.XLOOKUP(I1632,Goalies!B:B,Goalies!I:I),INDEX($AP$105:$AP1632,AJ1632))</f>
        <v>3.1187132979462997</v>
      </c>
      <c r="AP1632" s="23">
        <f t="shared" si="919"/>
        <v>3.1098740810297896</v>
      </c>
      <c r="AQ1632" s="23">
        <f t="shared" si="920"/>
        <v>3.0968</v>
      </c>
      <c r="AR1632" s="66">
        <v>-0.05</v>
      </c>
      <c r="AS1632" s="96" t="s">
        <v>1594</v>
      </c>
      <c r="AT1632" s="20">
        <f t="shared" ref="AT1632" si="1092">(AK1632*V1632*X1632*Z1633*AA1632*AB1633*AC1632*AD1633*AG1632*AH1633)+AR1632</f>
        <v>2.9099955803706838</v>
      </c>
      <c r="AU1632" s="20">
        <f t="shared" ref="AU1632" si="1093">AT1633</f>
        <v>3.0721001621621618</v>
      </c>
      <c r="AV1632" s="12">
        <f t="shared" ref="AV1632" si="1094">AK1632*V1632*X1632*Z1633*AA1632*AB1633</f>
        <v>2.9599955803706837</v>
      </c>
      <c r="AW1632" s="12">
        <f t="shared" ref="AW1632" si="1095">AV1633</f>
        <v>3.0362915818500862</v>
      </c>
      <c r="AX1632" s="8">
        <f t="shared" si="925"/>
        <v>5.9995580370693968E-2</v>
      </c>
      <c r="AY1632" s="8">
        <f t="shared" si="926"/>
        <v>7.2100162162171966E-2</v>
      </c>
      <c r="AZ1632" s="8">
        <f t="shared" si="927"/>
        <v>0.13209574253286593</v>
      </c>
      <c r="BA1632" s="8">
        <f t="shared" si="928"/>
        <v>-1.2104581791477997E-2</v>
      </c>
      <c r="BB1632" s="62">
        <f t="shared" si="929"/>
        <v>113</v>
      </c>
      <c r="BC1632" s="21">
        <f t="shared" si="930"/>
        <v>-127</v>
      </c>
      <c r="BD1632" s="21">
        <f t="shared" si="931"/>
        <v>-101</v>
      </c>
      <c r="BE1632" s="21">
        <f t="shared" si="932"/>
        <v>125</v>
      </c>
      <c r="BF1632" s="94">
        <f t="shared" ref="BF1632" si="1096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IF(AT1632&gt;AT1633, 1-_xlpm.interp, _xlpm.interp)
)</f>
        <v>0.46902521627125526</v>
      </c>
      <c r="BG1632" s="22">
        <f t="shared" si="550"/>
        <v>0.55950516235131753</v>
      </c>
      <c r="BH1632" s="22">
        <f t="shared" si="550"/>
        <v>0.50240914957796545</v>
      </c>
      <c r="BI1632" s="22">
        <f t="shared" si="550"/>
        <v>0.44476235220064186</v>
      </c>
      <c r="BJ1632" s="21">
        <f t="shared" si="934"/>
        <v>108</v>
      </c>
      <c r="BK1632" s="21">
        <f t="shared" si="935"/>
        <v>-128</v>
      </c>
      <c r="BL1632" s="21">
        <f t="shared" si="936"/>
        <v>-102</v>
      </c>
      <c r="BM1632" s="21">
        <f t="shared" si="937"/>
        <v>124</v>
      </c>
      <c r="BN1632" s="22">
        <f t="shared" ref="BN1632" si="1097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IF(AV1632&gt;AV1633, 1-_xlpm.interp, _xlpm.interp)
)</f>
        <v>0.48140512561068621</v>
      </c>
      <c r="BO1632" s="22">
        <f t="shared" si="552"/>
        <v>0.5612635080948335</v>
      </c>
      <c r="BP1632" s="22">
        <f t="shared" si="552"/>
        <v>0.50474382534594686</v>
      </c>
      <c r="BQ1632" s="22">
        <f t="shared" si="552"/>
        <v>0.44713872215899619</v>
      </c>
      <c r="BR1632">
        <v>3.8</v>
      </c>
      <c r="BS1632">
        <v>3.95</v>
      </c>
      <c r="BT1632">
        <v>0.47392000000000001</v>
      </c>
      <c r="BU1632">
        <v>0.21001</v>
      </c>
      <c r="BV1632">
        <v>0.23042824696342901</v>
      </c>
      <c r="BW1632">
        <v>0.29862</v>
      </c>
    </row>
    <row r="1633" spans="1:75" ht="16.75" customHeight="1" x14ac:dyDescent="0.2">
      <c r="A1633" t="str">
        <f t="shared" si="536"/>
        <v>2025020785 WPG</v>
      </c>
      <c r="B1633">
        <v>2025020785</v>
      </c>
      <c r="C1633" s="1">
        <v>46042</v>
      </c>
      <c r="D1633" s="2" t="s">
        <v>9</v>
      </c>
      <c r="E1633" t="s">
        <v>16</v>
      </c>
      <c r="F1633" s="2">
        <v>0</v>
      </c>
      <c r="G1633" s="2">
        <v>1</v>
      </c>
      <c r="H1633" t="s">
        <v>53</v>
      </c>
      <c r="I1633" t="str">
        <f t="shared" si="176"/>
        <v>WPG Eric Comrie</v>
      </c>
      <c r="J1633" s="33" t="s">
        <v>200</v>
      </c>
      <c r="K1633" s="14">
        <v>2.96</v>
      </c>
      <c r="L1633" s="13">
        <v>0.15</v>
      </c>
      <c r="M1633" s="28">
        <v>0.1</v>
      </c>
      <c r="N1633">
        <f>IFERROR(_xlfn.XLOOKUP(A1633,Params!A:A,Params!D:D),0)</f>
        <v>2.9999999999999898</v>
      </c>
      <c r="O1633">
        <f t="shared" ref="O1633" si="1098">N1632</f>
        <v>2.8499999999999899</v>
      </c>
      <c r="P1633" s="68">
        <f t="shared" si="909"/>
        <v>2.9999999999999898</v>
      </c>
      <c r="Q1633">
        <f t="shared" ref="Q1633" si="1099">P1632</f>
        <v>2.8499999999999899</v>
      </c>
      <c r="R1633" s="5">
        <f t="shared" ref="R1633" si="1100">N1633/W1633/X1633/Z1632/AB1632/AA1633</f>
        <v>2.8258155610904696</v>
      </c>
      <c r="S1633" s="5">
        <f t="shared" ref="S1633" si="1101">O1633/W1632/Y1633/Z1633/AA1632/AB1633</f>
        <v>2.9970617571216973</v>
      </c>
      <c r="T1633" s="5">
        <f t="shared" ref="T1633" si="1102">P1633/W1633/X1633/Z1632/AB1632</f>
        <v>2.8258155610904696</v>
      </c>
      <c r="U1633" s="5">
        <f t="shared" ref="U1633" si="1103">Q1633/W1632/Y1633/Z1633/AA1632</f>
        <v>3.0570029922641315</v>
      </c>
      <c r="V1633" s="5">
        <f>_xlfn.XLOOKUP(H1633,'Rest - Home'!A:A,'Rest - Home'!B:B)</f>
        <v>1</v>
      </c>
      <c r="W1633" s="5">
        <f>_xlfn.XLOOKUP(H1633,'Rest - Home'!A:A,'Rest - Home'!C:C)</f>
        <v>1.0046958799928625</v>
      </c>
      <c r="X1633" s="5">
        <f t="shared" ref="X1633" si="1104">AM1632/K1633</f>
        <v>1.0675675675675675</v>
      </c>
      <c r="Y1633" s="5">
        <f t="shared" ref="Y1633" si="1105">AK1632/K1633</f>
        <v>0.91891891891891897</v>
      </c>
      <c r="Z1633" s="5">
        <f>IF(J1633="",1,(_xlfn.XLOOKUP(I1633,Goalies!B:B,Goalies!J:J)))</f>
        <v>1.06</v>
      </c>
      <c r="AA1633" s="23">
        <v>1</v>
      </c>
      <c r="AB1633" s="23">
        <v>1.02</v>
      </c>
      <c r="AC1633" s="23">
        <f>_xlfn.XLOOKUP(E1633,'Game Adjustments'!A:A,'Game Adjustments'!B:B)</f>
        <v>1</v>
      </c>
      <c r="AD1633" s="23">
        <f>_xlfn.XLOOKUP(E1633,'Game Adjustments'!A:A,'Game Adjustments'!C:C)</f>
        <v>1</v>
      </c>
      <c r="AE1633" s="23">
        <f>IF(D1633="A",_xlfn.XLOOKUP(E1633,'Rest - Home'!F:F,'Rest - Home'!J:J),_xlfn.XLOOKUP(E1633,'Rest - Home'!F:F,'Rest - Home'!I:I))</f>
        <v>1</v>
      </c>
      <c r="AF1633" s="23">
        <f>IF(D1633="A",_xlfn.XLOOKUP(E1633,'Rest - Home'!F:F,'Rest - Home'!L:L),_xlfn.XLOOKUP(E1633,'Rest - Home'!F:F,'Rest - Home'!K:K))</f>
        <v>1</v>
      </c>
      <c r="AG1633" s="26">
        <v>1</v>
      </c>
      <c r="AH1633" s="26">
        <v>1</v>
      </c>
      <c r="AI1633" s="53" cm="1">
        <f t="array" ref="AI1633">MAX(IF($E$63:E1632=E1633,ROW($E$63:E1632)-MIN(ROW($E$63:E1632))+1))</f>
        <v>1552</v>
      </c>
      <c r="AJ1633" s="53" cm="1">
        <f t="array" ref="AJ1633">MAX(IF($I$105:I1632=I1633,ROW($I$105:I1632)-MIN(ROW($I$105:I1632))+1))</f>
        <v>1347</v>
      </c>
      <c r="AK1633" s="23">
        <f>IF(AI1633=0,_xlfn.XLOOKUP(E1633,'Starting GF'!A:A,'Starting GF'!B:B),INDEX($AL$63:$AL1633,AI1633))</f>
        <v>2.86</v>
      </c>
      <c r="AL1633" s="23">
        <f t="shared" si="917"/>
        <v>2.8548723341635704</v>
      </c>
      <c r="AM1633" s="23">
        <f>IF(AI1633=0,_xlfn.XLOOKUP(E1633,'Starting GF'!A:A,'Starting GF'!C:C),INDEX($AN$63:$AN1633,AI1633))</f>
        <v>3.01544136462525</v>
      </c>
      <c r="AN1633" s="23">
        <f t="shared" si="918"/>
        <v>3.0126844234997172</v>
      </c>
      <c r="AO1633" s="23">
        <f>IF(AJ1633=0,_xlfn.XLOOKUP(I1633,Goalies!B:B,Goalies!I:I),INDEX($AP$105:$AP1633,AJ1633))</f>
        <v>3.0963337510954476</v>
      </c>
      <c r="AP1633" s="23">
        <f t="shared" si="919"/>
        <v>3.1084165078134802</v>
      </c>
      <c r="AQ1633" s="23">
        <f t="shared" si="920"/>
        <v>3.1963678465027652</v>
      </c>
      <c r="AR1633" s="66">
        <v>0.05</v>
      </c>
      <c r="AS1633" s="96" t="s">
        <v>1594</v>
      </c>
      <c r="AT1633" s="20">
        <f t="shared" ref="AT1633" si="1106">(AK1633*V1633*X1633*Z1632*AA1633*AB1632*AC1633*AD1632*AG1633*AH1632)+AR1633</f>
        <v>3.0721001621621618</v>
      </c>
      <c r="AU1633" s="20">
        <f t="shared" ref="AU1633" si="1107">AT1632</f>
        <v>2.9099955803706838</v>
      </c>
      <c r="AV1633" s="12">
        <f t="shared" ref="AV1633" si="1108">AK1633*W1633*X1633*Z1632*AA1633*AB1632</f>
        <v>3.0362915818500862</v>
      </c>
      <c r="AW1633" s="12">
        <f t="shared" ref="AW1633" si="1109">AV1632</f>
        <v>2.9599955803706837</v>
      </c>
      <c r="AX1633" s="8">
        <f t="shared" si="925"/>
        <v>7.2100162162171966E-2</v>
      </c>
      <c r="AY1633" s="8">
        <f t="shared" si="926"/>
        <v>5.9995580370693968E-2</v>
      </c>
      <c r="AZ1633" s="8">
        <f t="shared" si="927"/>
        <v>0.13209574253286593</v>
      </c>
      <c r="BA1633" s="8">
        <f t="shared" si="928"/>
        <v>1.2104581791477997E-2</v>
      </c>
      <c r="BB1633" s="62">
        <f t="shared" si="929"/>
        <v>-113</v>
      </c>
      <c r="BC1633" s="21">
        <f t="shared" si="930"/>
        <v>127</v>
      </c>
      <c r="BD1633" s="21">
        <f t="shared" si="931"/>
        <v>101</v>
      </c>
      <c r="BE1633" s="21">
        <f t="shared" si="932"/>
        <v>-125</v>
      </c>
      <c r="BF1633" s="94">
        <f t="shared" si="57"/>
        <v>0.53097478372874474</v>
      </c>
      <c r="BG1633" s="22">
        <f t="shared" ref="BG1633" si="1110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0.44049483764868247</v>
      </c>
      <c r="BH1633" s="22">
        <f t="shared" ref="BH1633" si="1111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0.49759085042203449</v>
      </c>
      <c r="BI1633" s="22">
        <f t="shared" ref="BI1633" si="1112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0.55523764779935814</v>
      </c>
      <c r="BJ1633" s="21">
        <f t="shared" si="934"/>
        <v>-108</v>
      </c>
      <c r="BK1633" s="21">
        <f t="shared" si="935"/>
        <v>128</v>
      </c>
      <c r="BL1633" s="21">
        <f t="shared" si="936"/>
        <v>102</v>
      </c>
      <c r="BM1633" s="21">
        <f t="shared" si="937"/>
        <v>-124</v>
      </c>
      <c r="BN1633" s="22">
        <f t="shared" si="61"/>
        <v>0.51859487438931384</v>
      </c>
      <c r="BO1633" s="22">
        <f t="shared" ref="BO1633" si="1113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0.4387364919051665</v>
      </c>
      <c r="BP1633" s="22">
        <f t="shared" ref="BP1633" si="1114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0.49525617465405308</v>
      </c>
      <c r="BQ1633" s="22">
        <f t="shared" ref="BQ1633" si="1115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0.55286127784100381</v>
      </c>
      <c r="BR1633">
        <v>3.8</v>
      </c>
      <c r="BS1633">
        <v>4</v>
      </c>
      <c r="BT1633">
        <v>0.47008</v>
      </c>
      <c r="BU1633">
        <v>0.20455000000000001</v>
      </c>
      <c r="BV1633">
        <v>0.22438569548047299</v>
      </c>
      <c r="BW1633">
        <v>0.29294999999999999</v>
      </c>
    </row>
    <row r="1634" spans="1:75" ht="16.75" customHeight="1" x14ac:dyDescent="0.2">
      <c r="A1634" t="str">
        <f t="shared" si="536"/>
        <v>2025020786 NJD</v>
      </c>
      <c r="B1634">
        <v>2025020786</v>
      </c>
      <c r="C1634" s="1">
        <v>46042</v>
      </c>
      <c r="D1634" s="2" t="s">
        <v>6</v>
      </c>
      <c r="E1634" t="s">
        <v>4</v>
      </c>
      <c r="F1634" s="2">
        <v>0</v>
      </c>
      <c r="G1634" s="2">
        <v>1</v>
      </c>
      <c r="H1634" t="s">
        <v>26</v>
      </c>
      <c r="I1634" t="str">
        <f t="shared" si="176"/>
        <v>NJD Jake Allen</v>
      </c>
      <c r="J1634" s="33" t="s">
        <v>174</v>
      </c>
      <c r="K1634" s="14">
        <v>2.96</v>
      </c>
      <c r="L1634" s="13">
        <v>0.15</v>
      </c>
      <c r="M1634" s="28">
        <v>0.1</v>
      </c>
      <c r="N1634">
        <f>IFERROR(_xlfn.XLOOKUP(A1634,Params!A:A,Params!D:D),0)</f>
        <v>2.69999999999999</v>
      </c>
      <c r="O1634">
        <f t="shared" ref="O1634" si="1116">N1635</f>
        <v>3.3999999999999901</v>
      </c>
      <c r="P1634" s="68">
        <f t="shared" si="909"/>
        <v>2.69999999999999</v>
      </c>
      <c r="Q1634">
        <f t="shared" ref="Q1634" si="1117">P1635</f>
        <v>3.3999999999999901</v>
      </c>
      <c r="R1634" s="5">
        <f t="shared" ref="R1634" si="1118">N1634/W1634/X1634/Z1635/AB1635/AA1634</f>
        <v>2.9493494213954023</v>
      </c>
      <c r="S1634" s="5">
        <f t="shared" ref="S1634" si="1119">O1634/W1635/Y1634/Z1634/AA1635/AB1634</f>
        <v>2.9589561651948619</v>
      </c>
      <c r="T1634" s="5">
        <f t="shared" ref="T1634" si="1120">P1634/W1634/X1634/Z1635/AB1635</f>
        <v>2.9198559271814482</v>
      </c>
      <c r="U1634" s="5">
        <f t="shared" ref="U1634" si="1121">Q1634/W1635/Y1634/Z1634/AA1635</f>
        <v>3.0181352884987591</v>
      </c>
      <c r="V1634" s="5">
        <f>_xlfn.XLOOKUP(H1634,'Rest - Home'!A:A,'Rest - Home'!B:B)</f>
        <v>0.95</v>
      </c>
      <c r="W1634" s="5">
        <f>_xlfn.XLOOKUP(H1634,'Rest - Home'!A:A,'Rest - Home'!C:C)</f>
        <v>0.92554174501717079</v>
      </c>
      <c r="X1634" s="5">
        <f t="shared" ref="X1634" si="1122">AM1635/K1634</f>
        <v>1.0095682215816386</v>
      </c>
      <c r="Y1634" s="5">
        <f t="shared" ref="Y1634" si="1123">AK1635/K1634</f>
        <v>1.1286984484754876</v>
      </c>
      <c r="Z1634" s="5">
        <f>IF(J1634="",1,(_xlfn.XLOOKUP(I1634,Goalies!B:B,Goalies!J:J)))</f>
        <v>0.99</v>
      </c>
      <c r="AA1634" s="23">
        <v>0.99</v>
      </c>
      <c r="AB1634" s="23">
        <v>1.02</v>
      </c>
      <c r="AC1634" s="23">
        <f>_xlfn.XLOOKUP(E1634,'Game Adjustments'!A:A,'Game Adjustments'!B:B)</f>
        <v>1</v>
      </c>
      <c r="AD1634" s="23">
        <f>_xlfn.XLOOKUP(E1634,'Game Adjustments'!A:A,'Game Adjustments'!C:C)</f>
        <v>1</v>
      </c>
      <c r="AE1634" s="23">
        <f>IF(D1634="A",_xlfn.XLOOKUP(E1634,'Rest - Home'!F:F,'Rest - Home'!J:J),_xlfn.XLOOKUP(E1634,'Rest - Home'!F:F,'Rest - Home'!I:I))</f>
        <v>1</v>
      </c>
      <c r="AF1634" s="23">
        <f>IF(D1634="A",_xlfn.XLOOKUP(E1634,'Rest - Home'!F:F,'Rest - Home'!L:L),_xlfn.XLOOKUP(E1634,'Rest - Home'!F:F,'Rest - Home'!K:K))</f>
        <v>1</v>
      </c>
      <c r="AG1634" s="26">
        <v>1</v>
      </c>
      <c r="AH1634" s="26">
        <v>1</v>
      </c>
      <c r="AI1634" s="53" cm="1">
        <f t="array" ref="AI1634">MAX(IF($E$63:E1633=E1634,ROW($E$63:E1633)-MIN(ROW($E$63:E1633))+1))</f>
        <v>1554</v>
      </c>
      <c r="AJ1634" s="53" cm="1">
        <f t="array" ref="AJ1634">MAX(IF($I$105:I1633=I1634,ROW($I$105:I1633)-MIN(ROW($I$105:I1633))+1))</f>
        <v>1380</v>
      </c>
      <c r="AK1634" s="23">
        <f>IF(AI1634=0,_xlfn.XLOOKUP(E1634,'Starting GF'!A:A,'Starting GF'!B:B),INDEX($AL$63:$AL1634,AI1634))</f>
        <v>2.9433280361130896</v>
      </c>
      <c r="AL1634" s="23">
        <f t="shared" si="917"/>
        <v>2.9437888414922275</v>
      </c>
      <c r="AM1634" s="23">
        <f>IF(AI1634=0,_xlfn.XLOOKUP(E1634,'Starting GF'!A:A,'Starting GF'!C:C),INDEX($AN$63:$AN1634,AI1634))</f>
        <v>2.9441643062970964</v>
      </c>
      <c r="AN1634" s="23">
        <f t="shared" si="918"/>
        <v>2.9463830851317612</v>
      </c>
      <c r="AO1634" s="23">
        <f>IF(AJ1634=0,_xlfn.XLOOKUP(I1634,Goalies!B:B,Goalies!I:I),INDEX($AP$105:$AP1634,AJ1634))</f>
        <v>2.8997068844448668</v>
      </c>
      <c r="AP1634" s="23">
        <f t="shared" si="919"/>
        <v>2.9041558423095739</v>
      </c>
      <c r="AQ1634" s="23">
        <f t="shared" si="920"/>
        <v>2.9147226632341252</v>
      </c>
      <c r="AR1634" s="66">
        <v>-0.1</v>
      </c>
      <c r="AS1634" s="96" t="s">
        <v>1593</v>
      </c>
      <c r="AT1634" s="20">
        <f t="shared" ref="AT1634" si="1124">(AK1634*V1634*X1634*Z1635*AA1634*AB1635*AC1634*AD1635*AG1634*AH1635)+AR1634</f>
        <v>2.6656918938889342</v>
      </c>
      <c r="AU1634" s="20">
        <f t="shared" ref="AU1634" si="1125">AT1635</f>
        <v>3.4120164891963904</v>
      </c>
      <c r="AV1634" s="12">
        <f t="shared" ref="AV1634" si="1126">AK1634*V1634*X1634*Z1635*AA1634*AB1635</f>
        <v>2.7656918938889343</v>
      </c>
      <c r="AW1634" s="12">
        <f t="shared" ref="AW1634" si="1127">AV1635</f>
        <v>3.3830033574528744</v>
      </c>
      <c r="AX1634" s="8">
        <f t="shared" si="925"/>
        <v>-3.4308106111055725E-2</v>
      </c>
      <c r="AY1634" s="8">
        <f t="shared" si="926"/>
        <v>1.2016489196400304E-2</v>
      </c>
      <c r="AZ1634" s="8">
        <f t="shared" si="927"/>
        <v>-2.2291616914655421E-2</v>
      </c>
      <c r="BA1634" s="8">
        <f t="shared" si="928"/>
        <v>-4.6324595307456029E-2</v>
      </c>
      <c r="BB1634" s="62">
        <f t="shared" si="929"/>
        <v>162</v>
      </c>
      <c r="BC1634" s="21">
        <f t="shared" si="930"/>
        <v>-134</v>
      </c>
      <c r="BD1634" s="21">
        <f t="shared" si="931"/>
        <v>-107</v>
      </c>
      <c r="BE1634" s="21">
        <f t="shared" si="932"/>
        <v>118</v>
      </c>
      <c r="BF1634" s="94">
        <f t="shared" ref="BF1634" si="1128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IF(AT1634&gt;AT1635, 1-_xlpm.interp, _xlpm.interp)
)</f>
        <v>0.38145137550387942</v>
      </c>
      <c r="BG1634" s="22">
        <f t="shared" si="550"/>
        <v>0.57299368322256439</v>
      </c>
      <c r="BH1634" s="22">
        <f t="shared" si="550"/>
        <v>0.51747061649605919</v>
      </c>
      <c r="BI1634" s="22">
        <f t="shared" si="550"/>
        <v>0.45791686066012893</v>
      </c>
      <c r="BJ1634" s="21">
        <f t="shared" si="934"/>
        <v>149</v>
      </c>
      <c r="BK1634" s="21">
        <f t="shared" si="935"/>
        <v>-141</v>
      </c>
      <c r="BL1634" s="21">
        <f t="shared" si="936"/>
        <v>-113</v>
      </c>
      <c r="BM1634" s="21">
        <f t="shared" si="937"/>
        <v>112</v>
      </c>
      <c r="BN1634" s="22">
        <f t="shared" ref="BN1634" si="1129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IF(AV1634&gt;AV1635, 1-_xlpm.interp, _xlpm.interp)
)</f>
        <v>0.40238176662294778</v>
      </c>
      <c r="BO1634" s="22">
        <f t="shared" si="552"/>
        <v>0.58468224091342313</v>
      </c>
      <c r="BP1634" s="22">
        <f t="shared" si="552"/>
        <v>0.53123759867879849</v>
      </c>
      <c r="BQ1634" s="22">
        <f t="shared" si="552"/>
        <v>0.47067968103515057</v>
      </c>
      <c r="BR1634">
        <v>3.8</v>
      </c>
      <c r="BS1634">
        <v>4.05</v>
      </c>
      <c r="BT1634">
        <v>0.46364</v>
      </c>
      <c r="BU1634">
        <v>0.20102</v>
      </c>
      <c r="BV1634">
        <v>0.21980689534514899</v>
      </c>
      <c r="BW1634">
        <v>0.28649000000000002</v>
      </c>
    </row>
    <row r="1635" spans="1:75" ht="16.75" customHeight="1" x14ac:dyDescent="0.2">
      <c r="A1635" t="str">
        <f t="shared" si="536"/>
        <v>2025020786 EDM</v>
      </c>
      <c r="B1635">
        <v>2025020786</v>
      </c>
      <c r="C1635" s="1">
        <v>46042</v>
      </c>
      <c r="D1635" s="2" t="s">
        <v>9</v>
      </c>
      <c r="E1635" t="s">
        <v>17</v>
      </c>
      <c r="F1635" s="2">
        <v>1</v>
      </c>
      <c r="G1635" s="2">
        <v>0</v>
      </c>
      <c r="H1635" t="s">
        <v>27</v>
      </c>
      <c r="I1635" t="str">
        <f t="shared" si="176"/>
        <v>EDM Tristan Jarry</v>
      </c>
      <c r="J1635" s="33" t="s">
        <v>181</v>
      </c>
      <c r="K1635" s="14">
        <v>2.96</v>
      </c>
      <c r="L1635" s="13">
        <v>0.15</v>
      </c>
      <c r="M1635" s="28">
        <v>0.1</v>
      </c>
      <c r="N1635">
        <f>IFERROR(_xlfn.XLOOKUP(A1635,Params!A:A,Params!D:D),0)</f>
        <v>3.3999999999999901</v>
      </c>
      <c r="O1635">
        <f t="shared" ref="O1635" si="1130">N1634</f>
        <v>2.69999999999999</v>
      </c>
      <c r="P1635" s="68">
        <f t="shared" si="909"/>
        <v>3.3999999999999901</v>
      </c>
      <c r="Q1635">
        <f t="shared" ref="Q1635" si="1131">P1634</f>
        <v>2.69999999999999</v>
      </c>
      <c r="R1635" s="5">
        <f t="shared" ref="R1635" si="1132">N1635/W1635/X1635/Z1634/AB1634/AA1635</f>
        <v>3.3577327555506304</v>
      </c>
      <c r="S1635" s="5">
        <f t="shared" ref="S1635" si="1133">O1635/W1634/Y1635/Z1635/AA1634/AB1635</f>
        <v>2.9944353685343335</v>
      </c>
      <c r="T1635" s="5">
        <f t="shared" ref="T1635" si="1134">P1635/W1635/X1635/Z1634/AB1634</f>
        <v>3.1562687902175925</v>
      </c>
      <c r="U1635" s="5">
        <f t="shared" ref="U1635" si="1135">Q1635/W1634/Y1635/Z1635/AA1634</f>
        <v>3.039351899062348</v>
      </c>
      <c r="V1635" s="5">
        <f>_xlfn.XLOOKUP(H1635,'Rest - Home'!A:A,'Rest - Home'!B:B)</f>
        <v>1.05</v>
      </c>
      <c r="W1635" s="5">
        <f>_xlfn.XLOOKUP(H1635,'Rest - Home'!A:A,'Rest - Home'!C:C)</f>
        <v>1.0725047827848808</v>
      </c>
      <c r="X1635" s="5">
        <f t="shared" ref="X1635" si="1136">AM1634/K1635</f>
        <v>0.99465010347874883</v>
      </c>
      <c r="Y1635" s="5">
        <f t="shared" ref="Y1635" si="1137">AK1634/K1635</f>
        <v>0.99436757976793566</v>
      </c>
      <c r="Z1635" s="5">
        <f>IF(J1635="",1,(_xlfn.XLOOKUP(I1635,Goalies!B:B,Goalies!J:J)))</f>
        <v>0.97499999999999998</v>
      </c>
      <c r="AA1635" s="23">
        <v>0.94</v>
      </c>
      <c r="AB1635" s="23">
        <v>1.0149999999999999</v>
      </c>
      <c r="AC1635" s="23">
        <f>_xlfn.XLOOKUP(E1635,'Game Adjustments'!A:A,'Game Adjustments'!B:B)</f>
        <v>1</v>
      </c>
      <c r="AD1635" s="23">
        <f>_xlfn.XLOOKUP(E1635,'Game Adjustments'!A:A,'Game Adjustments'!C:C)</f>
        <v>1</v>
      </c>
      <c r="AE1635" s="23">
        <f>IF(D1635="A",_xlfn.XLOOKUP(E1635,'Rest - Home'!F:F,'Rest - Home'!J:J),_xlfn.XLOOKUP(E1635,'Rest - Home'!F:F,'Rest - Home'!I:I))</f>
        <v>1</v>
      </c>
      <c r="AF1635" s="23">
        <f>IF(D1635="A",_xlfn.XLOOKUP(E1635,'Rest - Home'!F:F,'Rest - Home'!L:L),_xlfn.XLOOKUP(E1635,'Rest - Home'!F:F,'Rest - Home'!K:K))</f>
        <v>1</v>
      </c>
      <c r="AG1635" s="26">
        <v>1</v>
      </c>
      <c r="AH1635" s="26">
        <v>1</v>
      </c>
      <c r="AI1635" s="53" cm="1">
        <f t="array" ref="AI1635">MAX(IF($E$63:E1634=E1635,ROW($E$63:E1634)-MIN(ROW($E$63:E1634))+1))</f>
        <v>1539</v>
      </c>
      <c r="AJ1635" s="53" cm="1">
        <f t="array" ref="AJ1635">MAX(IF($I$105:I1634=I1635,ROW($I$105:I1634)-MIN(ROW($I$105:I1634))+1))</f>
        <v>1486</v>
      </c>
      <c r="AK1635" s="23">
        <f>IF(AI1635=0,_xlfn.XLOOKUP(E1635,'Starting GF'!A:A,'Starting GF'!B:B),INDEX($AL$63:$AL1635,AI1635))</f>
        <v>3.3409474074874432</v>
      </c>
      <c r="AL1635" s="23">
        <f t="shared" si="917"/>
        <v>3.3404432502169255</v>
      </c>
      <c r="AM1635" s="23">
        <f>IF(AI1635=0,_xlfn.XLOOKUP(E1635,'Starting GF'!A:A,'Starting GF'!C:C),INDEX($AN$63:$AN1635,AI1635))</f>
        <v>2.9883219358816504</v>
      </c>
      <c r="AN1635" s="23">
        <f t="shared" si="918"/>
        <v>2.9892389507795527</v>
      </c>
      <c r="AO1635" s="23">
        <f>IF(AJ1635=0,_xlfn.XLOOKUP(I1635,Goalies!B:B,Goalies!I:I),INDEX($AP$105:$AP1635,AJ1635))</f>
        <v>3.0886148743558683</v>
      </c>
      <c r="AP1635" s="23">
        <f t="shared" si="919"/>
        <v>3.063258815850634</v>
      </c>
      <c r="AQ1635" s="23">
        <f t="shared" si="920"/>
        <v>2.9136138874846091</v>
      </c>
      <c r="AR1635" s="66">
        <v>0.1</v>
      </c>
      <c r="AS1635" s="96" t="s">
        <v>1593</v>
      </c>
      <c r="AT1635" s="20">
        <f t="shared" ref="AT1635" si="1138">(AK1635*V1635*X1635*Z1634*AA1635*AB1634*AC1635*AD1634*AG1635*AH1634)+AR1635</f>
        <v>3.4120164891963904</v>
      </c>
      <c r="AU1635" s="20">
        <f t="shared" ref="AU1635" si="1139">AT1634</f>
        <v>2.6656918938889342</v>
      </c>
      <c r="AV1635" s="12">
        <f t="shared" ref="AV1635" si="1140">AK1635*W1635*X1635*Z1634*AA1635*AB1634</f>
        <v>3.3830033574528744</v>
      </c>
      <c r="AW1635" s="12">
        <f t="shared" ref="AW1635" si="1141">AV1634</f>
        <v>2.7656918938889343</v>
      </c>
      <c r="AX1635" s="8">
        <f t="shared" si="925"/>
        <v>1.2016489196400304E-2</v>
      </c>
      <c r="AY1635" s="8">
        <f t="shared" si="926"/>
        <v>-3.4308106111055725E-2</v>
      </c>
      <c r="AZ1635" s="8">
        <f t="shared" si="927"/>
        <v>-2.2291616914655421E-2</v>
      </c>
      <c r="BA1635" s="8">
        <f t="shared" si="928"/>
        <v>4.6324595307456029E-2</v>
      </c>
      <c r="BB1635" s="62">
        <f t="shared" si="929"/>
        <v>-162</v>
      </c>
      <c r="BC1635" s="21">
        <f t="shared" si="930"/>
        <v>134</v>
      </c>
      <c r="BD1635" s="21">
        <f t="shared" si="931"/>
        <v>107</v>
      </c>
      <c r="BE1635" s="21">
        <f t="shared" si="932"/>
        <v>-118</v>
      </c>
      <c r="BF1635" s="94">
        <f t="shared" si="57"/>
        <v>0.61854862449612058</v>
      </c>
      <c r="BG1635" s="22">
        <f t="shared" ref="BG1635" si="1142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0.42700631677743561</v>
      </c>
      <c r="BH1635" s="22">
        <f t="shared" ref="BH1635" si="1143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0.48252938350394081</v>
      </c>
      <c r="BI1635" s="22">
        <f t="shared" ref="BI1635" si="1144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0.54208313933987107</v>
      </c>
      <c r="BJ1635" s="21">
        <f t="shared" si="934"/>
        <v>-149</v>
      </c>
      <c r="BK1635" s="21">
        <f t="shared" si="935"/>
        <v>141</v>
      </c>
      <c r="BL1635" s="21">
        <f t="shared" si="936"/>
        <v>113</v>
      </c>
      <c r="BM1635" s="21">
        <f t="shared" si="937"/>
        <v>-112</v>
      </c>
      <c r="BN1635" s="22">
        <f t="shared" si="61"/>
        <v>0.59761823337705222</v>
      </c>
      <c r="BO1635" s="22">
        <f t="shared" ref="BO1635" si="1145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0.41531775908657687</v>
      </c>
      <c r="BP1635" s="22">
        <f t="shared" ref="BP1635" si="1146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0.46876240132120151</v>
      </c>
      <c r="BQ1635" s="22">
        <f t="shared" ref="BQ1635" si="1147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0.52932031896484943</v>
      </c>
      <c r="BR1635">
        <v>3.8</v>
      </c>
      <c r="BS1635">
        <v>4.0999999999999996</v>
      </c>
      <c r="BT1635">
        <v>0.45361000000000001</v>
      </c>
      <c r="BU1635">
        <v>0.19542000000000001</v>
      </c>
      <c r="BV1635">
        <v>0.21386827762820901</v>
      </c>
      <c r="BW1635">
        <v>0.28167999999999999</v>
      </c>
    </row>
    <row r="1636" spans="1:75" ht="16.75" customHeight="1" x14ac:dyDescent="0.2">
      <c r="A1636" t="str">
        <f t="shared" si="536"/>
        <v>2025020787 NYR</v>
      </c>
      <c r="B1636">
        <v>2025020787</v>
      </c>
      <c r="C1636" s="1">
        <v>46042</v>
      </c>
      <c r="D1636" s="2" t="s">
        <v>6</v>
      </c>
      <c r="E1636" t="s">
        <v>20</v>
      </c>
      <c r="F1636" s="2">
        <v>0</v>
      </c>
      <c r="G1636" s="2">
        <v>2</v>
      </c>
      <c r="H1636" t="s">
        <v>29</v>
      </c>
      <c r="I1636" t="str">
        <f t="shared" si="176"/>
        <v>NYR Jonathan Quick</v>
      </c>
      <c r="J1636" s="33" t="s">
        <v>178</v>
      </c>
      <c r="K1636" s="14">
        <v>2.96</v>
      </c>
      <c r="L1636" s="13">
        <v>0.15</v>
      </c>
      <c r="M1636" s="28">
        <v>0.1</v>
      </c>
      <c r="N1636">
        <f>IFERROR(_xlfn.XLOOKUP(A1636,Params!A:A,Params!D:D),0)</f>
        <v>2.3999999999999901</v>
      </c>
      <c r="O1636">
        <f t="shared" ref="O1636" si="1148">N1637</f>
        <v>3.2499999999999898</v>
      </c>
      <c r="P1636" s="68">
        <f t="shared" si="909"/>
        <v>2.3999999999999901</v>
      </c>
      <c r="Q1636">
        <f t="shared" ref="Q1636" si="1149">P1637</f>
        <v>3.2499999999999898</v>
      </c>
      <c r="R1636" s="5">
        <f t="shared" ref="R1636" si="1150">N1636/W1636/X1636/Z1637/AB1637/AA1636</f>
        <v>2.765980759732058</v>
      </c>
      <c r="S1636" s="5">
        <f t="shared" ref="S1636" si="1151">O1636/W1637/Y1636/Z1636/AA1637/AB1636</f>
        <v>3.026135184728719</v>
      </c>
      <c r="T1636" s="5">
        <f t="shared" ref="T1636" si="1152">P1636/W1636/X1636/Z1637/AB1637</f>
        <v>2.7383209521347376</v>
      </c>
      <c r="U1636" s="5">
        <f t="shared" ref="U1636" si="1153">Q1636/W1637/Y1636/Z1636/AA1637</f>
        <v>3.1169192402705805</v>
      </c>
      <c r="V1636" s="5">
        <f>_xlfn.XLOOKUP(H1636,'Rest - Home'!A:A,'Rest - Home'!B:B)</f>
        <v>0.90300000000000002</v>
      </c>
      <c r="W1636" s="5">
        <f>_xlfn.XLOOKUP(H1636,'Rest - Home'!A:A,'Rest - Home'!C:C)</f>
        <v>0.92051577291954856</v>
      </c>
      <c r="X1636" s="5">
        <f t="shared" ref="X1636" si="1154">AM1637/K1636</f>
        <v>0.93449020081292977</v>
      </c>
      <c r="Y1636" s="5">
        <f t="shared" ref="Y1636" si="1155">AK1637/K1636</f>
        <v>0.96501220797494491</v>
      </c>
      <c r="Z1636" s="5">
        <f>IF(J1636="",1,(_xlfn.XLOOKUP(I1636,Goalies!B:B,Goalies!J:J)))</f>
        <v>1.05</v>
      </c>
      <c r="AA1636" s="23">
        <v>0.99</v>
      </c>
      <c r="AB1636" s="23">
        <v>1.03</v>
      </c>
      <c r="AC1636" s="23">
        <f>_xlfn.XLOOKUP(E1636,'Game Adjustments'!A:A,'Game Adjustments'!B:B)</f>
        <v>1</v>
      </c>
      <c r="AD1636" s="23">
        <f>_xlfn.XLOOKUP(E1636,'Game Adjustments'!A:A,'Game Adjustments'!C:C)</f>
        <v>1</v>
      </c>
      <c r="AE1636" s="23">
        <f>IF(D1636="A",_xlfn.XLOOKUP(E1636,'Rest - Home'!F:F,'Rest - Home'!J:J),_xlfn.XLOOKUP(E1636,'Rest - Home'!F:F,'Rest - Home'!I:I))</f>
        <v>1</v>
      </c>
      <c r="AF1636" s="23">
        <f>IF(D1636="A",_xlfn.XLOOKUP(E1636,'Rest - Home'!F:F,'Rest - Home'!L:L),_xlfn.XLOOKUP(E1636,'Rest - Home'!F:F,'Rest - Home'!K:K))</f>
        <v>1</v>
      </c>
      <c r="AG1636" s="26">
        <v>1</v>
      </c>
      <c r="AH1636" s="26">
        <v>1</v>
      </c>
      <c r="AI1636" s="53" cm="1">
        <f t="array" ref="AI1636">MAX(IF($E$63:E1635=E1636,ROW($E$63:E1635)-MIN(ROW($E$63:E1635))+1))</f>
        <v>1558</v>
      </c>
      <c r="AJ1636" s="53" cm="1">
        <f t="array" ref="AJ1636">MAX(IF($I$105:I1635=I1636,ROW($I$105:I1635)-MIN(ROW($I$105:I1635))+1))</f>
        <v>1431</v>
      </c>
      <c r="AK1636" s="23">
        <f>IF(AI1636=0,_xlfn.XLOOKUP(E1636,'Starting GF'!A:A,'Starting GF'!B:B),INDEX($AL$63:$AL1636,AI1636))</f>
        <v>2.8123778442108005</v>
      </c>
      <c r="AL1636" s="23">
        <f t="shared" si="917"/>
        <v>2.8050033844250293</v>
      </c>
      <c r="AM1636" s="23">
        <f>IF(AI1636=0,_xlfn.XLOOKUP(E1636,'Starting GF'!A:A,'Starting GF'!C:C),INDEX($AN$63:$AN1636,AI1636))</f>
        <v>3.03</v>
      </c>
      <c r="AN1636" s="23">
        <f t="shared" si="918"/>
        <v>3.0294202777093076</v>
      </c>
      <c r="AO1636" s="23">
        <f>IF(AJ1636=0,_xlfn.XLOOKUP(I1636,Goalies!B:B,Goalies!I:I),INDEX($AP$105:$AP1636,AJ1636))</f>
        <v>3.0540831364013497</v>
      </c>
      <c r="AP1636" s="23">
        <f t="shared" si="919"/>
        <v>3.0725869575359201</v>
      </c>
      <c r="AQ1636" s="23">
        <f t="shared" si="920"/>
        <v>3.1814999999999998</v>
      </c>
      <c r="AR1636" s="66">
        <v>0</v>
      </c>
      <c r="AS1636" s="96" t="s">
        <v>1592</v>
      </c>
      <c r="AT1636" s="20">
        <f t="shared" ref="AT1636" si="1156">(AK1636*V1636*X1636*Z1637*AA1636*AB1637*AC1636*AD1637*AG1636*AH1637)+AR1636</f>
        <v>2.3938242967421224</v>
      </c>
      <c r="AU1636" s="20">
        <f t="shared" ref="AU1636" si="1157">AT1637</f>
        <v>3.259532406705727</v>
      </c>
      <c r="AV1636" s="12">
        <f t="shared" ref="AV1636" si="1158">AK1636*V1636*X1636*Z1637*AA1636*AB1637</f>
        <v>2.3938242967421224</v>
      </c>
      <c r="AW1636" s="12">
        <f t="shared" ref="AW1636" si="1159">AV1637</f>
        <v>3.2541507232376858</v>
      </c>
      <c r="AX1636" s="8">
        <f t="shared" si="925"/>
        <v>-6.1757032578677595E-3</v>
      </c>
      <c r="AY1636" s="8">
        <f t="shared" si="926"/>
        <v>9.5324067057371842E-3</v>
      </c>
      <c r="AZ1636" s="8">
        <f t="shared" si="927"/>
        <v>3.3567034478694247E-3</v>
      </c>
      <c r="BA1636" s="8">
        <f t="shared" si="928"/>
        <v>-1.5708109963604944E-2</v>
      </c>
      <c r="BB1636" s="62">
        <f t="shared" si="929"/>
        <v>178</v>
      </c>
      <c r="BC1636" s="21">
        <f t="shared" si="930"/>
        <v>-101</v>
      </c>
      <c r="BD1636" s="21">
        <f t="shared" si="931"/>
        <v>129</v>
      </c>
      <c r="BE1636" s="21">
        <f t="shared" si="932"/>
        <v>158</v>
      </c>
      <c r="BF1636" s="94">
        <f t="shared" ref="BF1636" si="1160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IF(AT1636&gt;AT1637, 1-_xlpm.interp, _xlpm.interp)
)</f>
        <v>0.36021515055393694</v>
      </c>
      <c r="BG1636" s="22">
        <f t="shared" si="550"/>
        <v>0.50220654813007459</v>
      </c>
      <c r="BH1636" s="22">
        <f t="shared" si="550"/>
        <v>0.43752359570541588</v>
      </c>
      <c r="BI1636" s="22">
        <f t="shared" si="550"/>
        <v>0.38720660806247875</v>
      </c>
      <c r="BJ1636" s="21">
        <f t="shared" si="934"/>
        <v>177</v>
      </c>
      <c r="BK1636" s="21">
        <f t="shared" si="935"/>
        <v>-101</v>
      </c>
      <c r="BL1636" s="21">
        <f t="shared" si="936"/>
        <v>129</v>
      </c>
      <c r="BM1636" s="21">
        <f t="shared" si="937"/>
        <v>159</v>
      </c>
      <c r="BN1636" s="22">
        <f t="shared" ref="BN1636" si="1161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IF(AV1636&gt;AV1637, 1-_xlpm.interp, _xlpm.interp)
)</f>
        <v>0.36108770478523994</v>
      </c>
      <c r="BO1636" s="22">
        <f t="shared" si="552"/>
        <v>0.50143712374137916</v>
      </c>
      <c r="BP1636" s="22">
        <f t="shared" si="552"/>
        <v>0.43667960923459981</v>
      </c>
      <c r="BQ1636" s="22">
        <f t="shared" si="552"/>
        <v>0.38647710986814876</v>
      </c>
      <c r="BR1636">
        <v>3.8</v>
      </c>
      <c r="BS1636">
        <v>4.1500000000000004</v>
      </c>
      <c r="BT1636">
        <v>0.44785000000000003</v>
      </c>
      <c r="BU1636">
        <v>0.19142000000000001</v>
      </c>
      <c r="BV1636">
        <v>0.20915646853146799</v>
      </c>
      <c r="BW1636">
        <v>0.27622000000000002</v>
      </c>
    </row>
    <row r="1637" spans="1:75" ht="16.75" customHeight="1" x14ac:dyDescent="0.2">
      <c r="A1637" t="str">
        <f t="shared" si="536"/>
        <v>2025020787 LAK</v>
      </c>
      <c r="B1637">
        <v>2025020787</v>
      </c>
      <c r="C1637" s="1">
        <v>46042</v>
      </c>
      <c r="D1637" s="2" t="s">
        <v>9</v>
      </c>
      <c r="E1637" t="s">
        <v>28</v>
      </c>
      <c r="F1637" s="2">
        <v>2</v>
      </c>
      <c r="G1637" s="2">
        <v>0</v>
      </c>
      <c r="H1637" t="s">
        <v>31</v>
      </c>
      <c r="I1637" t="str">
        <f t="shared" si="176"/>
        <v>LAK Darcy Kuemper</v>
      </c>
      <c r="J1637" s="33" t="s">
        <v>167</v>
      </c>
      <c r="K1637" s="14">
        <v>2.96</v>
      </c>
      <c r="L1637" s="13">
        <v>0.15</v>
      </c>
      <c r="M1637" s="28">
        <v>0.1</v>
      </c>
      <c r="N1637">
        <f>IFERROR(_xlfn.XLOOKUP(A1637,Params!A:A,Params!D:D),0)</f>
        <v>3.2499999999999898</v>
      </c>
      <c r="O1637">
        <f t="shared" ref="O1637" si="1162">N1636</f>
        <v>2.3999999999999901</v>
      </c>
      <c r="P1637" s="68">
        <f t="shared" si="909"/>
        <v>3.2499999999999898</v>
      </c>
      <c r="Q1637">
        <f t="shared" ref="Q1637" si="1163">P1636</f>
        <v>2.3999999999999901</v>
      </c>
      <c r="R1637" s="5">
        <f t="shared" ref="R1637" si="1164">N1637/W1637/X1637/Z1636/AB1636/AA1637</f>
        <v>2.8527927039232202</v>
      </c>
      <c r="S1637" s="5">
        <f t="shared" ref="S1637" si="1165">O1637/W1636/Y1637/Z1637/AA1636/AB1637</f>
        <v>2.7204575252735461</v>
      </c>
      <c r="T1637" s="5">
        <f t="shared" ref="T1637" si="1166">P1637/W1637/X1637/Z1636/AB1636</f>
        <v>2.7101530687270592</v>
      </c>
      <c r="U1637" s="5">
        <f t="shared" ref="U1637" si="1167">Q1637/W1636/Y1637/Z1637/AA1636</f>
        <v>2.8428781139108557</v>
      </c>
      <c r="V1637" s="5">
        <f>_xlfn.XLOOKUP(H1637,'Rest - Home'!A:A,'Rest - Home'!B:B)</f>
        <v>1.085</v>
      </c>
      <c r="W1637" s="5">
        <f>_xlfn.XLOOKUP(H1637,'Rest - Home'!A:A,'Rest - Home'!C:C)</f>
        <v>1.0832085999357419</v>
      </c>
      <c r="X1637" s="5">
        <f t="shared" ref="X1637" si="1168">AM1636/K1637</f>
        <v>1.0236486486486487</v>
      </c>
      <c r="Y1637" s="5">
        <f t="shared" ref="Y1637" si="1169">AK1636/K1637</f>
        <v>0.95012765007121636</v>
      </c>
      <c r="Z1637" s="5">
        <f>IF(J1637="",1,(_xlfn.XLOOKUP(I1637,Goalies!B:B,Goalies!J:J)))</f>
        <v>0.97499999999999998</v>
      </c>
      <c r="AA1637" s="23">
        <v>0.95</v>
      </c>
      <c r="AB1637" s="23">
        <v>1.0449999999999999</v>
      </c>
      <c r="AC1637" s="23">
        <f>_xlfn.XLOOKUP(E1637,'Game Adjustments'!A:A,'Game Adjustments'!B:B)</f>
        <v>1</v>
      </c>
      <c r="AD1637" s="23">
        <f>_xlfn.XLOOKUP(E1637,'Game Adjustments'!A:A,'Game Adjustments'!C:C)</f>
        <v>1</v>
      </c>
      <c r="AE1637" s="23">
        <f>IF(D1637="A",_xlfn.XLOOKUP(E1637,'Rest - Home'!F:F,'Rest - Home'!J:J),_xlfn.XLOOKUP(E1637,'Rest - Home'!F:F,'Rest - Home'!I:I))</f>
        <v>1</v>
      </c>
      <c r="AF1637" s="23">
        <f>IF(D1637="A",_xlfn.XLOOKUP(E1637,'Rest - Home'!F:F,'Rest - Home'!L:L),_xlfn.XLOOKUP(E1637,'Rest - Home'!F:F,'Rest - Home'!K:K))</f>
        <v>1</v>
      </c>
      <c r="AG1637" s="26">
        <v>1</v>
      </c>
      <c r="AH1637" s="26">
        <v>1</v>
      </c>
      <c r="AI1637" s="53" cm="1">
        <f t="array" ref="AI1637">MAX(IF($E$63:E1636=E1637,ROW($E$63:E1636)-MIN(ROW($E$63:E1636))+1))</f>
        <v>1530</v>
      </c>
      <c r="AJ1637" s="53" cm="1">
        <f t="array" ref="AJ1637">MAX(IF($I$105:I1636=I1637,ROW($I$105:I1636)-MIN(ROW($I$105:I1636))+1))</f>
        <v>1465</v>
      </c>
      <c r="AK1637" s="23">
        <f>IF(AI1637=0,_xlfn.XLOOKUP(E1637,'Starting GF'!A:A,'Starting GF'!B:B),INDEX($AL$63:$AL1637,AI1637))</f>
        <v>2.8564361356058368</v>
      </c>
      <c r="AL1637" s="23">
        <f t="shared" si="917"/>
        <v>2.8537500263255016</v>
      </c>
      <c r="AM1637" s="23">
        <f>IF(AI1637=0,_xlfn.XLOOKUP(E1637,'Starting GF'!A:A,'Starting GF'!C:C),INDEX($AN$63:$AN1637,AI1637))</f>
        <v>2.7660909944062722</v>
      </c>
      <c r="AN1637" s="23">
        <f t="shared" si="918"/>
        <v>2.7592459740363631</v>
      </c>
      <c r="AO1637" s="23">
        <f>IF(AJ1637=0,_xlfn.XLOOKUP(I1637,Goalies!B:B,Goalies!I:I),INDEX($AP$105:$AP1637,AJ1637))</f>
        <v>2.7665315239278705</v>
      </c>
      <c r="AP1637" s="23">
        <f t="shared" si="919"/>
        <v>2.7494187084099457</v>
      </c>
      <c r="AQ1637" s="23">
        <f t="shared" si="920"/>
        <v>2.6969387195461154</v>
      </c>
      <c r="AR1637" s="66">
        <v>0</v>
      </c>
      <c r="AS1637" s="96" t="s">
        <v>1592</v>
      </c>
      <c r="AT1637" s="20">
        <f t="shared" ref="AT1637" si="1170">(AK1637*V1637*X1637*Z1636*AA1637*AB1636*AC1637*AD1636*AG1637*AH1636)+AR1637</f>
        <v>3.259532406705727</v>
      </c>
      <c r="AU1637" s="20">
        <f t="shared" ref="AU1637" si="1171">AT1636</f>
        <v>2.3938242967421224</v>
      </c>
      <c r="AV1637" s="12">
        <f t="shared" ref="AV1637" si="1172">AK1637*W1637*X1637*Z1636*AA1637*AB1636</f>
        <v>3.2541507232376858</v>
      </c>
      <c r="AW1637" s="12">
        <f t="shared" ref="AW1637" si="1173">AV1636</f>
        <v>2.3938242967421224</v>
      </c>
      <c r="AX1637" s="8">
        <f t="shared" si="925"/>
        <v>9.5324067057371842E-3</v>
      </c>
      <c r="AY1637" s="8">
        <f t="shared" si="926"/>
        <v>-6.1757032578677595E-3</v>
      </c>
      <c r="AZ1637" s="8">
        <f t="shared" si="927"/>
        <v>3.3567034478694247E-3</v>
      </c>
      <c r="BA1637" s="8">
        <f t="shared" si="928"/>
        <v>1.5708109963604944E-2</v>
      </c>
      <c r="BB1637" s="62">
        <f t="shared" si="929"/>
        <v>-178</v>
      </c>
      <c r="BC1637" s="21">
        <f t="shared" si="930"/>
        <v>101</v>
      </c>
      <c r="BD1637" s="21">
        <f t="shared" si="931"/>
        <v>-129</v>
      </c>
      <c r="BE1637" s="21">
        <f t="shared" si="932"/>
        <v>-158</v>
      </c>
      <c r="BF1637" s="94">
        <f t="shared" si="57"/>
        <v>0.63978484944606306</v>
      </c>
      <c r="BG1637" s="22">
        <f t="shared" ref="BG1637" si="1174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0.49779345186992546</v>
      </c>
      <c r="BH1637" s="22">
        <f t="shared" ref="BH1637" si="1175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0.56247640429458412</v>
      </c>
      <c r="BI1637" s="22">
        <f t="shared" ref="BI1637" si="1176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0.61279339193752125</v>
      </c>
      <c r="BJ1637" s="21">
        <f t="shared" si="934"/>
        <v>-177</v>
      </c>
      <c r="BK1637" s="21">
        <f t="shared" si="935"/>
        <v>101</v>
      </c>
      <c r="BL1637" s="21">
        <f t="shared" si="936"/>
        <v>-129</v>
      </c>
      <c r="BM1637" s="21">
        <f t="shared" si="937"/>
        <v>-159</v>
      </c>
      <c r="BN1637" s="22">
        <f t="shared" si="61"/>
        <v>0.63891229521476012</v>
      </c>
      <c r="BO1637" s="22">
        <f t="shared" ref="BO1637" si="1177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0.49856287625862084</v>
      </c>
      <c r="BP1637" s="22">
        <f t="shared" ref="BP1637" si="1178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0.56332039076540019</v>
      </c>
      <c r="BQ1637" s="22">
        <f t="shared" ref="BQ1637" si="1179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0.61352289013185124</v>
      </c>
      <c r="BR1637">
        <v>3.8</v>
      </c>
      <c r="BS1637">
        <v>4.2</v>
      </c>
      <c r="BT1637">
        <v>0.44205</v>
      </c>
      <c r="BU1637">
        <v>0.18820000000000001</v>
      </c>
      <c r="BV1637">
        <v>0.205035461765571</v>
      </c>
      <c r="BW1637">
        <v>0.27030999999999999</v>
      </c>
    </row>
    <row r="1638" spans="1:75" ht="16.75" customHeight="1" x14ac:dyDescent="0.2">
      <c r="A1638" t="str">
        <f t="shared" si="536"/>
        <v>2025020788 DET</v>
      </c>
      <c r="B1638">
        <v>2025020788</v>
      </c>
      <c r="C1638" s="1">
        <v>46043</v>
      </c>
      <c r="D1638" s="2" t="s">
        <v>6</v>
      </c>
      <c r="E1638" t="s">
        <v>30</v>
      </c>
      <c r="F1638" s="2">
        <v>2</v>
      </c>
      <c r="G1638" s="2">
        <v>1</v>
      </c>
      <c r="H1638" t="s">
        <v>44</v>
      </c>
      <c r="I1638" t="str">
        <f t="shared" si="176"/>
        <v>DET John Gibson</v>
      </c>
      <c r="J1638" s="33" t="s">
        <v>161</v>
      </c>
      <c r="K1638" s="14">
        <v>2.96</v>
      </c>
      <c r="L1638" s="13">
        <v>0.15</v>
      </c>
      <c r="M1638" s="28">
        <v>0.1</v>
      </c>
      <c r="N1638">
        <f>IFERROR(_xlfn.XLOOKUP(A1638,Params!A:A,Params!D:D),0)</f>
        <v>0</v>
      </c>
      <c r="O1638">
        <f t="shared" ref="O1638" si="1180">N1639</f>
        <v>0</v>
      </c>
      <c r="P1638" s="68">
        <f t="shared" ref="P1638:P1649" si="1181">N1638</f>
        <v>0</v>
      </c>
      <c r="Q1638">
        <f t="shared" ref="Q1638" si="1182">P1639</f>
        <v>0</v>
      </c>
      <c r="R1638" s="5">
        <f t="shared" ref="R1638" si="1183">N1638/W1638/X1638/Z1639/AB1639/AA1638</f>
        <v>0</v>
      </c>
      <c r="S1638" s="5">
        <f t="shared" ref="S1638" si="1184">O1638/W1639/Y1638/Z1638/AA1639/AB1638</f>
        <v>0</v>
      </c>
      <c r="T1638" s="5">
        <f t="shared" ref="T1638" si="1185">P1638/W1638/X1638/Z1639/AB1639</f>
        <v>0</v>
      </c>
      <c r="U1638" s="5">
        <f t="shared" ref="U1638" si="1186">Q1638/W1639/Y1638/Z1638/AA1639</f>
        <v>0</v>
      </c>
      <c r="V1638" s="5">
        <f>_xlfn.XLOOKUP(H1638,'Rest - Home'!A:A,'Rest - Home'!B:B)</f>
        <v>0.96</v>
      </c>
      <c r="W1638" s="5">
        <f>_xlfn.XLOOKUP(H1638,'Rest - Home'!A:A,'Rest - Home'!C:C)</f>
        <v>0.96305398776725637</v>
      </c>
      <c r="X1638" s="5">
        <f t="shared" ref="X1638" si="1187">AM1639/K1638</f>
        <v>1.0256952303763283</v>
      </c>
      <c r="Y1638" s="5">
        <f t="shared" ref="Y1638" si="1188">AK1639/K1638</f>
        <v>1.027027027027027</v>
      </c>
      <c r="Z1638" s="5">
        <f>IF(J1638="",1,(_xlfn.XLOOKUP(I1638,Goalies!B:B,Goalies!J:J)))</f>
        <v>0.99</v>
      </c>
      <c r="AA1638" s="23">
        <f>_xlfn.XLOOKUP(E1638,Injuries!A:A,Injuries!B:B)</f>
        <v>1</v>
      </c>
      <c r="AB1638" s="23">
        <f>_xlfn.XLOOKUP(E1638,Injuries!A:A,Injuries!C:C)</f>
        <v>1</v>
      </c>
      <c r="AC1638" s="23">
        <f>_xlfn.XLOOKUP(E1638,'Game Adjustments'!A:A,'Game Adjustments'!B:B)</f>
        <v>1</v>
      </c>
      <c r="AD1638" s="23">
        <f>_xlfn.XLOOKUP(E1638,'Game Adjustments'!A:A,'Game Adjustments'!C:C)</f>
        <v>1</v>
      </c>
      <c r="AE1638" s="23">
        <f>IF(D1638="A",_xlfn.XLOOKUP(E1638,'Rest - Home'!F:F,'Rest - Home'!J:J),_xlfn.XLOOKUP(E1638,'Rest - Home'!F:F,'Rest - Home'!I:I))</f>
        <v>1</v>
      </c>
      <c r="AF1638" s="23">
        <f>IF(D1638="A",_xlfn.XLOOKUP(E1638,'Rest - Home'!F:F,'Rest - Home'!L:L),_xlfn.XLOOKUP(E1638,'Rest - Home'!F:F,'Rest - Home'!K:K))</f>
        <v>1</v>
      </c>
      <c r="AG1638" s="26">
        <v>1</v>
      </c>
      <c r="AH1638" s="26">
        <v>1</v>
      </c>
      <c r="AI1638" s="53" cm="1">
        <f t="array" ref="AI1638">MAX(IF($E$63:E1637=E1638,ROW($E$63:E1637)-MIN(ROW($E$63:E1637))+1))</f>
        <v>1537</v>
      </c>
      <c r="AJ1638" s="53" cm="1">
        <f t="array" ref="AJ1638">MAX(IF($I$105:I1637=I1638,ROW($I$105:I1637)-MIN(ROW($I$105:I1637))+1))</f>
        <v>1495</v>
      </c>
      <c r="AK1638" s="23">
        <f>IF(AI1638=0,_xlfn.XLOOKUP(E1638,'Starting GF'!A:A,'Starting GF'!B:B),INDEX($AL$63:$AL1638,AI1638))</f>
        <v>2.93</v>
      </c>
      <c r="AL1638" s="23">
        <f t="shared" ref="AL1638:AL1649" si="1189">IF(R1638=0,AK1638,R1638*L1638*(1-M1638)+T1638*L1638*M1638+AK1638*(1-L1638))</f>
        <v>2.93</v>
      </c>
      <c r="AM1638" s="23">
        <f>IF(AI1638=0,_xlfn.XLOOKUP(E1638,'Starting GF'!A:A,'Starting GF'!C:C),INDEX($AN$63:$AN1638,AI1638))</f>
        <v>3.0936292906528782</v>
      </c>
      <c r="AN1638" s="23">
        <f t="shared" ref="AN1638:AN1649" si="1190">IF(S1638=0,AM1638,S1638*L1638+AM1638*(1-L1638))</f>
        <v>3.0936292906528782</v>
      </c>
      <c r="AO1638" s="23">
        <f>IF(AJ1638=0,_xlfn.XLOOKUP(I1638,Goalies!B:B,Goalies!I:I),INDEX($AP$105:$AP1638,AJ1638))</f>
        <v>3.1142244731246937</v>
      </c>
      <c r="AP1638" s="23">
        <f t="shared" ref="AP1638:AP1649" si="1191">IF(S1638=0,AO1638,S1638*L1638*Z1638+AO1638*(1-L1638))</f>
        <v>3.1142244731246937</v>
      </c>
      <c r="AQ1638" s="23">
        <f t="shared" ref="AQ1638:AQ1649" si="1192">AM1638*Z1638</f>
        <v>3.0626929977463493</v>
      </c>
      <c r="AR1638" s="66">
        <v>0.05</v>
      </c>
      <c r="AS1638" s="96" t="s">
        <v>1593</v>
      </c>
      <c r="AT1638" s="20">
        <f t="shared" ref="AT1638" si="1193">(AK1638*V1638*X1638*Z1639*AA1638*AB1639*AC1638*AD1639*AG1638*AH1639)+AR1638</f>
        <v>2.8765085104592849</v>
      </c>
      <c r="AU1638" s="20">
        <f t="shared" ref="AU1638" si="1194">AT1639</f>
        <v>3.0753374858732263</v>
      </c>
      <c r="AV1638" s="12">
        <f t="shared" ref="AV1638" si="1195">AK1638*V1638*X1638*Z1639*AA1638*AB1639</f>
        <v>2.8265085104592851</v>
      </c>
      <c r="AW1638" s="12">
        <f t="shared" ref="AW1638" si="1196">AV1639</f>
        <v>3.1191340715606857</v>
      </c>
      <c r="AX1638" s="8">
        <f t="shared" ref="AX1638:AX1649" si="1197">(AT1638-N1638)</f>
        <v>2.8765085104592849</v>
      </c>
      <c r="AY1638" s="8">
        <f t="shared" ref="AY1638:AY1649" si="1198">(AU1638-O1638)</f>
        <v>3.0753374858732263</v>
      </c>
      <c r="AZ1638" s="8">
        <f t="shared" ref="AZ1638:AZ1649" si="1199">SUM(AX1638:AY1638)</f>
        <v>5.9518459963325112</v>
      </c>
      <c r="BA1638" s="8">
        <f t="shared" ref="BA1638:BA1649" si="1200">AX1638-AY1638</f>
        <v>-0.1988289754139414</v>
      </c>
      <c r="BB1638" s="62">
        <f t="shared" ref="BB1638:BB1649" si="1201">IF(BF1638=0.5,100,IF(BF1638&gt;0.5,-ROUND(100*BF1638/(1-BF1638),0),ROUND(100*(1-BF1638)/BF1638,0)))</f>
        <v>116</v>
      </c>
      <c r="BC1638" s="21">
        <f t="shared" ref="BC1638:BC1649" si="1202">IF(BG1638=0.5,100,IF(BG1638&gt;0.5,-ROUND(100*BG1638/(1-BG1638),0),ROUND(100*(1-BG1638)/BG1638,0)))</f>
        <v>-125</v>
      </c>
      <c r="BD1638" s="21">
        <f t="shared" ref="BD1638:BD1649" si="1203">IF(BH1638=0.5,100,IF(BH1638&gt;0.5,-ROUND(100*BH1638/(1-BH1638),0),ROUND(100*(1-BH1638)/BH1638,0)))</f>
        <v>101</v>
      </c>
      <c r="BE1638" s="21">
        <f t="shared" ref="BE1638:BE1649" si="1204">IF(BI1638=0.5,100,IF(BI1638&gt;0.5,-ROUND(100*BI1638/(1-BI1638),0),ROUND(100*(1-BI1638)/BI1638,0)))</f>
        <v>127</v>
      </c>
      <c r="BF1638" s="94">
        <f t="shared" ref="BF1638" si="120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IF(AT1638&gt;AT1639, 1-_xlpm.interp, _xlpm.interp)
)</f>
        <v>0.46278409085778716</v>
      </c>
      <c r="BG1638" s="22">
        <f t="shared" si="550"/>
        <v>0.55478482216757974</v>
      </c>
      <c r="BH1638" s="22">
        <f t="shared" si="550"/>
        <v>0.49706657748077454</v>
      </c>
      <c r="BI1638" s="22">
        <f t="shared" si="550"/>
        <v>0.44001339310163057</v>
      </c>
      <c r="BJ1638" s="21">
        <f t="shared" ref="BJ1638:BJ1649" si="1206">IF(BN1638=0.5,100,IF(BN1638&gt;0.5,-ROUND(100*BN1638/(1-BN1638),0),ROUND(100*(1-BN1638)/BN1638,0)))</f>
        <v>122</v>
      </c>
      <c r="BK1638" s="21">
        <f t="shared" ref="BK1638:BK1649" si="1207">IF(BO1638=0.5,100,IF(BO1638&gt;0.5,-ROUND(100*BO1638/(1-BO1638),0),ROUND(100*(1-BO1638)/BO1638,0)))</f>
        <v>-123</v>
      </c>
      <c r="BL1638" s="21">
        <f t="shared" ref="BL1638:BL1649" si="1208">IF(BP1638=0.5,100,IF(BP1638&gt;0.5,-ROUND(100*BP1638/(1-BP1638),0),ROUND(100*(1-BP1638)/BP1638,0)))</f>
        <v>102</v>
      </c>
      <c r="BM1638" s="21">
        <f t="shared" ref="BM1638:BM1649" si="1209">IF(BQ1638=0.5,100,IF(BQ1638&gt;0.5,-ROUND(100*BQ1638/(1-BQ1638),0),ROUND(100*(1-BQ1638)/BQ1638,0)))</f>
        <v>128</v>
      </c>
      <c r="BN1638" s="22">
        <f t="shared" ref="BN1638" si="1210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IF(AV1638&gt;AV1639, 1-_xlpm.interp, _xlpm.interp)
)</f>
        <v>0.45140940204058205</v>
      </c>
      <c r="BO1638" s="22">
        <f t="shared" si="552"/>
        <v>0.55238102311837578</v>
      </c>
      <c r="BP1638" s="22">
        <f t="shared" si="552"/>
        <v>0.49455688777378448</v>
      </c>
      <c r="BQ1638" s="22">
        <f t="shared" si="552"/>
        <v>0.43797552974613829</v>
      </c>
      <c r="BR1638">
        <v>3.8</v>
      </c>
      <c r="BS1638">
        <v>4.25</v>
      </c>
      <c r="BT1638">
        <v>0.43561</v>
      </c>
      <c r="BU1638">
        <v>0.1825</v>
      </c>
      <c r="BV1638">
        <v>0.19906846864535199</v>
      </c>
      <c r="BW1638">
        <v>0.26573000000000002</v>
      </c>
    </row>
    <row r="1639" spans="1:75" ht="16.75" customHeight="1" x14ac:dyDescent="0.2">
      <c r="A1639" t="str">
        <f t="shared" si="536"/>
        <v>2025020788 TOR</v>
      </c>
      <c r="B1639">
        <v>2025020788</v>
      </c>
      <c r="C1639" s="1">
        <v>46043</v>
      </c>
      <c r="D1639" s="2" t="s">
        <v>9</v>
      </c>
      <c r="E1639" t="s">
        <v>18</v>
      </c>
      <c r="F1639" s="2">
        <v>1</v>
      </c>
      <c r="G1639" s="2">
        <v>2</v>
      </c>
      <c r="H1639" t="s">
        <v>45</v>
      </c>
      <c r="I1639" t="str">
        <f t="shared" si="176"/>
        <v>TOR Joseph Woll</v>
      </c>
      <c r="J1639" s="33" t="s">
        <v>190</v>
      </c>
      <c r="K1639" s="14">
        <v>2.96</v>
      </c>
      <c r="L1639" s="13">
        <v>0.15</v>
      </c>
      <c r="M1639" s="28">
        <v>0.1</v>
      </c>
      <c r="N1639">
        <f>IFERROR(_xlfn.XLOOKUP(A1639,Params!A:A,Params!D:D),0)</f>
        <v>0</v>
      </c>
      <c r="O1639">
        <f t="shared" ref="O1639" si="1211">N1638</f>
        <v>0</v>
      </c>
      <c r="P1639" s="68">
        <f t="shared" si="1181"/>
        <v>0</v>
      </c>
      <c r="Q1639">
        <f t="shared" ref="Q1639" si="1212">P1638</f>
        <v>0</v>
      </c>
      <c r="R1639" s="5">
        <f t="shared" ref="R1639" si="1213">N1639/W1639/X1639/Z1638/AB1638/AA1639</f>
        <v>0</v>
      </c>
      <c r="S1639" s="5">
        <f t="shared" ref="S1639" si="1214">O1639/W1638/Y1639/Z1639/AA1638/AB1639</f>
        <v>0</v>
      </c>
      <c r="T1639" s="5">
        <f t="shared" ref="T1639" si="1215">P1639/W1639/X1639/Z1638/AB1638</f>
        <v>0</v>
      </c>
      <c r="U1639" s="5">
        <f t="shared" ref="U1639" si="1216">Q1639/W1638/Y1639/Z1639/AA1638</f>
        <v>0</v>
      </c>
      <c r="V1639" s="5">
        <f>_xlfn.XLOOKUP(H1639,'Rest - Home'!A:A,'Rest - Home'!B:B)</f>
        <v>1.0349999999999999</v>
      </c>
      <c r="W1639" s="5">
        <f>_xlfn.XLOOKUP(H1639,'Rest - Home'!A:A,'Rest - Home'!C:C)</f>
        <v>1.0329456510400874</v>
      </c>
      <c r="X1639" s="5">
        <f t="shared" ref="X1639" si="1217">AM1638/K1639</f>
        <v>1.0451450306259724</v>
      </c>
      <c r="Y1639" s="5">
        <f t="shared" ref="Y1639" si="1218">AK1638/K1639</f>
        <v>0.98986486486486491</v>
      </c>
      <c r="Z1639" s="5">
        <f>IF(J1639="",1,(_xlfn.XLOOKUP(I1639,Goalies!B:B,Goalies!J:J)))</f>
        <v>0.97</v>
      </c>
      <c r="AA1639" s="23">
        <f>_xlfn.XLOOKUP(E1639,Injuries!A:A,Injuries!B:B)</f>
        <v>0.96</v>
      </c>
      <c r="AB1639" s="23">
        <f>_xlfn.XLOOKUP(E1639,Injuries!A:A,Injuries!C:C)</f>
        <v>1.01</v>
      </c>
      <c r="AC1639" s="23">
        <f>_xlfn.XLOOKUP(E1639,'Game Adjustments'!A:A,'Game Adjustments'!B:B)</f>
        <v>1</v>
      </c>
      <c r="AD1639" s="23">
        <f>_xlfn.XLOOKUP(E1639,'Game Adjustments'!A:A,'Game Adjustments'!C:C)</f>
        <v>1</v>
      </c>
      <c r="AE1639" s="23">
        <f>IF(D1639="A",_xlfn.XLOOKUP(E1639,'Rest - Home'!F:F,'Rest - Home'!J:J),_xlfn.XLOOKUP(E1639,'Rest - Home'!F:F,'Rest - Home'!I:I))</f>
        <v>1</v>
      </c>
      <c r="AF1639" s="23">
        <f>IF(D1639="A",_xlfn.XLOOKUP(E1639,'Rest - Home'!F:F,'Rest - Home'!L:L),_xlfn.XLOOKUP(E1639,'Rest - Home'!F:F,'Rest - Home'!K:K))</f>
        <v>1</v>
      </c>
      <c r="AG1639" s="26">
        <v>1</v>
      </c>
      <c r="AH1639" s="26">
        <v>1</v>
      </c>
      <c r="AI1639" s="53" cm="1">
        <f t="array" ref="AI1639">MAX(IF($E$63:E1638=E1639,ROW($E$63:E1638)-MIN(ROW($E$63:E1638))+1))</f>
        <v>1549</v>
      </c>
      <c r="AJ1639" s="53" cm="1">
        <f t="array" ref="AJ1639">MAX(IF($I$105:I1638=I1639,ROW($I$105:I1638)-MIN(ROW($I$105:I1638))+1))</f>
        <v>1507</v>
      </c>
      <c r="AK1639" s="23">
        <f>IF(AI1639=0,_xlfn.XLOOKUP(E1639,'Starting GF'!A:A,'Starting GF'!B:B),INDEX($AL$63:$AL1639,AI1639))</f>
        <v>3.04</v>
      </c>
      <c r="AL1639" s="23">
        <f t="shared" si="1189"/>
        <v>3.04</v>
      </c>
      <c r="AM1639" s="23">
        <f>IF(AI1639=0,_xlfn.XLOOKUP(E1639,'Starting GF'!A:A,'Starting GF'!C:C),INDEX($AN$63:$AN1639,AI1639))</f>
        <v>3.0360578819139317</v>
      </c>
      <c r="AN1639" s="23">
        <f t="shared" si="1190"/>
        <v>3.0360578819139317</v>
      </c>
      <c r="AO1639" s="23">
        <f>IF(AJ1639=0,_xlfn.XLOOKUP(I1639,Goalies!B:B,Goalies!I:I),INDEX($AP$105:$AP1639,AJ1639))</f>
        <v>3.030890874058159</v>
      </c>
      <c r="AP1639" s="23">
        <f t="shared" si="1191"/>
        <v>3.030890874058159</v>
      </c>
      <c r="AQ1639" s="23">
        <f t="shared" si="1192"/>
        <v>2.9449761454565135</v>
      </c>
      <c r="AR1639" s="66">
        <v>-0.05</v>
      </c>
      <c r="AS1639" s="96" t="s">
        <v>1593</v>
      </c>
      <c r="AT1639" s="20">
        <f t="shared" ref="AT1639" si="1219">(AK1639*V1639*X1639*Z1638*AA1639*AB1638*AC1639*AD1638*AG1639*AH1638)+AR1639</f>
        <v>3.0753374858732263</v>
      </c>
      <c r="AU1639" s="20">
        <f t="shared" ref="AU1639" si="1220">AT1638</f>
        <v>2.8765085104592849</v>
      </c>
      <c r="AV1639" s="12">
        <f t="shared" ref="AV1639" si="1221">AK1639*W1639*X1639*Z1638*AA1639*AB1638</f>
        <v>3.1191340715606857</v>
      </c>
      <c r="AW1639" s="12">
        <f t="shared" ref="AW1639" si="1222">AV1638</f>
        <v>2.8265085104592851</v>
      </c>
      <c r="AX1639" s="8">
        <f t="shared" si="1197"/>
        <v>3.0753374858732263</v>
      </c>
      <c r="AY1639" s="8">
        <f t="shared" si="1198"/>
        <v>2.8765085104592849</v>
      </c>
      <c r="AZ1639" s="8">
        <f t="shared" si="1199"/>
        <v>5.9518459963325112</v>
      </c>
      <c r="BA1639" s="8">
        <f t="shared" si="1200"/>
        <v>0.1988289754139414</v>
      </c>
      <c r="BB1639" s="62">
        <f t="shared" si="1201"/>
        <v>-116</v>
      </c>
      <c r="BC1639" s="21">
        <f t="shared" si="1202"/>
        <v>125</v>
      </c>
      <c r="BD1639" s="21">
        <f t="shared" si="1203"/>
        <v>-101</v>
      </c>
      <c r="BE1639" s="21">
        <f t="shared" si="1204"/>
        <v>-127</v>
      </c>
      <c r="BF1639" s="94">
        <f t="shared" si="57"/>
        <v>0.53721590914221284</v>
      </c>
      <c r="BG1639" s="22">
        <f t="shared" ref="BG1639" si="1223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0.44521517783242021</v>
      </c>
      <c r="BH1639" s="22">
        <f t="shared" ref="BH1639" si="1224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0.50293342251922546</v>
      </c>
      <c r="BI1639" s="22">
        <f t="shared" ref="BI1639" si="122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0.55998660689836943</v>
      </c>
      <c r="BJ1639" s="21">
        <f t="shared" si="1206"/>
        <v>-122</v>
      </c>
      <c r="BK1639" s="21">
        <f t="shared" si="1207"/>
        <v>123</v>
      </c>
      <c r="BL1639" s="21">
        <f t="shared" si="1208"/>
        <v>-102</v>
      </c>
      <c r="BM1639" s="21">
        <f t="shared" si="1209"/>
        <v>-128</v>
      </c>
      <c r="BN1639" s="22">
        <f t="shared" si="61"/>
        <v>0.54859059795941789</v>
      </c>
      <c r="BO1639" s="22">
        <f t="shared" ref="BO1639" si="1226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0.44761897688162422</v>
      </c>
      <c r="BP1639" s="22">
        <f t="shared" ref="BP1639" si="1227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0.50544311222621552</v>
      </c>
      <c r="BQ1639" s="22">
        <f t="shared" ref="BQ1639" si="1228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0.56202447025386171</v>
      </c>
      <c r="BR1639">
        <v>3.8</v>
      </c>
      <c r="BS1639">
        <v>4.3</v>
      </c>
      <c r="BT1639">
        <v>0.4284</v>
      </c>
      <c r="BU1639">
        <v>0.17759</v>
      </c>
      <c r="BV1639">
        <v>0.19325737542576599</v>
      </c>
      <c r="BW1639">
        <v>0.25866</v>
      </c>
    </row>
    <row r="1640" spans="1:75" ht="16.75" customHeight="1" x14ac:dyDescent="0.2">
      <c r="A1640" t="str">
        <f t="shared" si="536"/>
        <v>2025020789 ANA</v>
      </c>
      <c r="B1640">
        <v>2025020789</v>
      </c>
      <c r="C1640" s="1">
        <v>46043</v>
      </c>
      <c r="D1640" s="2" t="s">
        <v>6</v>
      </c>
      <c r="E1640" t="s">
        <v>48</v>
      </c>
      <c r="F1640" s="2">
        <v>1</v>
      </c>
      <c r="G1640" s="2">
        <v>1</v>
      </c>
      <c r="H1640" t="s">
        <v>46</v>
      </c>
      <c r="I1640" t="str">
        <f t="shared" si="176"/>
        <v>ANA Lukas Dostal</v>
      </c>
      <c r="J1640" s="33" t="s">
        <v>146</v>
      </c>
      <c r="K1640" s="14">
        <v>2.96</v>
      </c>
      <c r="L1640" s="13">
        <v>0.15</v>
      </c>
      <c r="M1640" s="28">
        <v>0.1</v>
      </c>
      <c r="N1640">
        <f>IFERROR(_xlfn.XLOOKUP(A1640,Params!A:A,Params!D:D),0)</f>
        <v>0</v>
      </c>
      <c r="O1640">
        <f t="shared" ref="O1640" si="1229">N1641</f>
        <v>0</v>
      </c>
      <c r="P1640" s="68">
        <f t="shared" si="1181"/>
        <v>0</v>
      </c>
      <c r="Q1640">
        <f t="shared" ref="Q1640" si="1230">P1641</f>
        <v>0</v>
      </c>
      <c r="R1640" s="5">
        <f t="shared" ref="R1640" si="1231">N1640/W1640/X1640/Z1641/AB1641/AA1640</f>
        <v>0</v>
      </c>
      <c r="S1640" s="5">
        <f t="shared" ref="S1640" si="1232">O1640/W1641/Y1640/Z1640/AA1641/AB1640</f>
        <v>0</v>
      </c>
      <c r="T1640" s="5">
        <f t="shared" ref="T1640" si="1233">P1640/W1640/X1640/Z1641/AB1641</f>
        <v>0</v>
      </c>
      <c r="U1640" s="5">
        <f t="shared" ref="U1640" si="1234">Q1640/W1641/Y1640/Z1640/AA1641</f>
        <v>0</v>
      </c>
      <c r="V1640" s="5">
        <f>_xlfn.XLOOKUP(H1640,'Rest - Home'!A:A,'Rest - Home'!B:B)</f>
        <v>0.95</v>
      </c>
      <c r="W1640" s="5">
        <f>_xlfn.XLOOKUP(H1640,'Rest - Home'!A:A,'Rest - Home'!C:C)</f>
        <v>0.95302926576458757</v>
      </c>
      <c r="X1640" s="5">
        <f t="shared" ref="X1640" si="1235">AM1641/K1640</f>
        <v>0.88711654167730825</v>
      </c>
      <c r="Y1640" s="5">
        <f t="shared" ref="Y1640" si="1236">AK1641/K1640</f>
        <v>1.2077702702702704</v>
      </c>
      <c r="Z1640" s="5">
        <f>IF(J1640="",1,(_xlfn.XLOOKUP(I1640,Goalies!B:B,Goalies!J:J)))</f>
        <v>0.97</v>
      </c>
      <c r="AA1640" s="23">
        <f>_xlfn.XLOOKUP(E1640,Injuries!A:A,Injuries!B:B)</f>
        <v>0.95</v>
      </c>
      <c r="AB1640" s="23">
        <f>_xlfn.XLOOKUP(E1640,Injuries!A:A,Injuries!C:C)</f>
        <v>1.01</v>
      </c>
      <c r="AC1640" s="23">
        <f>_xlfn.XLOOKUP(E1640,'Game Adjustments'!A:A,'Game Adjustments'!B:B)</f>
        <v>1</v>
      </c>
      <c r="AD1640" s="23">
        <f>_xlfn.XLOOKUP(E1640,'Game Adjustments'!A:A,'Game Adjustments'!C:C)</f>
        <v>1</v>
      </c>
      <c r="AE1640" s="23">
        <f>IF(D1640="A",_xlfn.XLOOKUP(E1640,'Rest - Home'!F:F,'Rest - Home'!J:J),_xlfn.XLOOKUP(E1640,'Rest - Home'!F:F,'Rest - Home'!I:I))</f>
        <v>1</v>
      </c>
      <c r="AF1640" s="23">
        <f>IF(D1640="A",_xlfn.XLOOKUP(E1640,'Rest - Home'!F:F,'Rest - Home'!L:L),_xlfn.XLOOKUP(E1640,'Rest - Home'!F:F,'Rest - Home'!K:K))</f>
        <v>1</v>
      </c>
      <c r="AG1640" s="26">
        <v>1</v>
      </c>
      <c r="AH1640" s="26">
        <v>1</v>
      </c>
      <c r="AI1640" s="53" cm="1">
        <f t="array" ref="AI1640">MAX(IF($E$63:E1639=E1640,ROW($E$63:E1639)-MIN(ROW($E$63:E1639))+1))</f>
        <v>1559</v>
      </c>
      <c r="AJ1640" s="53" cm="1">
        <f t="array" ref="AJ1640">MAX(IF($I$105:I1639=I1640,ROW($I$105:I1639)-MIN(ROW($I$105:I1639))+1))</f>
        <v>1517</v>
      </c>
      <c r="AK1640" s="23">
        <f>IF(AI1640=0,_xlfn.XLOOKUP(E1640,'Starting GF'!A:A,'Starting GF'!B:B),INDEX($AL$63:$AL1640,AI1640))</f>
        <v>3.1204106601142572</v>
      </c>
      <c r="AL1640" s="23">
        <f t="shared" si="1189"/>
        <v>3.1204106601142572</v>
      </c>
      <c r="AM1640" s="23">
        <f>IF(AI1640=0,_xlfn.XLOOKUP(E1640,'Starting GF'!A:A,'Starting GF'!C:C),INDEX($AN$63:$AN1640,AI1640))</f>
        <v>3.37</v>
      </c>
      <c r="AN1640" s="23">
        <f t="shared" si="1190"/>
        <v>3.37</v>
      </c>
      <c r="AO1640" s="23">
        <f>IF(AJ1640=0,_xlfn.XLOOKUP(I1640,Goalies!B:B,Goalies!I:I),INDEX($AP$105:$AP1640,AJ1640))</f>
        <v>3.3103471329870824</v>
      </c>
      <c r="AP1640" s="23">
        <f t="shared" si="1191"/>
        <v>3.3103471329870824</v>
      </c>
      <c r="AQ1640" s="23">
        <f t="shared" si="1192"/>
        <v>3.2688999999999999</v>
      </c>
      <c r="AR1640" s="66">
        <v>0</v>
      </c>
      <c r="AS1640" s="96" t="s">
        <v>1594</v>
      </c>
      <c r="AT1640" s="20">
        <f t="shared" ref="AT1640" si="1237">(AK1640*V1640*X1640*Z1641*AA1640*AB1641*AC1640*AD1641*AG1640*AH1641)+AR1640</f>
        <v>2.5351210470981154</v>
      </c>
      <c r="AU1640" s="20">
        <f t="shared" ref="AU1640" si="1238">AT1641</f>
        <v>4.0744898694983114</v>
      </c>
      <c r="AV1640" s="12">
        <f t="shared" ref="AV1640" si="1239">AK1640*V1640*X1640*Z1641*AA1640*AB1641</f>
        <v>2.5351210470981154</v>
      </c>
      <c r="AW1640" s="12">
        <f t="shared" ref="AW1640" si="1240">AV1641</f>
        <v>4.0789788139166339</v>
      </c>
      <c r="AX1640" s="8">
        <f t="shared" si="1197"/>
        <v>2.5351210470981154</v>
      </c>
      <c r="AY1640" s="8">
        <f t="shared" si="1198"/>
        <v>4.0744898694983114</v>
      </c>
      <c r="AZ1640" s="8">
        <f t="shared" si="1199"/>
        <v>6.6096109165964272</v>
      </c>
      <c r="BA1640" s="8">
        <f t="shared" si="1200"/>
        <v>-1.539368822400196</v>
      </c>
      <c r="BB1640" s="62">
        <f t="shared" si="1201"/>
        <v>258</v>
      </c>
      <c r="BC1640" s="21">
        <f t="shared" si="1202"/>
        <v>-188</v>
      </c>
      <c r="BD1640" s="21">
        <f t="shared" si="1203"/>
        <v>-155</v>
      </c>
      <c r="BE1640" s="21">
        <f t="shared" si="1204"/>
        <v>-116</v>
      </c>
      <c r="BF1640" s="94">
        <f t="shared" ref="BF1640" si="1241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IF(AT1640&gt;AT1641, 1-_xlpm.interp, _xlpm.interp)
)</f>
        <v>0.27927195481953387</v>
      </c>
      <c r="BG1640" s="22">
        <f t="shared" si="550"/>
        <v>0.65268405274629626</v>
      </c>
      <c r="BH1640" s="22">
        <f t="shared" si="550"/>
        <v>0.60723793724551967</v>
      </c>
      <c r="BI1640" s="22">
        <f t="shared" si="550"/>
        <v>0.53696498365227729</v>
      </c>
      <c r="BJ1640" s="21">
        <f t="shared" si="1206"/>
        <v>259</v>
      </c>
      <c r="BK1640" s="21">
        <f t="shared" si="1207"/>
        <v>-188</v>
      </c>
      <c r="BL1640" s="21">
        <f t="shared" si="1208"/>
        <v>-155</v>
      </c>
      <c r="BM1640" s="21">
        <f t="shared" si="1209"/>
        <v>-116</v>
      </c>
      <c r="BN1640" s="22">
        <f t="shared" ref="BN1640" si="1242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IF(AV1640&gt;AV1641, 1-_xlpm.interp, _xlpm.interp)
)</f>
        <v>0.27873613937598729</v>
      </c>
      <c r="BO1640" s="22">
        <f t="shared" si="552"/>
        <v>0.65337830437274269</v>
      </c>
      <c r="BP1640" s="22">
        <f t="shared" si="552"/>
        <v>0.60795674463286409</v>
      </c>
      <c r="BQ1640" s="22">
        <f t="shared" si="552"/>
        <v>0.53751052834825264</v>
      </c>
      <c r="BR1640">
        <v>3.8</v>
      </c>
      <c r="BS1640">
        <v>4.3499999999999996</v>
      </c>
      <c r="BT1640">
        <v>0.42341000000000001</v>
      </c>
      <c r="BU1640">
        <v>0.17441000000000001</v>
      </c>
      <c r="BV1640">
        <v>0.18952870478032599</v>
      </c>
      <c r="BW1640">
        <v>0.25418000000000002</v>
      </c>
    </row>
    <row r="1641" spans="1:75" ht="16.75" customHeight="1" x14ac:dyDescent="0.2">
      <c r="A1641" t="str">
        <f t="shared" si="536"/>
        <v>2025020789 COL</v>
      </c>
      <c r="B1641">
        <v>2025020789</v>
      </c>
      <c r="C1641" s="1">
        <v>46043</v>
      </c>
      <c r="D1641" s="2" t="s">
        <v>9</v>
      </c>
      <c r="E1641" t="s">
        <v>24</v>
      </c>
      <c r="F1641" s="2">
        <v>1</v>
      </c>
      <c r="G1641" s="2">
        <v>1</v>
      </c>
      <c r="H1641" t="s">
        <v>47</v>
      </c>
      <c r="I1641" t="str">
        <f t="shared" si="176"/>
        <v>COL Mackenzie Blackwood</v>
      </c>
      <c r="J1641" s="33" t="s">
        <v>157</v>
      </c>
      <c r="K1641" s="14">
        <v>2.96</v>
      </c>
      <c r="L1641" s="13">
        <v>0.15</v>
      </c>
      <c r="M1641" s="28">
        <v>0.1</v>
      </c>
      <c r="N1641">
        <f>IFERROR(_xlfn.XLOOKUP(A1641,Params!A:A,Params!D:D),0)</f>
        <v>0</v>
      </c>
      <c r="O1641">
        <f t="shared" ref="O1641" si="1243">N1640</f>
        <v>0</v>
      </c>
      <c r="P1641" s="68">
        <f t="shared" si="1181"/>
        <v>0</v>
      </c>
      <c r="Q1641">
        <f t="shared" ref="Q1641" si="1244">P1640</f>
        <v>0</v>
      </c>
      <c r="R1641" s="5">
        <f t="shared" ref="R1641" si="1245">N1641/W1641/X1641/Z1640/AB1640/AA1641</f>
        <v>0</v>
      </c>
      <c r="S1641" s="5">
        <f t="shared" ref="S1641" si="1246">O1641/W1640/Y1641/Z1641/AA1640/AB1641</f>
        <v>0</v>
      </c>
      <c r="T1641" s="5">
        <f t="shared" ref="T1641" si="1247">P1641/W1641/X1641/Z1640/AB1640</f>
        <v>0</v>
      </c>
      <c r="U1641" s="5">
        <f t="shared" ref="U1641" si="1248">Q1641/W1640/Y1641/Z1641/AA1640</f>
        <v>0</v>
      </c>
      <c r="V1641" s="5">
        <f>_xlfn.XLOOKUP(H1641,'Rest - Home'!A:A,'Rest - Home'!B:B)</f>
        <v>1.048</v>
      </c>
      <c r="W1641" s="5">
        <f>_xlfn.XLOOKUP(H1641,'Rest - Home'!A:A,'Rest - Home'!C:C)</f>
        <v>1.0491546019013618</v>
      </c>
      <c r="X1641" s="5">
        <f t="shared" ref="X1641" si="1249">AM1640/K1641</f>
        <v>1.1385135135135136</v>
      </c>
      <c r="Y1641" s="5">
        <f t="shared" ref="Y1641" si="1250">AK1640/K1641</f>
        <v>1.0541927905791408</v>
      </c>
      <c r="Z1641" s="5">
        <f>IF(J1641="",1,(_xlfn.XLOOKUP(I1641,Goalies!B:B,Goalies!J:J)))</f>
        <v>0.99</v>
      </c>
      <c r="AA1641" s="23">
        <f>_xlfn.XLOOKUP(E1641,Injuries!A:A,Injuries!B:B)</f>
        <v>0.97499999999999998</v>
      </c>
      <c r="AB1641" s="23">
        <f>_xlfn.XLOOKUP(E1641,Injuries!A:A,Injuries!C:C)</f>
        <v>1.0249999999999999</v>
      </c>
      <c r="AC1641" s="23">
        <f>_xlfn.XLOOKUP(E1641,'Game Adjustments'!A:A,'Game Adjustments'!B:B)</f>
        <v>1</v>
      </c>
      <c r="AD1641" s="23">
        <f>_xlfn.XLOOKUP(E1641,'Game Adjustments'!A:A,'Game Adjustments'!C:C)</f>
        <v>1</v>
      </c>
      <c r="AE1641" s="23">
        <f>IF(D1641="A",_xlfn.XLOOKUP(E1641,'Rest - Home'!F:F,'Rest - Home'!J:J),_xlfn.XLOOKUP(E1641,'Rest - Home'!F:F,'Rest - Home'!I:I))</f>
        <v>1</v>
      </c>
      <c r="AF1641" s="23">
        <f>IF(D1641="A",_xlfn.XLOOKUP(E1641,'Rest - Home'!F:F,'Rest - Home'!L:L),_xlfn.XLOOKUP(E1641,'Rest - Home'!F:F,'Rest - Home'!K:K))</f>
        <v>1</v>
      </c>
      <c r="AG1641" s="26">
        <v>1</v>
      </c>
      <c r="AH1641" s="26">
        <v>1</v>
      </c>
      <c r="AI1641" s="53" cm="1">
        <f t="array" ref="AI1641">MAX(IF($E$63:E1640=E1641,ROW($E$63:E1640)-MIN(ROW($E$63:E1640))+1))</f>
        <v>1543</v>
      </c>
      <c r="AJ1641" s="53" cm="1">
        <f t="array" ref="AJ1641">MAX(IF($I$105:I1640=I1641,ROW($I$105:I1640)-MIN(ROW($I$105:I1640))+1))</f>
        <v>1463</v>
      </c>
      <c r="AK1641" s="23">
        <f>IF(AI1641=0,_xlfn.XLOOKUP(E1641,'Starting GF'!A:A,'Starting GF'!B:B),INDEX($AL$63:$AL1641,AI1641))</f>
        <v>3.5750000000000002</v>
      </c>
      <c r="AL1641" s="23">
        <f t="shared" si="1189"/>
        <v>3.5750000000000002</v>
      </c>
      <c r="AM1641" s="23">
        <f>IF(AI1641=0,_xlfn.XLOOKUP(E1641,'Starting GF'!A:A,'Starting GF'!C:C),INDEX($AN$63:$AN1641,AI1641))</f>
        <v>2.6258649633648323</v>
      </c>
      <c r="AN1641" s="23">
        <f t="shared" si="1190"/>
        <v>2.6258649633648323</v>
      </c>
      <c r="AO1641" s="23">
        <f>IF(AJ1641=0,_xlfn.XLOOKUP(I1641,Goalies!B:B,Goalies!I:I),INDEX($AP$105:$AP1641,AJ1641))</f>
        <v>2.651677087771255</v>
      </c>
      <c r="AP1641" s="23">
        <f t="shared" si="1191"/>
        <v>2.651677087771255</v>
      </c>
      <c r="AQ1641" s="23">
        <f t="shared" si="1192"/>
        <v>2.5996063137311838</v>
      </c>
      <c r="AR1641" s="66">
        <v>0</v>
      </c>
      <c r="AS1641" s="96" t="s">
        <v>1594</v>
      </c>
      <c r="AT1641" s="20">
        <f t="shared" ref="AT1641" si="1251">(AK1641*V1641*X1641*Z1640*AA1641*AB1640*AC1641*AD1640*AG1641*AH1640)+AR1641</f>
        <v>4.0744898694983114</v>
      </c>
      <c r="AU1641" s="20">
        <f t="shared" ref="AU1641" si="1252">AT1640</f>
        <v>2.5351210470981154</v>
      </c>
      <c r="AV1641" s="12">
        <f t="shared" ref="AV1641" si="1253">AK1641*W1641*X1641*Z1640*AA1641*AB1640</f>
        <v>4.0789788139166339</v>
      </c>
      <c r="AW1641" s="12">
        <f t="shared" ref="AW1641" si="1254">AV1640</f>
        <v>2.5351210470981154</v>
      </c>
      <c r="AX1641" s="8">
        <f t="shared" si="1197"/>
        <v>4.0744898694983114</v>
      </c>
      <c r="AY1641" s="8">
        <f t="shared" si="1198"/>
        <v>2.5351210470981154</v>
      </c>
      <c r="AZ1641" s="8">
        <f t="shared" si="1199"/>
        <v>6.6096109165964272</v>
      </c>
      <c r="BA1641" s="8">
        <f t="shared" si="1200"/>
        <v>1.539368822400196</v>
      </c>
      <c r="BB1641" s="62">
        <f t="shared" si="1201"/>
        <v>-258</v>
      </c>
      <c r="BC1641" s="21">
        <f t="shared" si="1202"/>
        <v>188</v>
      </c>
      <c r="BD1641" s="21">
        <f t="shared" si="1203"/>
        <v>155</v>
      </c>
      <c r="BE1641" s="21">
        <f t="shared" si="1204"/>
        <v>116</v>
      </c>
      <c r="BF1641" s="94">
        <f t="shared" si="57"/>
        <v>0.72072804518046607</v>
      </c>
      <c r="BG1641" s="22">
        <f t="shared" ref="BG1641" si="1255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0.34731594725370374</v>
      </c>
      <c r="BH1641" s="22">
        <f t="shared" ref="BH1641" si="1256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0.39276206275448039</v>
      </c>
      <c r="BI1641" s="22">
        <f t="shared" ref="BI1641" si="1257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0.46303501634772271</v>
      </c>
      <c r="BJ1641" s="21">
        <f t="shared" si="1206"/>
        <v>-259</v>
      </c>
      <c r="BK1641" s="21">
        <f t="shared" si="1207"/>
        <v>188</v>
      </c>
      <c r="BL1641" s="21">
        <f t="shared" si="1208"/>
        <v>155</v>
      </c>
      <c r="BM1641" s="21">
        <f t="shared" si="1209"/>
        <v>116</v>
      </c>
      <c r="BN1641" s="22">
        <f t="shared" si="61"/>
        <v>0.72126386062401271</v>
      </c>
      <c r="BO1641" s="22">
        <f t="shared" ref="BO1641" si="1258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0.34662169562725731</v>
      </c>
      <c r="BP1641" s="22">
        <f t="shared" ref="BP1641" si="1259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0.39204325536713591</v>
      </c>
      <c r="BQ1641" s="22">
        <f t="shared" ref="BQ1641" si="1260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0.46248947165174736</v>
      </c>
      <c r="BR1641">
        <v>3.8</v>
      </c>
      <c r="BS1641">
        <v>4.4000000000000004</v>
      </c>
      <c r="BT1641">
        <v>0.41953000000000001</v>
      </c>
      <c r="BU1641">
        <v>0.16736000000000001</v>
      </c>
      <c r="BV1641">
        <v>0.181911066184063</v>
      </c>
      <c r="BW1641">
        <v>0.24734999999999999</v>
      </c>
    </row>
    <row r="1642" spans="1:75" ht="16.75" customHeight="1" x14ac:dyDescent="0.2">
      <c r="A1642" t="str">
        <f t="shared" si="536"/>
        <v>2025020790 PHI</v>
      </c>
      <c r="B1642">
        <v>2025020790</v>
      </c>
      <c r="C1642" s="1">
        <v>46043</v>
      </c>
      <c r="D1642" s="2" t="s">
        <v>6</v>
      </c>
      <c r="E1642" t="s">
        <v>43</v>
      </c>
      <c r="F1642" s="2">
        <v>1</v>
      </c>
      <c r="G1642" s="2">
        <v>2</v>
      </c>
      <c r="H1642" t="s">
        <v>36</v>
      </c>
      <c r="I1642" t="str">
        <f t="shared" si="176"/>
        <v>PHI Samuel Ersson</v>
      </c>
      <c r="J1642" s="33" t="s">
        <v>231</v>
      </c>
      <c r="K1642" s="14">
        <v>2.96</v>
      </c>
      <c r="L1642" s="13">
        <v>0.15</v>
      </c>
      <c r="M1642" s="28">
        <v>0.1</v>
      </c>
      <c r="N1642">
        <f>IFERROR(_xlfn.XLOOKUP(A1642,Params!A:A,Params!D:D),0)</f>
        <v>0</v>
      </c>
      <c r="O1642">
        <f t="shared" ref="O1642" si="1261">N1643</f>
        <v>0</v>
      </c>
      <c r="P1642" s="68">
        <f t="shared" si="1181"/>
        <v>0</v>
      </c>
      <c r="Q1642">
        <f t="shared" ref="Q1642" si="1262">P1643</f>
        <v>0</v>
      </c>
      <c r="R1642" s="5">
        <f t="shared" ref="R1642" si="1263">N1642/W1642/X1642/Z1643/AB1643/AA1642</f>
        <v>0</v>
      </c>
      <c r="S1642" s="5">
        <f t="shared" ref="S1642" si="1264">O1642/W1643/Y1642/Z1642/AA1643/AB1642</f>
        <v>0</v>
      </c>
      <c r="T1642" s="5">
        <f t="shared" ref="T1642" si="1265">P1642/W1642/X1642/Z1643/AB1643</f>
        <v>0</v>
      </c>
      <c r="U1642" s="5">
        <f t="shared" ref="U1642" si="1266">Q1642/W1643/Y1642/Z1642/AA1643</f>
        <v>0</v>
      </c>
      <c r="V1642" s="5">
        <f>_xlfn.XLOOKUP(H1642,'Rest - Home'!A:A,'Rest - Home'!B:B)</f>
        <v>0.97</v>
      </c>
      <c r="W1642" s="5">
        <f>_xlfn.XLOOKUP(H1642,'Rest - Home'!A:A,'Rest - Home'!C:C)</f>
        <v>0.95751047349149665</v>
      </c>
      <c r="X1642" s="5">
        <f t="shared" ref="X1642" si="1267">AM1643/K1642</f>
        <v>0.98961980316591125</v>
      </c>
      <c r="Y1642" s="5">
        <f t="shared" ref="Y1642" si="1268">AK1643/K1642</f>
        <v>1.0253528664789515</v>
      </c>
      <c r="Z1642" s="5">
        <f>IF(J1642="",1,(_xlfn.XLOOKUP(I1642,Goalies!B:B,Goalies!J:J)))</f>
        <v>1.04</v>
      </c>
      <c r="AA1642" s="23">
        <f>_xlfn.XLOOKUP(E1642,Injuries!A:A,Injuries!B:B)</f>
        <v>0.99</v>
      </c>
      <c r="AB1642" s="23">
        <f>_xlfn.XLOOKUP(E1642,Injuries!A:A,Injuries!C:C)</f>
        <v>1.03</v>
      </c>
      <c r="AC1642" s="23">
        <f>_xlfn.XLOOKUP(E1642,'Game Adjustments'!A:A,'Game Adjustments'!B:B)</f>
        <v>1</v>
      </c>
      <c r="AD1642" s="23">
        <f>_xlfn.XLOOKUP(E1642,'Game Adjustments'!A:A,'Game Adjustments'!C:C)</f>
        <v>1</v>
      </c>
      <c r="AE1642" s="23">
        <f>IF(D1642="A",_xlfn.XLOOKUP(E1642,'Rest - Home'!F:F,'Rest - Home'!J:J),_xlfn.XLOOKUP(E1642,'Rest - Home'!F:F,'Rest - Home'!I:I))</f>
        <v>1</v>
      </c>
      <c r="AF1642" s="23">
        <f>IF(D1642="A",_xlfn.XLOOKUP(E1642,'Rest - Home'!F:F,'Rest - Home'!L:L),_xlfn.XLOOKUP(E1642,'Rest - Home'!F:F,'Rest - Home'!K:K))</f>
        <v>1</v>
      </c>
      <c r="AG1642" s="26">
        <v>1</v>
      </c>
      <c r="AH1642" s="26">
        <v>1</v>
      </c>
      <c r="AI1642" s="53" cm="1">
        <f t="array" ref="AI1642">MAX(IF($E$63:E1641=E1642,ROW($E$63:E1641)-MIN(ROW($E$63:E1641))+1))</f>
        <v>1550</v>
      </c>
      <c r="AJ1642" s="53" cm="1">
        <f t="array" ref="AJ1642">MAX(IF($I$105:I1641=I1642,ROW($I$105:I1641)-MIN(ROW($I$105:I1641))+1))</f>
        <v>1508</v>
      </c>
      <c r="AK1642" s="23">
        <f>IF(AI1642=0,_xlfn.XLOOKUP(E1642,'Starting GF'!A:A,'Starting GF'!B:B),INDEX($AL$63:$AL1642,AI1642))</f>
        <v>2.7978253633115058</v>
      </c>
      <c r="AL1642" s="23">
        <f t="shared" si="1189"/>
        <v>2.7978253633115058</v>
      </c>
      <c r="AM1642" s="23">
        <f>IF(AI1642=0,_xlfn.XLOOKUP(E1642,'Starting GF'!A:A,'Starting GF'!C:C),INDEX($AN$63:$AN1642,AI1642))</f>
        <v>3.01</v>
      </c>
      <c r="AN1642" s="23">
        <f t="shared" si="1190"/>
        <v>3.01</v>
      </c>
      <c r="AO1642" s="23">
        <f>IF(AJ1642=0,_xlfn.XLOOKUP(I1642,Goalies!B:B,Goalies!I:I),INDEX($AP$105:$AP1642,AJ1642))</f>
        <v>3.112599637829796</v>
      </c>
      <c r="AP1642" s="23">
        <f t="shared" si="1191"/>
        <v>3.112599637829796</v>
      </c>
      <c r="AQ1642" s="23">
        <f t="shared" si="1192"/>
        <v>3.1303999999999998</v>
      </c>
      <c r="AR1642" s="66">
        <v>-0.02</v>
      </c>
      <c r="AS1642" s="96" t="s">
        <v>1594</v>
      </c>
      <c r="AT1642" s="20">
        <f t="shared" ref="AT1642" si="1269">(AK1642*V1642*X1642*Z1643*AA1642*AB1643*AC1642*AD1643*AG1642*AH1643)+AR1642</f>
        <v>2.5590968043871531</v>
      </c>
      <c r="AU1642" s="20">
        <f t="shared" ref="AU1642" si="1270">AT1643</f>
        <v>3.3366369357876722</v>
      </c>
      <c r="AV1642" s="12">
        <f t="shared" ref="AV1642" si="1271">AK1642*V1642*X1642*Z1643*AA1642*AB1643</f>
        <v>2.5790968043871532</v>
      </c>
      <c r="AW1642" s="12">
        <f t="shared" ref="AW1642" si="1272">AV1643</f>
        <v>3.3003688477890822</v>
      </c>
      <c r="AX1642" s="8">
        <f t="shared" si="1197"/>
        <v>2.5590968043871531</v>
      </c>
      <c r="AY1642" s="8">
        <f t="shared" si="1198"/>
        <v>3.3366369357876722</v>
      </c>
      <c r="AZ1642" s="8">
        <f t="shared" si="1199"/>
        <v>5.8957337401748253</v>
      </c>
      <c r="BA1642" s="8">
        <f t="shared" si="1200"/>
        <v>-0.77754013140051903</v>
      </c>
      <c r="BB1642" s="62">
        <f t="shared" si="1201"/>
        <v>166</v>
      </c>
      <c r="BC1642" s="21">
        <f t="shared" si="1202"/>
        <v>-119</v>
      </c>
      <c r="BD1642" s="21">
        <f t="shared" si="1203"/>
        <v>107</v>
      </c>
      <c r="BE1642" s="21">
        <f t="shared" si="1204"/>
        <v>134</v>
      </c>
      <c r="BF1642" s="94">
        <f t="shared" ref="BF1642" si="1273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IF(AT1642&gt;AT1643, 1-_xlpm.interp, _xlpm.interp)
)</f>
        <v>0.37625199774063722</v>
      </c>
      <c r="BG1642" s="22">
        <f t="shared" si="550"/>
        <v>0.54357908808781097</v>
      </c>
      <c r="BH1642" s="22">
        <f t="shared" si="550"/>
        <v>0.4837923154493794</v>
      </c>
      <c r="BI1642" s="22">
        <f t="shared" si="550"/>
        <v>0.42776342462093153</v>
      </c>
      <c r="BJ1642" s="21">
        <f t="shared" si="1206"/>
        <v>160</v>
      </c>
      <c r="BK1642" s="21">
        <f t="shared" si="1207"/>
        <v>-118</v>
      </c>
      <c r="BL1642" s="21">
        <f t="shared" si="1208"/>
        <v>108</v>
      </c>
      <c r="BM1642" s="21">
        <f t="shared" si="1209"/>
        <v>135</v>
      </c>
      <c r="BN1642" s="22">
        <f t="shared" ref="BN1642" si="1274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IF(AV1642&gt;AV1643, 1-_xlpm.interp, _xlpm.interp)
)</f>
        <v>0.38420483079303547</v>
      </c>
      <c r="BO1642" s="22">
        <f t="shared" si="552"/>
        <v>0.54086952626076135</v>
      </c>
      <c r="BP1642" s="22">
        <f t="shared" si="552"/>
        <v>0.48092233249104943</v>
      </c>
      <c r="BQ1642" s="22">
        <f t="shared" si="552"/>
        <v>0.42538634820100485</v>
      </c>
      <c r="BR1642">
        <v>3.8</v>
      </c>
      <c r="BS1642">
        <v>4.45</v>
      </c>
      <c r="BT1642">
        <v>0.41171000000000002</v>
      </c>
      <c r="BU1642">
        <v>0.16464999999999999</v>
      </c>
      <c r="BV1642">
        <v>0.17842629417310499</v>
      </c>
      <c r="BW1642">
        <v>0.24185999999999999</v>
      </c>
    </row>
    <row r="1643" spans="1:75" ht="16.75" customHeight="1" x14ac:dyDescent="0.2">
      <c r="A1643" t="str">
        <f t="shared" si="536"/>
        <v>2025020790 UTA</v>
      </c>
      <c r="B1643">
        <v>2025020790</v>
      </c>
      <c r="C1643" s="1">
        <v>46043</v>
      </c>
      <c r="D1643" s="2" t="s">
        <v>9</v>
      </c>
      <c r="E1643" t="s">
        <v>15</v>
      </c>
      <c r="F1643" s="2">
        <v>2</v>
      </c>
      <c r="G1643" s="2">
        <v>1</v>
      </c>
      <c r="H1643" t="s">
        <v>38</v>
      </c>
      <c r="I1643" t="str">
        <f t="shared" ref="I1643:I1706" si="1275">E1643&amp;" "&amp;J1643</f>
        <v>UTA Karel Vejmelka</v>
      </c>
      <c r="J1643" s="33" t="s">
        <v>191</v>
      </c>
      <c r="K1643" s="14">
        <v>2.96</v>
      </c>
      <c r="L1643" s="13">
        <v>0.15</v>
      </c>
      <c r="M1643" s="28">
        <v>0.1</v>
      </c>
      <c r="N1643">
        <f>IFERROR(_xlfn.XLOOKUP(A1643,Params!A:A,Params!D:D),0)</f>
        <v>0</v>
      </c>
      <c r="O1643">
        <f t="shared" ref="O1643" si="1276">N1642</f>
        <v>0</v>
      </c>
      <c r="P1643" s="68">
        <f t="shared" si="1181"/>
        <v>0</v>
      </c>
      <c r="Q1643">
        <f t="shared" ref="Q1643" si="1277">P1642</f>
        <v>0</v>
      </c>
      <c r="R1643" s="5">
        <f t="shared" ref="R1643" si="1278">N1643/W1643/X1643/Z1642/AB1642/AA1643</f>
        <v>0</v>
      </c>
      <c r="S1643" s="5">
        <f t="shared" ref="S1643" si="1279">O1643/W1642/Y1643/Z1643/AA1642/AB1643</f>
        <v>0</v>
      </c>
      <c r="T1643" s="5">
        <f t="shared" ref="T1643" si="1280">P1643/W1643/X1643/Z1642/AB1642</f>
        <v>0</v>
      </c>
      <c r="U1643" s="5">
        <f t="shared" ref="U1643" si="1281">Q1643/W1642/Y1643/Z1643/AA1642</f>
        <v>0</v>
      </c>
      <c r="V1643" s="5">
        <f>_xlfn.XLOOKUP(H1643,'Rest - Home'!A:A,'Rest - Home'!B:B)</f>
        <v>1.0449999999999999</v>
      </c>
      <c r="W1643" s="5">
        <f>_xlfn.XLOOKUP(H1643,'Rest - Home'!A:A,'Rest - Home'!C:C)</f>
        <v>1.0398742800952707</v>
      </c>
      <c r="X1643" s="5">
        <f t="shared" ref="X1643" si="1282">AM1642/K1643</f>
        <v>1.0168918918918919</v>
      </c>
      <c r="Y1643" s="5">
        <f t="shared" ref="Y1643" si="1283">AK1642/K1643</f>
        <v>0.94521127138902228</v>
      </c>
      <c r="Z1643" s="5">
        <f>IF(J1643="",1,(_xlfn.XLOOKUP(I1643,Goalies!B:B,Goalies!J:J)))</f>
        <v>0.97</v>
      </c>
      <c r="AA1643" s="23">
        <f>_xlfn.XLOOKUP(E1643,Injuries!A:A,Injuries!B:B)</f>
        <v>0.96</v>
      </c>
      <c r="AB1643" s="23">
        <f>_xlfn.XLOOKUP(E1643,Injuries!A:A,Injuries!C:C)</f>
        <v>1</v>
      </c>
      <c r="AC1643" s="23">
        <f>_xlfn.XLOOKUP(E1643,'Game Adjustments'!A:A,'Game Adjustments'!B:B)</f>
        <v>1</v>
      </c>
      <c r="AD1643" s="23">
        <f>_xlfn.XLOOKUP(E1643,'Game Adjustments'!A:A,'Game Adjustments'!C:C)</f>
        <v>1</v>
      </c>
      <c r="AE1643" s="23">
        <f>IF(D1643="A",_xlfn.XLOOKUP(E1643,'Rest - Home'!F:F,'Rest - Home'!J:J),_xlfn.XLOOKUP(E1643,'Rest - Home'!F:F,'Rest - Home'!I:I))</f>
        <v>1</v>
      </c>
      <c r="AF1643" s="23">
        <f>IF(D1643="A",_xlfn.XLOOKUP(E1643,'Rest - Home'!F:F,'Rest - Home'!L:L),_xlfn.XLOOKUP(E1643,'Rest - Home'!F:F,'Rest - Home'!K:K))</f>
        <v>1</v>
      </c>
      <c r="AG1643" s="26">
        <v>1</v>
      </c>
      <c r="AH1643" s="26">
        <v>1</v>
      </c>
      <c r="AI1643" s="53" cm="1">
        <f t="array" ref="AI1643">MAX(IF($E$63:E1642=E1643,ROW($E$63:E1642)-MIN(ROW($E$63:E1642))+1))</f>
        <v>1515</v>
      </c>
      <c r="AJ1643" s="53" cm="1">
        <f t="array" ref="AJ1643">MAX(IF($I$105:I1642=I1643,ROW($I$105:I1642)-MIN(ROW($I$105:I1642))+1))</f>
        <v>1473</v>
      </c>
      <c r="AK1643" s="23">
        <f>IF(AI1643=0,_xlfn.XLOOKUP(E1643,'Starting GF'!A:A,'Starting GF'!B:B),INDEX($AL$63:$AL1643,AI1643))</f>
        <v>3.0350444847776963</v>
      </c>
      <c r="AL1643" s="23">
        <f t="shared" si="1189"/>
        <v>3.0350444847776963</v>
      </c>
      <c r="AM1643" s="23">
        <f>IF(AI1643=0,_xlfn.XLOOKUP(E1643,'Starting GF'!A:A,'Starting GF'!C:C),INDEX($AN$63:$AN1643,AI1643))</f>
        <v>2.9292746173710973</v>
      </c>
      <c r="AN1643" s="23">
        <f t="shared" si="1190"/>
        <v>2.9292746173710973</v>
      </c>
      <c r="AO1643" s="23">
        <f>IF(AJ1643=0,_xlfn.XLOOKUP(I1643,Goalies!B:B,Goalies!I:I),INDEX($AP$105:$AP1643,AJ1643))</f>
        <v>2.894978476738594</v>
      </c>
      <c r="AP1643" s="23">
        <f t="shared" si="1191"/>
        <v>2.894978476738594</v>
      </c>
      <c r="AQ1643" s="23">
        <f t="shared" si="1192"/>
        <v>2.8413963788499643</v>
      </c>
      <c r="AR1643" s="66">
        <v>0.02</v>
      </c>
      <c r="AS1643" s="96" t="s">
        <v>1594</v>
      </c>
      <c r="AT1643" s="20">
        <f t="shared" ref="AT1643" si="1284">(AK1643*V1643*X1643*Z1642*AA1643*AB1642*AC1643*AD1642*AG1643*AH1642)+AR1643</f>
        <v>3.3366369357876722</v>
      </c>
      <c r="AU1643" s="20">
        <f t="shared" ref="AU1643" si="1285">AT1642</f>
        <v>2.5590968043871531</v>
      </c>
      <c r="AV1643" s="12">
        <f t="shared" ref="AV1643" si="1286">AK1643*W1643*X1643*Z1642*AA1643*AB1642</f>
        <v>3.3003688477890822</v>
      </c>
      <c r="AW1643" s="12">
        <f t="shared" ref="AW1643" si="1287">AV1642</f>
        <v>2.5790968043871532</v>
      </c>
      <c r="AX1643" s="8">
        <f t="shared" si="1197"/>
        <v>3.3366369357876722</v>
      </c>
      <c r="AY1643" s="8">
        <f t="shared" si="1198"/>
        <v>2.5590968043871531</v>
      </c>
      <c r="AZ1643" s="8">
        <f t="shared" si="1199"/>
        <v>5.8957337401748253</v>
      </c>
      <c r="BA1643" s="8">
        <f t="shared" si="1200"/>
        <v>0.77754013140051903</v>
      </c>
      <c r="BB1643" s="62">
        <f t="shared" si="1201"/>
        <v>-166</v>
      </c>
      <c r="BC1643" s="21">
        <f t="shared" si="1202"/>
        <v>119</v>
      </c>
      <c r="BD1643" s="21">
        <f t="shared" si="1203"/>
        <v>-107</v>
      </c>
      <c r="BE1643" s="21">
        <f t="shared" si="1204"/>
        <v>-134</v>
      </c>
      <c r="BF1643" s="94">
        <f t="shared" si="57"/>
        <v>0.62374800225936278</v>
      </c>
      <c r="BG1643" s="22">
        <f t="shared" ref="BG1643" si="1288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0.45642091191218903</v>
      </c>
      <c r="BH1643" s="22">
        <f t="shared" ref="BH1643" si="1289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0.5162076845506206</v>
      </c>
      <c r="BI1643" s="22">
        <f t="shared" ref="BI1643" si="1290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0.57223657537906847</v>
      </c>
      <c r="BJ1643" s="21">
        <f t="shared" si="1206"/>
        <v>-160</v>
      </c>
      <c r="BK1643" s="21">
        <f t="shared" si="1207"/>
        <v>118</v>
      </c>
      <c r="BL1643" s="21">
        <f t="shared" si="1208"/>
        <v>-108</v>
      </c>
      <c r="BM1643" s="21">
        <f t="shared" si="1209"/>
        <v>-135</v>
      </c>
      <c r="BN1643" s="22">
        <f t="shared" si="61"/>
        <v>0.61579516920696453</v>
      </c>
      <c r="BO1643" s="22">
        <f t="shared" ref="BO1643" si="1291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0.45913047373923865</v>
      </c>
      <c r="BP1643" s="22">
        <f t="shared" ref="BP1643" si="1292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0.51907766750895057</v>
      </c>
      <c r="BQ1643" s="22">
        <f t="shared" ref="BQ1643" si="1293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0.57461365179899515</v>
      </c>
      <c r="BR1643">
        <v>3.8</v>
      </c>
      <c r="BS1643">
        <v>4.5</v>
      </c>
      <c r="BT1643">
        <v>0.40217999999999998</v>
      </c>
      <c r="BU1643">
        <v>0.15989</v>
      </c>
      <c r="BV1643">
        <v>0.17324924963971799</v>
      </c>
      <c r="BW1643">
        <v>0.23699999999999999</v>
      </c>
    </row>
    <row r="1644" spans="1:75" ht="16.75" customHeight="1" x14ac:dyDescent="0.2">
      <c r="A1644" t="str">
        <f t="shared" si="536"/>
        <v>2025020793 NYI</v>
      </c>
      <c r="B1644">
        <v>2025020793</v>
      </c>
      <c r="C1644" s="1">
        <v>46043</v>
      </c>
      <c r="D1644" s="2" t="s">
        <v>6</v>
      </c>
      <c r="E1644" t="s">
        <v>37</v>
      </c>
      <c r="F1644" s="2">
        <v>1</v>
      </c>
      <c r="G1644" s="2">
        <v>1</v>
      </c>
      <c r="H1644" t="s">
        <v>46</v>
      </c>
      <c r="I1644" t="str">
        <f t="shared" si="1275"/>
        <v>NYI Ilya Sorokin</v>
      </c>
      <c r="J1644" s="33" t="s">
        <v>175</v>
      </c>
      <c r="K1644" s="14">
        <v>2.96</v>
      </c>
      <c r="L1644" s="13">
        <v>0.15</v>
      </c>
      <c r="M1644" s="28">
        <v>0.1</v>
      </c>
      <c r="N1644">
        <f>IFERROR(_xlfn.XLOOKUP(A1644,Params!A:A,Params!D:D),0)</f>
        <v>0</v>
      </c>
      <c r="O1644">
        <f t="shared" ref="O1644" si="1294">N1645</f>
        <v>0</v>
      </c>
      <c r="P1644" s="68">
        <f t="shared" si="1181"/>
        <v>0</v>
      </c>
      <c r="Q1644">
        <f t="shared" ref="Q1644" si="1295">P1645</f>
        <v>0</v>
      </c>
      <c r="R1644" s="5">
        <f t="shared" ref="R1644" si="1296">N1644/W1644/X1644/Z1645/AB1645/AA1644</f>
        <v>0</v>
      </c>
      <c r="S1644" s="5">
        <f t="shared" ref="S1644" si="1297">O1644/W1645/Y1644/Z1644/AA1645/AB1644</f>
        <v>0</v>
      </c>
      <c r="T1644" s="5">
        <f t="shared" ref="T1644" si="1298">P1644/W1644/X1644/Z1645/AB1645</f>
        <v>0</v>
      </c>
      <c r="U1644" s="5">
        <f t="shared" ref="U1644" si="1299">Q1644/W1645/Y1644/Z1644/AA1645</f>
        <v>0</v>
      </c>
      <c r="V1644" s="5">
        <f>_xlfn.XLOOKUP(H1644,'Rest - Home'!A:A,'Rest - Home'!B:B)</f>
        <v>0.95</v>
      </c>
      <c r="W1644" s="5">
        <f>_xlfn.XLOOKUP(H1644,'Rest - Home'!A:A,'Rest - Home'!C:C)</f>
        <v>0.95302926576458757</v>
      </c>
      <c r="X1644" s="5">
        <f t="shared" ref="X1644" si="1300">AM1645/K1644</f>
        <v>1.0675675675675675</v>
      </c>
      <c r="Y1644" s="5">
        <f t="shared" ref="Y1644" si="1301">AK1645/K1644</f>
        <v>0.90540540540540548</v>
      </c>
      <c r="Z1644" s="5">
        <f>IF(J1644="",1,(_xlfn.XLOOKUP(I1644,Goalies!B:B,Goalies!J:J)))</f>
        <v>0.97</v>
      </c>
      <c r="AA1644" s="23">
        <f>_xlfn.XLOOKUP(E1644,Injuries!A:A,Injuries!B:B)</f>
        <v>0.94</v>
      </c>
      <c r="AB1644" s="23">
        <f>_xlfn.XLOOKUP(E1644,Injuries!A:A,Injuries!C:C)</f>
        <v>1.01</v>
      </c>
      <c r="AC1644" s="23">
        <f>_xlfn.XLOOKUP(E1644,'Game Adjustments'!A:A,'Game Adjustments'!B:B)</f>
        <v>1</v>
      </c>
      <c r="AD1644" s="23">
        <f>_xlfn.XLOOKUP(E1644,'Game Adjustments'!A:A,'Game Adjustments'!C:C)</f>
        <v>1</v>
      </c>
      <c r="AE1644" s="23">
        <f>IF(D1644="A",_xlfn.XLOOKUP(E1644,'Rest - Home'!F:F,'Rest - Home'!J:J),_xlfn.XLOOKUP(E1644,'Rest - Home'!F:F,'Rest - Home'!I:I))</f>
        <v>1</v>
      </c>
      <c r="AF1644" s="23">
        <f>IF(D1644="A",_xlfn.XLOOKUP(E1644,'Rest - Home'!F:F,'Rest - Home'!L:L),_xlfn.XLOOKUP(E1644,'Rest - Home'!F:F,'Rest - Home'!K:K))</f>
        <v>1</v>
      </c>
      <c r="AG1644" s="26">
        <v>1</v>
      </c>
      <c r="AH1644" s="26">
        <v>1</v>
      </c>
      <c r="AI1644" s="53" cm="1">
        <f t="array" ref="AI1644">MAX(IF($E$63:E1643=E1644,ROW($E$63:E1643)-MIN(ROW($E$63:E1643))+1))</f>
        <v>1556</v>
      </c>
      <c r="AJ1644" s="53" cm="1">
        <f t="array" ref="AJ1644">MAX(IF($I$105:I1643=I1644,ROW($I$105:I1643)-MIN(ROW($I$105:I1643))+1))</f>
        <v>1514</v>
      </c>
      <c r="AK1644" s="23">
        <f>IF(AI1644=0,_xlfn.XLOOKUP(E1644,'Starting GF'!A:A,'Starting GF'!B:B),INDEX($AL$63:$AL1644,AI1644))</f>
        <v>2.8994437962961168</v>
      </c>
      <c r="AL1644" s="23">
        <f t="shared" si="1189"/>
        <v>2.8994437962961168</v>
      </c>
      <c r="AM1644" s="23">
        <f>IF(AI1644=0,_xlfn.XLOOKUP(E1644,'Starting GF'!A:A,'Starting GF'!C:C),INDEX($AN$63:$AN1644,AI1644))</f>
        <v>2.9307175930811784</v>
      </c>
      <c r="AN1644" s="23">
        <f t="shared" si="1190"/>
        <v>2.9307175930811784</v>
      </c>
      <c r="AO1644" s="23">
        <f>IF(AJ1644=0,_xlfn.XLOOKUP(I1644,Goalies!B:B,Goalies!I:I),INDEX($AP$105:$AP1644,AJ1644))</f>
        <v>2.9156362986187889</v>
      </c>
      <c r="AP1644" s="23">
        <f t="shared" si="1191"/>
        <v>2.9156362986187889</v>
      </c>
      <c r="AQ1644" s="23">
        <f t="shared" si="1192"/>
        <v>2.8427960652887432</v>
      </c>
      <c r="AR1644" s="66">
        <v>0.03</v>
      </c>
      <c r="AS1644" s="96" t="s">
        <v>1594</v>
      </c>
      <c r="AT1644" s="20">
        <f t="shared" ref="AT1644" si="1302">(AK1644*V1644*X1644*Z1645*AA1644*AB1645*AC1644*AD1645*AG1644*AH1645)+AR1644</f>
        <v>2.7941494796932718</v>
      </c>
      <c r="AU1644" s="20">
        <f t="shared" ref="AU1644" si="1303">AT1645</f>
        <v>2.6944035973718594</v>
      </c>
      <c r="AV1644" s="12">
        <f t="shared" ref="AV1644" si="1304">AK1644*V1644*X1644*Z1645*AA1644*AB1645</f>
        <v>2.764149479693272</v>
      </c>
      <c r="AW1644" s="12">
        <f t="shared" ref="AW1644" si="1305">AV1645</f>
        <v>2.7274051255909444</v>
      </c>
      <c r="AX1644" s="8">
        <f t="shared" si="1197"/>
        <v>2.7941494796932718</v>
      </c>
      <c r="AY1644" s="8">
        <f t="shared" si="1198"/>
        <v>2.6944035973718594</v>
      </c>
      <c r="AZ1644" s="8">
        <f t="shared" si="1199"/>
        <v>5.4885530770651307</v>
      </c>
      <c r="BA1644" s="8">
        <f t="shared" si="1200"/>
        <v>9.9745882321412349E-2</v>
      </c>
      <c r="BB1644" s="62">
        <f t="shared" si="1201"/>
        <v>-110</v>
      </c>
      <c r="BC1644" s="21">
        <f t="shared" si="1202"/>
        <v>109</v>
      </c>
      <c r="BD1644" s="21">
        <f t="shared" si="1203"/>
        <v>143</v>
      </c>
      <c r="BE1644" s="21">
        <f t="shared" si="1204"/>
        <v>173</v>
      </c>
      <c r="BF1644" s="94">
        <f t="shared" ref="BF1644" si="1306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IF(AT1644&gt;AT1645, 1-_xlpm.interp, _xlpm.interp)
)</f>
        <v>0.52299585936442616</v>
      </c>
      <c r="BG1644" s="22">
        <f t="shared" si="550"/>
        <v>0.47770376844766638</v>
      </c>
      <c r="BH1644" s="22">
        <f t="shared" si="550"/>
        <v>0.41216236436304865</v>
      </c>
      <c r="BI1644" s="22">
        <f t="shared" si="550"/>
        <v>0.36620748020488647</v>
      </c>
      <c r="BJ1644" s="21">
        <f t="shared" si="1206"/>
        <v>-104</v>
      </c>
      <c r="BK1644" s="21">
        <f t="shared" si="1207"/>
        <v>109</v>
      </c>
      <c r="BL1644" s="21">
        <f t="shared" si="1208"/>
        <v>143</v>
      </c>
      <c r="BM1644" s="21">
        <f t="shared" si="1209"/>
        <v>173</v>
      </c>
      <c r="BN1644" s="22">
        <f t="shared" ref="BN1644" si="1307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IF(AV1644&gt;AV1645, 1-_xlpm.interp, _xlpm.interp)
)</f>
        <v>0.51074012653764989</v>
      </c>
      <c r="BO1644" s="22">
        <f t="shared" si="552"/>
        <v>0.47764590733316603</v>
      </c>
      <c r="BP1644" s="22">
        <f t="shared" si="552"/>
        <v>0.41183178039076185</v>
      </c>
      <c r="BQ1644" s="22">
        <f t="shared" si="552"/>
        <v>0.36574130627505397</v>
      </c>
      <c r="BR1644">
        <v>3.8</v>
      </c>
      <c r="BS1644">
        <v>4.55</v>
      </c>
      <c r="BT1644">
        <v>0.39628000000000002</v>
      </c>
      <c r="BU1644">
        <v>0.15579999999999999</v>
      </c>
      <c r="BV1644">
        <v>0.168611069024479</v>
      </c>
      <c r="BW1644">
        <v>0.23178000000000001</v>
      </c>
    </row>
    <row r="1645" spans="1:75" ht="16.75" customHeight="1" x14ac:dyDescent="0.2">
      <c r="A1645" t="str">
        <f t="shared" si="536"/>
        <v>2025020793 SEA</v>
      </c>
      <c r="B1645">
        <v>2025020793</v>
      </c>
      <c r="C1645" s="1">
        <v>46043</v>
      </c>
      <c r="D1645" s="2" t="s">
        <v>9</v>
      </c>
      <c r="E1645" t="s">
        <v>13</v>
      </c>
      <c r="F1645" s="2">
        <v>1</v>
      </c>
      <c r="G1645" s="2">
        <v>1</v>
      </c>
      <c r="H1645" t="s">
        <v>47</v>
      </c>
      <c r="I1645" t="str">
        <f t="shared" si="1275"/>
        <v>SEA Philipp Grubauer</v>
      </c>
      <c r="J1645" s="33" t="s">
        <v>185</v>
      </c>
      <c r="K1645" s="14">
        <v>2.96</v>
      </c>
      <c r="L1645" s="13">
        <v>0.15</v>
      </c>
      <c r="M1645" s="28">
        <v>0.1</v>
      </c>
      <c r="N1645">
        <f>IFERROR(_xlfn.XLOOKUP(A1645,Params!A:A,Params!D:D),0)</f>
        <v>0</v>
      </c>
      <c r="O1645">
        <f t="shared" ref="O1645" si="1308">N1644</f>
        <v>0</v>
      </c>
      <c r="P1645" s="68">
        <f t="shared" si="1181"/>
        <v>0</v>
      </c>
      <c r="Q1645">
        <f t="shared" ref="Q1645" si="1309">P1644</f>
        <v>0</v>
      </c>
      <c r="R1645" s="5">
        <f t="shared" ref="R1645" si="1310">N1645/W1645/X1645/Z1644/AB1644/AA1645</f>
        <v>0</v>
      </c>
      <c r="S1645" s="5">
        <f t="shared" ref="S1645" si="1311">O1645/W1644/Y1645/Z1645/AA1644/AB1645</f>
        <v>0</v>
      </c>
      <c r="T1645" s="5">
        <f t="shared" ref="T1645" si="1312">P1645/W1645/X1645/Z1644/AB1644</f>
        <v>0</v>
      </c>
      <c r="U1645" s="5">
        <f t="shared" ref="U1645" si="1313">Q1645/W1644/Y1645/Z1645/AA1644</f>
        <v>0</v>
      </c>
      <c r="V1645" s="5">
        <f>_xlfn.XLOOKUP(H1645,'Rest - Home'!A:A,'Rest - Home'!B:B)</f>
        <v>1.048</v>
      </c>
      <c r="W1645" s="5">
        <f>_xlfn.XLOOKUP(H1645,'Rest - Home'!A:A,'Rest - Home'!C:C)</f>
        <v>1.0491546019013618</v>
      </c>
      <c r="X1645" s="5">
        <f t="shared" ref="X1645" si="1314">AM1644/K1645</f>
        <v>0.99010729495985761</v>
      </c>
      <c r="Y1645" s="5">
        <f t="shared" ref="Y1645" si="1315">AK1644/K1645</f>
        <v>0.97954182307301241</v>
      </c>
      <c r="Z1645" s="5">
        <f>IF(J1645="",1,(_xlfn.XLOOKUP(I1645,Goalies!B:B,Goalies!J:J)))</f>
        <v>1</v>
      </c>
      <c r="AA1645" s="23">
        <f>_xlfn.XLOOKUP(E1645,Injuries!A:A,Injuries!B:B)</f>
        <v>1</v>
      </c>
      <c r="AB1645" s="23">
        <f>_xlfn.XLOOKUP(E1645,Injuries!A:A,Injuries!C:C)</f>
        <v>1</v>
      </c>
      <c r="AC1645" s="23">
        <f>_xlfn.XLOOKUP(E1645,'Game Adjustments'!A:A,'Game Adjustments'!B:B)</f>
        <v>1</v>
      </c>
      <c r="AD1645" s="23">
        <f>_xlfn.XLOOKUP(E1645,'Game Adjustments'!A:A,'Game Adjustments'!C:C)</f>
        <v>1</v>
      </c>
      <c r="AE1645" s="23">
        <f>IF(D1645="A",_xlfn.XLOOKUP(E1645,'Rest - Home'!F:F,'Rest - Home'!J:J),_xlfn.XLOOKUP(E1645,'Rest - Home'!F:F,'Rest - Home'!I:I))</f>
        <v>1</v>
      </c>
      <c r="AF1645" s="23">
        <f>IF(D1645="A",_xlfn.XLOOKUP(E1645,'Rest - Home'!F:F,'Rest - Home'!L:L),_xlfn.XLOOKUP(E1645,'Rest - Home'!F:F,'Rest - Home'!K:K))</f>
        <v>1</v>
      </c>
      <c r="AG1645" s="26">
        <v>1</v>
      </c>
      <c r="AH1645" s="26">
        <v>1</v>
      </c>
      <c r="AI1645" s="53" cm="1">
        <f t="array" ref="AI1645">MAX(IF($E$63:E1644=E1645,ROW($E$63:E1644)-MIN(ROW($E$63:E1644))+1))</f>
        <v>1545</v>
      </c>
      <c r="AJ1645" s="53" cm="1">
        <f t="array" ref="AJ1645">MAX(IF($I$105:I1644=I1645,ROW($I$105:I1644)-MIN(ROW($I$105:I1644))+1))</f>
        <v>1472</v>
      </c>
      <c r="AK1645" s="23">
        <f>IF(AI1645=0,_xlfn.XLOOKUP(E1645,'Starting GF'!A:A,'Starting GF'!B:B),INDEX($AL$63:$AL1645,AI1645))</f>
        <v>2.68</v>
      </c>
      <c r="AL1645" s="23">
        <f t="shared" si="1189"/>
        <v>2.68</v>
      </c>
      <c r="AM1645" s="23">
        <f>IF(AI1645=0,_xlfn.XLOOKUP(E1645,'Starting GF'!A:A,'Starting GF'!C:C),INDEX($AN$63:$AN1645,AI1645))</f>
        <v>3.16</v>
      </c>
      <c r="AN1645" s="23">
        <f t="shared" si="1190"/>
        <v>3.16</v>
      </c>
      <c r="AO1645" s="23">
        <f>IF(AJ1645=0,_xlfn.XLOOKUP(I1645,Goalies!B:B,Goalies!I:I),INDEX($AP$105:$AP1645,AJ1645))</f>
        <v>3.2075714190171021</v>
      </c>
      <c r="AP1645" s="23">
        <f t="shared" si="1191"/>
        <v>3.2075714190171021</v>
      </c>
      <c r="AQ1645" s="23">
        <f t="shared" si="1192"/>
        <v>3.16</v>
      </c>
      <c r="AR1645" s="66">
        <v>-0.03</v>
      </c>
      <c r="AS1645" s="96" t="s">
        <v>1594</v>
      </c>
      <c r="AT1645" s="20">
        <f t="shared" ref="AT1645" si="1316">(AK1645*V1645*X1645*Z1644*AA1645*AB1644*AC1645*AD1644*AG1645*AH1644)+AR1645</f>
        <v>2.6944035973718594</v>
      </c>
      <c r="AU1645" s="20">
        <f t="shared" ref="AU1645" si="1317">AT1644</f>
        <v>2.7941494796932718</v>
      </c>
      <c r="AV1645" s="12">
        <f t="shared" ref="AV1645" si="1318">AK1645*W1645*X1645*Z1644*AA1645*AB1644</f>
        <v>2.7274051255909444</v>
      </c>
      <c r="AW1645" s="12">
        <f t="shared" ref="AW1645" si="1319">AV1644</f>
        <v>2.764149479693272</v>
      </c>
      <c r="AX1645" s="8">
        <f t="shared" si="1197"/>
        <v>2.6944035973718594</v>
      </c>
      <c r="AY1645" s="8">
        <f t="shared" si="1198"/>
        <v>2.7941494796932718</v>
      </c>
      <c r="AZ1645" s="8">
        <f t="shared" si="1199"/>
        <v>5.4885530770651307</v>
      </c>
      <c r="BA1645" s="8">
        <f t="shared" si="1200"/>
        <v>-9.9745882321412349E-2</v>
      </c>
      <c r="BB1645" s="62">
        <f t="shared" si="1201"/>
        <v>110</v>
      </c>
      <c r="BC1645" s="21">
        <f t="shared" si="1202"/>
        <v>-109</v>
      </c>
      <c r="BD1645" s="21">
        <f t="shared" si="1203"/>
        <v>-143</v>
      </c>
      <c r="BE1645" s="21">
        <f t="shared" si="1204"/>
        <v>-173</v>
      </c>
      <c r="BF1645" s="94">
        <f t="shared" si="57"/>
        <v>0.47700414063557384</v>
      </c>
      <c r="BG1645" s="22">
        <f t="shared" ref="BG1645" si="1320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0.52229623155233362</v>
      </c>
      <c r="BH1645" s="22">
        <f t="shared" ref="BH1645" si="1321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0.58783763563695135</v>
      </c>
      <c r="BI1645" s="22">
        <f t="shared" ref="BI1645" si="1322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0.63379251979511353</v>
      </c>
      <c r="BJ1645" s="21">
        <f t="shared" si="1206"/>
        <v>104</v>
      </c>
      <c r="BK1645" s="21">
        <f t="shared" si="1207"/>
        <v>-109</v>
      </c>
      <c r="BL1645" s="21">
        <f t="shared" si="1208"/>
        <v>-143</v>
      </c>
      <c r="BM1645" s="21">
        <f t="shared" si="1209"/>
        <v>-173</v>
      </c>
      <c r="BN1645" s="22">
        <f t="shared" si="61"/>
        <v>0.48925987346235011</v>
      </c>
      <c r="BO1645" s="22">
        <f t="shared" ref="BO1645" si="1323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0.52235409266683397</v>
      </c>
      <c r="BP1645" s="22">
        <f t="shared" ref="BP1645" si="1324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0.58816821960923815</v>
      </c>
      <c r="BQ1645" s="22">
        <f t="shared" ref="BQ1645" si="1325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0.63425869372494603</v>
      </c>
      <c r="BR1645">
        <v>3.8</v>
      </c>
      <c r="BS1645">
        <v>4.5999999999999996</v>
      </c>
      <c r="BT1645">
        <v>0.38973999999999998</v>
      </c>
      <c r="BU1645">
        <v>0.15379999999999999</v>
      </c>
      <c r="BV1645">
        <v>0.166173261015191</v>
      </c>
      <c r="BW1645">
        <v>0.22825999999999999</v>
      </c>
    </row>
    <row r="1646" spans="1:75" ht="16.75" customHeight="1" x14ac:dyDescent="0.2">
      <c r="A1646" t="str">
        <f t="shared" si="536"/>
        <v>2025020791 PIT</v>
      </c>
      <c r="B1646">
        <v>2025020791</v>
      </c>
      <c r="C1646" s="1">
        <v>46043</v>
      </c>
      <c r="D1646" s="2" t="s">
        <v>6</v>
      </c>
      <c r="E1646" t="s">
        <v>21</v>
      </c>
      <c r="F1646" s="2">
        <v>1</v>
      </c>
      <c r="G1646" s="2">
        <v>1</v>
      </c>
      <c r="H1646" t="s">
        <v>46</v>
      </c>
      <c r="I1646" t="str">
        <f t="shared" si="1275"/>
        <v>PIT Stuart Skinner</v>
      </c>
      <c r="J1646" s="33" t="s">
        <v>163</v>
      </c>
      <c r="K1646" s="14">
        <v>2.96</v>
      </c>
      <c r="L1646" s="13">
        <v>0.15</v>
      </c>
      <c r="M1646" s="28">
        <v>0.1</v>
      </c>
      <c r="N1646">
        <f>IFERROR(_xlfn.XLOOKUP(A1646,Params!A:A,Params!D:D),0)</f>
        <v>0</v>
      </c>
      <c r="O1646">
        <f t="shared" ref="O1646" si="1326">N1647</f>
        <v>0</v>
      </c>
      <c r="P1646" s="68">
        <f t="shared" si="1181"/>
        <v>0</v>
      </c>
      <c r="Q1646">
        <f t="shared" ref="Q1646" si="1327">P1647</f>
        <v>0</v>
      </c>
      <c r="R1646" s="5">
        <f t="shared" ref="R1646" si="1328">N1646/W1646/X1646/Z1647/AB1647/AA1646</f>
        <v>0</v>
      </c>
      <c r="S1646" s="5">
        <f t="shared" ref="S1646" si="1329">O1646/W1647/Y1646/Z1646/AA1647/AB1646</f>
        <v>0</v>
      </c>
      <c r="T1646" s="5">
        <f t="shared" ref="T1646" si="1330">P1646/W1646/X1646/Z1647/AB1647</f>
        <v>0</v>
      </c>
      <c r="U1646" s="5">
        <f t="shared" ref="U1646" si="1331">Q1646/W1647/Y1646/Z1646/AA1647</f>
        <v>0</v>
      </c>
      <c r="V1646" s="5">
        <f>_xlfn.XLOOKUP(H1646,'Rest - Home'!A:A,'Rest - Home'!B:B)</f>
        <v>0.95</v>
      </c>
      <c r="W1646" s="5">
        <f>_xlfn.XLOOKUP(H1646,'Rest - Home'!A:A,'Rest - Home'!C:C)</f>
        <v>0.95302926576458757</v>
      </c>
      <c r="X1646" s="5">
        <f t="shared" ref="X1646" si="1332">AM1647/K1646</f>
        <v>1.0862224542675036</v>
      </c>
      <c r="Y1646" s="5">
        <f t="shared" ref="Y1646" si="1333">AK1647/K1646</f>
        <v>0.93139493417376984</v>
      </c>
      <c r="Z1646" s="5">
        <f>IF(J1646="",1,(_xlfn.XLOOKUP(I1646,Goalies!B:B,Goalies!J:J)))</f>
        <v>0.97499999999999998</v>
      </c>
      <c r="AA1646" s="23">
        <f>_xlfn.XLOOKUP(E1646,Injuries!A:A,Injuries!B:B)</f>
        <v>1</v>
      </c>
      <c r="AB1646" s="23">
        <f>_xlfn.XLOOKUP(E1646,Injuries!A:A,Injuries!C:C)</f>
        <v>1.05</v>
      </c>
      <c r="AC1646" s="23">
        <f>_xlfn.XLOOKUP(E1646,'Game Adjustments'!A:A,'Game Adjustments'!B:B)</f>
        <v>1</v>
      </c>
      <c r="AD1646" s="23">
        <f>_xlfn.XLOOKUP(E1646,'Game Adjustments'!A:A,'Game Adjustments'!C:C)</f>
        <v>1</v>
      </c>
      <c r="AE1646" s="23">
        <f>IF(D1646="A",_xlfn.XLOOKUP(E1646,'Rest - Home'!F:F,'Rest - Home'!J:J),_xlfn.XLOOKUP(E1646,'Rest - Home'!F:F,'Rest - Home'!I:I))</f>
        <v>1</v>
      </c>
      <c r="AF1646" s="23">
        <f>IF(D1646="A",_xlfn.XLOOKUP(E1646,'Rest - Home'!F:F,'Rest - Home'!L:L),_xlfn.XLOOKUP(E1646,'Rest - Home'!F:F,'Rest - Home'!K:K))</f>
        <v>1</v>
      </c>
      <c r="AG1646" s="26">
        <v>1</v>
      </c>
      <c r="AH1646" s="26">
        <v>1</v>
      </c>
      <c r="AI1646" s="53" cm="1">
        <f t="array" ref="AI1646">MAX(IF($E$63:E1645=E1646,ROW($E$63:E1645)-MIN(ROW($E$63:E1645))+1))</f>
        <v>1544</v>
      </c>
      <c r="AJ1646" s="53" cm="1">
        <f t="array" ref="AJ1646">MAX(IF($I$105:I1645=I1646,ROW($I$105:I1645)-MIN(ROW($I$105:I1645))+1))</f>
        <v>1502</v>
      </c>
      <c r="AK1646" s="23">
        <f>IF(AI1646=0,_xlfn.XLOOKUP(E1646,'Starting GF'!A:A,'Starting GF'!B:B),INDEX($AL$63:$AL1646,AI1646))</f>
        <v>3</v>
      </c>
      <c r="AL1646" s="23">
        <f t="shared" si="1189"/>
        <v>3</v>
      </c>
      <c r="AM1646" s="23">
        <f>IF(AI1646=0,_xlfn.XLOOKUP(E1646,'Starting GF'!A:A,'Starting GF'!C:C),INDEX($AN$63:$AN1646,AI1646))</f>
        <v>3.18</v>
      </c>
      <c r="AN1646" s="23">
        <f t="shared" si="1190"/>
        <v>3.18</v>
      </c>
      <c r="AO1646" s="23">
        <f>IF(AJ1646=0,_xlfn.XLOOKUP(I1646,Goalies!B:B,Goalies!I:I),INDEX($AP$105:$AP1646,AJ1646))</f>
        <v>3.065558047703167</v>
      </c>
      <c r="AP1646" s="23">
        <f t="shared" si="1191"/>
        <v>3.065558047703167</v>
      </c>
      <c r="AQ1646" s="23">
        <f t="shared" si="1192"/>
        <v>3.1005000000000003</v>
      </c>
      <c r="AR1646" s="66">
        <v>0.05</v>
      </c>
      <c r="AS1646" s="96" t="s">
        <v>1594</v>
      </c>
      <c r="AT1646" s="20">
        <f t="shared" ref="AT1646" si="1334">(AK1646*V1646*X1646*Z1647*AA1646*AB1647*AC1646*AD1647*AG1646*AH1647)+AR1646</f>
        <v>3.0992979847424489</v>
      </c>
      <c r="AU1646" s="20">
        <f t="shared" ref="AU1646" si="1335">AT1647</f>
        <v>3.0641696265688392</v>
      </c>
      <c r="AV1646" s="12">
        <f t="shared" ref="AV1646" si="1336">AK1646*V1646*X1646*Z1647*AA1646*AB1647</f>
        <v>3.0492979847424491</v>
      </c>
      <c r="AW1646" s="12">
        <f t="shared" ref="AW1646" si="1337">AV1647</f>
        <v>3.117600567572655</v>
      </c>
      <c r="AX1646" s="8">
        <f t="shared" si="1197"/>
        <v>3.0992979847424489</v>
      </c>
      <c r="AY1646" s="8">
        <f t="shared" si="1198"/>
        <v>3.0641696265688392</v>
      </c>
      <c r="AZ1646" s="8">
        <f t="shared" si="1199"/>
        <v>6.1634676113112885</v>
      </c>
      <c r="BA1646" s="8">
        <f t="shared" si="1200"/>
        <v>3.5128358173609708E-2</v>
      </c>
      <c r="BB1646" s="62">
        <f t="shared" si="1201"/>
        <v>-105</v>
      </c>
      <c r="BC1646" s="21">
        <f t="shared" si="1202"/>
        <v>-143</v>
      </c>
      <c r="BD1646" s="21">
        <f t="shared" si="1203"/>
        <v>-115</v>
      </c>
      <c r="BE1646" s="21">
        <f t="shared" si="1204"/>
        <v>110</v>
      </c>
      <c r="BF1646" s="94">
        <f t="shared" ref="BF1646" si="1338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IF(AT1646&gt;AT1647, 1-_xlpm.interp, _xlpm.interp)
)</f>
        <v>0.51218071840663071</v>
      </c>
      <c r="BG1646" s="22">
        <f t="shared" si="550"/>
        <v>0.58787051902416865</v>
      </c>
      <c r="BH1646" s="22">
        <f t="shared" si="550"/>
        <v>0.53553589462693696</v>
      </c>
      <c r="BI1646" s="22">
        <f t="shared" si="550"/>
        <v>0.47518894247002041</v>
      </c>
      <c r="BJ1646" s="21">
        <f t="shared" si="1206"/>
        <v>107</v>
      </c>
      <c r="BK1646" s="21">
        <f t="shared" si="1207"/>
        <v>-143</v>
      </c>
      <c r="BL1646" s="21">
        <f t="shared" si="1208"/>
        <v>-115</v>
      </c>
      <c r="BM1646" s="21">
        <f t="shared" si="1209"/>
        <v>110</v>
      </c>
      <c r="BN1646" s="22">
        <f t="shared" ref="BN1646" si="1339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IF(AV1646&gt;AV1647, 1-_xlpm.interp, _xlpm.interp)
)</f>
        <v>0.4830053499735345</v>
      </c>
      <c r="BO1646" s="22">
        <f t="shared" si="552"/>
        <v>0.58785416615123764</v>
      </c>
      <c r="BP1646" s="22">
        <f t="shared" si="552"/>
        <v>0.5358309847306264</v>
      </c>
      <c r="BQ1646" s="22">
        <f t="shared" si="552"/>
        <v>0.47577944126141758</v>
      </c>
      <c r="BR1646">
        <v>3.8</v>
      </c>
      <c r="BS1646">
        <v>4.6500000000000004</v>
      </c>
      <c r="BT1646">
        <v>0.38307000000000002</v>
      </c>
      <c r="BU1646">
        <v>0.14965000000000001</v>
      </c>
      <c r="BV1646">
        <v>0.16161430715897901</v>
      </c>
      <c r="BW1646">
        <v>0.22367999999999999</v>
      </c>
    </row>
    <row r="1647" spans="1:75" ht="16.75" customHeight="1" x14ac:dyDescent="0.2">
      <c r="A1647" t="str">
        <f t="shared" si="536"/>
        <v>2025020791 CGY</v>
      </c>
      <c r="B1647">
        <v>2025020791</v>
      </c>
      <c r="C1647" s="1">
        <v>46043</v>
      </c>
      <c r="D1647" s="2" t="s">
        <v>9</v>
      </c>
      <c r="E1647" t="s">
        <v>22</v>
      </c>
      <c r="F1647" s="2">
        <v>1</v>
      </c>
      <c r="G1647" s="2">
        <v>1</v>
      </c>
      <c r="H1647" t="s">
        <v>47</v>
      </c>
      <c r="I1647" t="str">
        <f t="shared" si="1275"/>
        <v>CGY Dustin Wolf</v>
      </c>
      <c r="J1647" s="33" t="s">
        <v>151</v>
      </c>
      <c r="K1647" s="14">
        <v>2.96</v>
      </c>
      <c r="L1647" s="13">
        <v>0.15</v>
      </c>
      <c r="M1647" s="28">
        <v>0.1</v>
      </c>
      <c r="N1647">
        <f>IFERROR(_xlfn.XLOOKUP(A1647,Params!A:A,Params!D:D),0)</f>
        <v>0</v>
      </c>
      <c r="O1647">
        <f t="shared" ref="O1647" si="1340">N1646</f>
        <v>0</v>
      </c>
      <c r="P1647" s="68">
        <f t="shared" si="1181"/>
        <v>0</v>
      </c>
      <c r="Q1647">
        <f t="shared" ref="Q1647" si="1341">P1646</f>
        <v>0</v>
      </c>
      <c r="R1647" s="5">
        <f t="shared" ref="R1647" si="1342">N1647/W1647/X1647/Z1646/AB1646/AA1647</f>
        <v>0</v>
      </c>
      <c r="S1647" s="5">
        <f t="shared" ref="S1647" si="1343">O1647/W1646/Y1647/Z1647/AA1646/AB1647</f>
        <v>0</v>
      </c>
      <c r="T1647" s="5">
        <f t="shared" ref="T1647" si="1344">P1647/W1647/X1647/Z1646/AB1646</f>
        <v>0</v>
      </c>
      <c r="U1647" s="5">
        <f t="shared" ref="U1647" si="1345">Q1647/W1646/Y1647/Z1647/AA1646</f>
        <v>0</v>
      </c>
      <c r="V1647" s="5">
        <f>_xlfn.XLOOKUP(H1647,'Rest - Home'!A:A,'Rest - Home'!B:B)</f>
        <v>1.048</v>
      </c>
      <c r="W1647" s="5">
        <f>_xlfn.XLOOKUP(H1647,'Rest - Home'!A:A,'Rest - Home'!C:C)</f>
        <v>1.0491546019013618</v>
      </c>
      <c r="X1647" s="5">
        <f t="shared" ref="X1647" si="1346">AM1646/K1647</f>
        <v>1.0743243243243243</v>
      </c>
      <c r="Y1647" s="5">
        <f t="shared" ref="Y1647" si="1347">AK1646/K1647</f>
        <v>1.0135135135135136</v>
      </c>
      <c r="Z1647" s="5">
        <f>IF(J1647="",1,(_xlfn.XLOOKUP(I1647,Goalies!B:B,Goalies!J:J)))</f>
        <v>0.98499999999999999</v>
      </c>
      <c r="AA1647" s="23">
        <f>_xlfn.XLOOKUP(E1647,Injuries!A:A,Injuries!B:B)</f>
        <v>0.98</v>
      </c>
      <c r="AB1647" s="23">
        <f>_xlfn.XLOOKUP(E1647,Injuries!A:A,Injuries!C:C)</f>
        <v>1</v>
      </c>
      <c r="AC1647" s="23">
        <f>_xlfn.XLOOKUP(E1647,'Game Adjustments'!A:A,'Game Adjustments'!B:B)</f>
        <v>1</v>
      </c>
      <c r="AD1647" s="23">
        <f>_xlfn.XLOOKUP(E1647,'Game Adjustments'!A:A,'Game Adjustments'!C:C)</f>
        <v>1</v>
      </c>
      <c r="AE1647" s="23">
        <f>IF(D1647="A",_xlfn.XLOOKUP(E1647,'Rest - Home'!F:F,'Rest - Home'!J:J),_xlfn.XLOOKUP(E1647,'Rest - Home'!F:F,'Rest - Home'!I:I))</f>
        <v>1</v>
      </c>
      <c r="AF1647" s="23">
        <f>IF(D1647="A",_xlfn.XLOOKUP(E1647,'Rest - Home'!F:F,'Rest - Home'!L:L),_xlfn.XLOOKUP(E1647,'Rest - Home'!F:F,'Rest - Home'!K:K))</f>
        <v>1</v>
      </c>
      <c r="AG1647" s="26">
        <v>1</v>
      </c>
      <c r="AH1647" s="26">
        <v>1</v>
      </c>
      <c r="AI1647" s="53" cm="1">
        <f t="array" ref="AI1647">MAX(IF($E$63:E1646=E1647,ROW($E$63:E1646)-MIN(ROW($E$63:E1646))+1))</f>
        <v>1555</v>
      </c>
      <c r="AJ1647" s="53" cm="1">
        <f t="array" ref="AJ1647">MAX(IF($I$105:I1646=I1647,ROW($I$105:I1646)-MIN(ROW($I$105:I1646))+1))</f>
        <v>1471</v>
      </c>
      <c r="AK1647" s="23">
        <f>IF(AI1647=0,_xlfn.XLOOKUP(E1647,'Starting GF'!A:A,'Starting GF'!B:B),INDEX($AL$63:$AL1647,AI1647))</f>
        <v>2.7569290051543587</v>
      </c>
      <c r="AL1647" s="23">
        <f t="shared" si="1189"/>
        <v>2.7569290051543587</v>
      </c>
      <c r="AM1647" s="23">
        <f>IF(AI1647=0,_xlfn.XLOOKUP(E1647,'Starting GF'!A:A,'Starting GF'!C:C),INDEX($AN$63:$AN1647,AI1647))</f>
        <v>3.2152184646318105</v>
      </c>
      <c r="AN1647" s="23">
        <f t="shared" si="1190"/>
        <v>3.2152184646318105</v>
      </c>
      <c r="AO1647" s="23">
        <f>IF(AJ1647=0,_xlfn.XLOOKUP(I1647,Goalies!B:B,Goalies!I:I),INDEX($AP$105:$AP1647,AJ1647))</f>
        <v>3.1696136408700748</v>
      </c>
      <c r="AP1647" s="23">
        <f t="shared" si="1191"/>
        <v>3.1696136408700748</v>
      </c>
      <c r="AQ1647" s="23">
        <f t="shared" si="1192"/>
        <v>3.1669901876623334</v>
      </c>
      <c r="AR1647" s="66">
        <v>-0.05</v>
      </c>
      <c r="AS1647" s="96" t="s">
        <v>1594</v>
      </c>
      <c r="AT1647" s="20">
        <f t="shared" ref="AT1647" si="1348">(AK1647*V1647*X1647*Z1646*AA1647*AB1646*AC1647*AD1646*AG1647*AH1646)+AR1647</f>
        <v>3.0641696265688392</v>
      </c>
      <c r="AU1647" s="20">
        <f t="shared" ref="AU1647" si="1349">AT1646</f>
        <v>3.0992979847424489</v>
      </c>
      <c r="AV1647" s="12">
        <f t="shared" ref="AV1647" si="1350">AK1647*W1647*X1647*Z1646*AA1647*AB1646</f>
        <v>3.117600567572655</v>
      </c>
      <c r="AW1647" s="12">
        <f t="shared" ref="AW1647" si="1351">AV1646</f>
        <v>3.0492979847424491</v>
      </c>
      <c r="AX1647" s="8">
        <f t="shared" si="1197"/>
        <v>3.0641696265688392</v>
      </c>
      <c r="AY1647" s="8">
        <f t="shared" si="1198"/>
        <v>3.0992979847424489</v>
      </c>
      <c r="AZ1647" s="8">
        <f t="shared" si="1199"/>
        <v>6.1634676113112885</v>
      </c>
      <c r="BA1647" s="8">
        <f t="shared" si="1200"/>
        <v>-3.5128358173609708E-2</v>
      </c>
      <c r="BB1647" s="62">
        <f t="shared" si="1201"/>
        <v>105</v>
      </c>
      <c r="BC1647" s="21">
        <f t="shared" si="1202"/>
        <v>143</v>
      </c>
      <c r="BD1647" s="21">
        <f t="shared" si="1203"/>
        <v>115</v>
      </c>
      <c r="BE1647" s="21">
        <f t="shared" si="1204"/>
        <v>-110</v>
      </c>
      <c r="BF1647" s="94">
        <f t="shared" si="57"/>
        <v>0.48781928159336929</v>
      </c>
      <c r="BG1647" s="22">
        <f t="shared" ref="BG1647" si="1352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0.4121294809758313</v>
      </c>
      <c r="BH1647" s="22">
        <f t="shared" ref="BH1647" si="1353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0.46446410537306304</v>
      </c>
      <c r="BI1647" s="22">
        <f t="shared" ref="BI1647" si="1354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0.52481105752997959</v>
      </c>
      <c r="BJ1647" s="21">
        <f t="shared" si="1206"/>
        <v>-107</v>
      </c>
      <c r="BK1647" s="21">
        <f t="shared" si="1207"/>
        <v>143</v>
      </c>
      <c r="BL1647" s="21">
        <f t="shared" si="1208"/>
        <v>115</v>
      </c>
      <c r="BM1647" s="21">
        <f t="shared" si="1209"/>
        <v>-110</v>
      </c>
      <c r="BN1647" s="22">
        <f t="shared" si="61"/>
        <v>0.5169946500264655</v>
      </c>
      <c r="BO1647" s="22">
        <f t="shared" ref="BO1647" si="1355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0.41214583384876236</v>
      </c>
      <c r="BP1647" s="22">
        <f t="shared" ref="BP1647" si="1356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0.46416901526937354</v>
      </c>
      <c r="BQ1647" s="22">
        <f t="shared" ref="BQ1647" si="1357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0.52422055873858242</v>
      </c>
      <c r="BR1647">
        <v>3.8</v>
      </c>
      <c r="BS1647">
        <v>4.7</v>
      </c>
      <c r="BT1647">
        <v>0.37956000000000001</v>
      </c>
      <c r="BU1647">
        <v>0.14541000000000001</v>
      </c>
      <c r="BV1647">
        <v>0.156926862434033</v>
      </c>
      <c r="BW1647">
        <v>0.21879999999999999</v>
      </c>
    </row>
    <row r="1648" spans="1:75" ht="16.75" customHeight="1" x14ac:dyDescent="0.2">
      <c r="A1648" t="str">
        <f t="shared" si="536"/>
        <v>2025020792 WSH</v>
      </c>
      <c r="B1648">
        <v>2025020792</v>
      </c>
      <c r="C1648" s="1">
        <v>46043</v>
      </c>
      <c r="D1648" s="2" t="s">
        <v>6</v>
      </c>
      <c r="E1648" t="s">
        <v>49</v>
      </c>
      <c r="F1648" s="2">
        <v>1</v>
      </c>
      <c r="G1648" s="2">
        <v>1</v>
      </c>
      <c r="H1648" t="s">
        <v>46</v>
      </c>
      <c r="I1648" t="str">
        <f t="shared" si="1275"/>
        <v>WSH Logan Thompson</v>
      </c>
      <c r="J1648" s="33" t="s">
        <v>197</v>
      </c>
      <c r="K1648" s="14">
        <v>2.96</v>
      </c>
      <c r="L1648" s="13">
        <v>0.15</v>
      </c>
      <c r="M1648" s="28">
        <v>0.1</v>
      </c>
      <c r="N1648">
        <f>IFERROR(_xlfn.XLOOKUP(A1648,Params!A:A,Params!D:D),0)</f>
        <v>0</v>
      </c>
      <c r="O1648">
        <f t="shared" ref="O1648" si="1358">N1649</f>
        <v>0</v>
      </c>
      <c r="P1648" s="68">
        <f t="shared" si="1181"/>
        <v>0</v>
      </c>
      <c r="Q1648">
        <f t="shared" ref="Q1648" si="1359">P1649</f>
        <v>0</v>
      </c>
      <c r="R1648" s="5">
        <f t="shared" ref="R1648" si="1360">N1648/W1648/X1648/Z1649/AB1649/AA1648</f>
        <v>0</v>
      </c>
      <c r="S1648" s="5">
        <f t="shared" ref="S1648" si="1361">O1648/W1649/Y1648/Z1648/AA1649/AB1648</f>
        <v>0</v>
      </c>
      <c r="T1648" s="5">
        <f t="shared" ref="T1648" si="1362">P1648/W1648/X1648/Z1649/AB1649</f>
        <v>0</v>
      </c>
      <c r="U1648" s="5">
        <f t="shared" ref="U1648" si="1363">Q1648/W1649/Y1648/Z1648/AA1649</f>
        <v>0</v>
      </c>
      <c r="V1648" s="5">
        <f>_xlfn.XLOOKUP(H1648,'Rest - Home'!A:A,'Rest - Home'!B:B)</f>
        <v>0.95</v>
      </c>
      <c r="W1648" s="5">
        <f>_xlfn.XLOOKUP(H1648,'Rest - Home'!A:A,'Rest - Home'!C:C)</f>
        <v>0.95302926576458757</v>
      </c>
      <c r="X1648" s="5">
        <f t="shared" ref="X1648" si="1364">AM1649/K1648</f>
        <v>1.0962114730511325</v>
      </c>
      <c r="Y1648" s="5">
        <f t="shared" ref="Y1648" si="1365">AK1649/K1648</f>
        <v>0.92251487765000373</v>
      </c>
      <c r="Z1648" s="5">
        <f>IF(J1648="",1,(_xlfn.XLOOKUP(I1648,Goalies!B:B,Goalies!J:J)))</f>
        <v>0.97499999999999998</v>
      </c>
      <c r="AA1648" s="23">
        <f>_xlfn.XLOOKUP(E1648,Injuries!A:A,Injuries!B:B)</f>
        <v>0.96</v>
      </c>
      <c r="AB1648" s="23">
        <f>_xlfn.XLOOKUP(E1648,Injuries!A:A,Injuries!C:C)</f>
        <v>1</v>
      </c>
      <c r="AC1648" s="23">
        <f>_xlfn.XLOOKUP(E1648,'Game Adjustments'!A:A,'Game Adjustments'!B:B)</f>
        <v>1</v>
      </c>
      <c r="AD1648" s="23">
        <f>_xlfn.XLOOKUP(E1648,'Game Adjustments'!A:A,'Game Adjustments'!C:C)</f>
        <v>1</v>
      </c>
      <c r="AE1648" s="23">
        <f>IF(D1648="A",_xlfn.XLOOKUP(E1648,'Rest - Home'!F:F,'Rest - Home'!J:J),_xlfn.XLOOKUP(E1648,'Rest - Home'!F:F,'Rest - Home'!I:I))</f>
        <v>1</v>
      </c>
      <c r="AF1648" s="23">
        <f>IF(D1648="A",_xlfn.XLOOKUP(E1648,'Rest - Home'!F:F,'Rest - Home'!L:L),_xlfn.XLOOKUP(E1648,'Rest - Home'!F:F,'Rest - Home'!K:K))</f>
        <v>1</v>
      </c>
      <c r="AG1648" s="26">
        <v>1</v>
      </c>
      <c r="AH1648" s="26">
        <v>1</v>
      </c>
      <c r="AI1648" s="53" cm="1">
        <f t="array" ref="AI1648">MAX(IF($E$63:E1647=E1648,ROW($E$63:E1647)-MIN(ROW($E$63:E1647))+1))</f>
        <v>1542</v>
      </c>
      <c r="AJ1648" s="53" cm="1">
        <f t="array" ref="AJ1648">MAX(IF($I$105:I1647=I1648,ROW($I$105:I1647)-MIN(ROW($I$105:I1647))+1))</f>
        <v>1479</v>
      </c>
      <c r="AK1648" s="23">
        <f>IF(AI1648=0,_xlfn.XLOOKUP(E1648,'Starting GF'!A:A,'Starting GF'!B:B),INDEX($AL$63:$AL1648,AI1648))</f>
        <v>3.0449999999999999</v>
      </c>
      <c r="AL1648" s="23">
        <f t="shared" si="1189"/>
        <v>3.0449999999999999</v>
      </c>
      <c r="AM1648" s="23">
        <f>IF(AI1648=0,_xlfn.XLOOKUP(E1648,'Starting GF'!A:A,'Starting GF'!C:C),INDEX($AN$63:$AN1648,AI1648))</f>
        <v>3.0275070377221338</v>
      </c>
      <c r="AN1648" s="23">
        <f t="shared" si="1190"/>
        <v>3.0275070377221338</v>
      </c>
      <c r="AO1648" s="23">
        <f>IF(AJ1648=0,_xlfn.XLOOKUP(I1648,Goalies!B:B,Goalies!I:I),INDEX($AP$105:$AP1648,AJ1648))</f>
        <v>2.9884523540502164</v>
      </c>
      <c r="AP1648" s="23">
        <f t="shared" si="1191"/>
        <v>2.9884523540502164</v>
      </c>
      <c r="AQ1648" s="23">
        <f t="shared" si="1192"/>
        <v>2.9518193617790804</v>
      </c>
      <c r="AR1648" s="66">
        <v>0.08</v>
      </c>
      <c r="AS1648" s="96" t="s">
        <v>1592</v>
      </c>
      <c r="AT1648" s="20">
        <f t="shared" ref="AT1648" si="1366">(AK1648*V1648*X1648*Z1649*AA1648*AB1649*AC1648*AD1649*AG1648*AH1649)+AR1648</f>
        <v>3.2782607984434864</v>
      </c>
      <c r="AU1648" s="20">
        <f t="shared" ref="AU1648" si="1367">AT1649</f>
        <v>2.6739227385564428</v>
      </c>
      <c r="AV1648" s="12">
        <f t="shared" ref="AV1648" si="1368">AK1648*V1648*X1648*Z1649*AA1648*AB1649</f>
        <v>3.1982607984434863</v>
      </c>
      <c r="AW1648" s="12">
        <f t="shared" ref="AW1648" si="1369">AV1649</f>
        <v>2.7569567885852027</v>
      </c>
      <c r="AX1648" s="8">
        <f t="shared" si="1197"/>
        <v>3.2782607984434864</v>
      </c>
      <c r="AY1648" s="8">
        <f t="shared" si="1198"/>
        <v>2.6739227385564428</v>
      </c>
      <c r="AZ1648" s="8">
        <f t="shared" si="1199"/>
        <v>5.9521835369999287</v>
      </c>
      <c r="BA1648" s="8">
        <f t="shared" si="1200"/>
        <v>0.60433805988704359</v>
      </c>
      <c r="BB1648" s="62">
        <f t="shared" si="1201"/>
        <v>-149</v>
      </c>
      <c r="BC1648" s="21">
        <f t="shared" si="1202"/>
        <v>-123</v>
      </c>
      <c r="BD1648" s="21">
        <f t="shared" si="1203"/>
        <v>102</v>
      </c>
      <c r="BE1648" s="21">
        <f t="shared" si="1204"/>
        <v>129</v>
      </c>
      <c r="BF1648" s="94">
        <f t="shared" ref="BF1648" si="1370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IF(AT1648&gt;AT1649, 1-_xlpm.interp, _xlpm.interp)
)</f>
        <v>0.59796836111918672</v>
      </c>
      <c r="BG1648" s="22">
        <f t="shared" si="550"/>
        <v>0.55215265193183249</v>
      </c>
      <c r="BH1648" s="22">
        <f t="shared" si="550"/>
        <v>0.49419358350590492</v>
      </c>
      <c r="BI1648" s="22">
        <f t="shared" si="550"/>
        <v>0.43756355981424322</v>
      </c>
      <c r="BJ1648" s="21">
        <f t="shared" si="1206"/>
        <v>-134</v>
      </c>
      <c r="BK1648" s="21">
        <f t="shared" si="1207"/>
        <v>-123</v>
      </c>
      <c r="BL1648" s="21">
        <f t="shared" si="1208"/>
        <v>102</v>
      </c>
      <c r="BM1648" s="21">
        <f t="shared" si="1209"/>
        <v>128</v>
      </c>
      <c r="BN1648" s="22">
        <f t="shared" ref="BN1648" si="1371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IF(AV1648&gt;AV1649, 1-_xlpm.interp, _xlpm.interp)
)</f>
        <v>0.57298507221532202</v>
      </c>
      <c r="BO1648" s="22">
        <f t="shared" si="552"/>
        <v>0.55190925106868283</v>
      </c>
      <c r="BP1648" s="22">
        <f t="shared" si="552"/>
        <v>0.49488592802352094</v>
      </c>
      <c r="BQ1648" s="22">
        <f t="shared" si="552"/>
        <v>0.43901315775203509</v>
      </c>
      <c r="BR1648">
        <v>3.8</v>
      </c>
      <c r="BS1648">
        <v>4.75</v>
      </c>
      <c r="BT1648">
        <v>0.37212000000000001</v>
      </c>
      <c r="BU1648">
        <v>0.14151</v>
      </c>
      <c r="BV1648">
        <v>0.15250072742556001</v>
      </c>
      <c r="BW1648">
        <v>0.21357999999999999</v>
      </c>
    </row>
    <row r="1649" spans="1:75" ht="16.75" customHeight="1" x14ac:dyDescent="0.2">
      <c r="A1649" t="str">
        <f t="shared" si="536"/>
        <v>2025020792 VAN</v>
      </c>
      <c r="B1649">
        <v>2025020792</v>
      </c>
      <c r="C1649" s="1">
        <v>46043</v>
      </c>
      <c r="D1649" s="2" t="s">
        <v>9</v>
      </c>
      <c r="E1649" t="s">
        <v>23</v>
      </c>
      <c r="F1649" s="2">
        <v>1</v>
      </c>
      <c r="G1649" s="2">
        <v>1</v>
      </c>
      <c r="H1649" t="s">
        <v>47</v>
      </c>
      <c r="I1649" t="str">
        <f t="shared" si="1275"/>
        <v>VAN Kevin Lankinen</v>
      </c>
      <c r="J1649" s="33" t="s">
        <v>194</v>
      </c>
      <c r="K1649" s="14">
        <v>2.96</v>
      </c>
      <c r="L1649" s="13">
        <v>0.15</v>
      </c>
      <c r="M1649" s="28">
        <v>0.1</v>
      </c>
      <c r="N1649">
        <f>IFERROR(_xlfn.XLOOKUP(A1649,Params!A:A,Params!D:D),0)</f>
        <v>0</v>
      </c>
      <c r="O1649">
        <f t="shared" ref="O1649" si="1372">N1648</f>
        <v>0</v>
      </c>
      <c r="P1649" s="68">
        <f t="shared" si="1181"/>
        <v>0</v>
      </c>
      <c r="Q1649">
        <f t="shared" ref="Q1649" si="1373">P1648</f>
        <v>0</v>
      </c>
      <c r="R1649" s="5">
        <f t="shared" ref="R1649" si="1374">N1649/W1649/X1649/Z1648/AB1648/AA1649</f>
        <v>0</v>
      </c>
      <c r="S1649" s="5">
        <f t="shared" ref="S1649" si="1375">O1649/W1648/Y1649/Z1649/AA1648/AB1649</f>
        <v>0</v>
      </c>
      <c r="T1649" s="5">
        <f t="shared" ref="T1649" si="1376">P1649/W1649/X1649/Z1648/AB1648</f>
        <v>0</v>
      </c>
      <c r="U1649" s="5">
        <f t="shared" ref="U1649" si="1377">Q1649/W1648/Y1649/Z1649/AA1648</f>
        <v>0</v>
      </c>
      <c r="V1649" s="5">
        <f>_xlfn.XLOOKUP(H1649,'Rest - Home'!A:A,'Rest - Home'!B:B)</f>
        <v>1.048</v>
      </c>
      <c r="W1649" s="5">
        <f>_xlfn.XLOOKUP(H1649,'Rest - Home'!A:A,'Rest - Home'!C:C)</f>
        <v>1.0491546019013618</v>
      </c>
      <c r="X1649" s="5">
        <f t="shared" ref="X1649" si="1378">AM1648/K1649</f>
        <v>1.0228064316628831</v>
      </c>
      <c r="Y1649" s="5">
        <f t="shared" ref="Y1649" si="1379">AK1648/K1649</f>
        <v>1.0287162162162162</v>
      </c>
      <c r="Z1649" s="5">
        <f>IF(J1649="",1,(_xlfn.XLOOKUP(I1649,Goalies!B:B,Goalies!J:J)))</f>
        <v>1.03</v>
      </c>
      <c r="AA1649" s="23">
        <f>_xlfn.XLOOKUP(E1649,Injuries!A:A,Injuries!B:B)</f>
        <v>0.96499999999999997</v>
      </c>
      <c r="AB1649" s="23">
        <f>_xlfn.XLOOKUP(E1649,Injuries!A:A,Injuries!C:C)</f>
        <v>1.02</v>
      </c>
      <c r="AC1649" s="23">
        <f>_xlfn.XLOOKUP(E1649,'Game Adjustments'!A:A,'Game Adjustments'!B:B)</f>
        <v>1</v>
      </c>
      <c r="AD1649" s="23">
        <f>_xlfn.XLOOKUP(E1649,'Game Adjustments'!A:A,'Game Adjustments'!C:C)</f>
        <v>1</v>
      </c>
      <c r="AE1649" s="23">
        <f>IF(D1649="A",_xlfn.XLOOKUP(E1649,'Rest - Home'!F:F,'Rest - Home'!J:J),_xlfn.XLOOKUP(E1649,'Rest - Home'!F:F,'Rest - Home'!I:I))</f>
        <v>1</v>
      </c>
      <c r="AF1649" s="23">
        <f>IF(D1649="A",_xlfn.XLOOKUP(E1649,'Rest - Home'!F:F,'Rest - Home'!L:L),_xlfn.XLOOKUP(E1649,'Rest - Home'!F:F,'Rest - Home'!K:K))</f>
        <v>1</v>
      </c>
      <c r="AG1649" s="26">
        <v>1</v>
      </c>
      <c r="AH1649" s="26">
        <v>1</v>
      </c>
      <c r="AI1649" s="53" cm="1">
        <f t="array" ref="AI1649">MAX(IF($E$63:E1648=E1649,ROW($E$63:E1648)-MIN(ROW($E$63:E1648))+1))</f>
        <v>1557</v>
      </c>
      <c r="AJ1649" s="53" cm="1">
        <f t="array" ref="AJ1649">MAX(IF($I$105:I1648=I1649,ROW($I$105:I1648)-MIN(ROW($I$105:I1648))+1))</f>
        <v>1515</v>
      </c>
      <c r="AK1649" s="23">
        <f>IF(AI1649=0,_xlfn.XLOOKUP(E1649,'Starting GF'!A:A,'Starting GF'!B:B),INDEX($AL$63:$AL1649,AI1649))</f>
        <v>2.7306440378440109</v>
      </c>
      <c r="AL1649" s="23">
        <f t="shared" si="1189"/>
        <v>2.7306440378440109</v>
      </c>
      <c r="AM1649" s="23">
        <f>IF(AI1649=0,_xlfn.XLOOKUP(E1649,'Starting GF'!A:A,'Starting GF'!C:C),INDEX($AN$63:$AN1649,AI1649))</f>
        <v>3.2447859602313525</v>
      </c>
      <c r="AN1649" s="23">
        <f t="shared" si="1190"/>
        <v>3.2447859602313525</v>
      </c>
      <c r="AO1649" s="23">
        <f>IF(AJ1649=0,_xlfn.XLOOKUP(I1649,Goalies!B:B,Goalies!I:I),INDEX($AP$105:$AP1649,AJ1649))</f>
        <v>3.3247992205618235</v>
      </c>
      <c r="AP1649" s="23">
        <f t="shared" si="1191"/>
        <v>3.3247992205618235</v>
      </c>
      <c r="AQ1649" s="23">
        <f t="shared" si="1192"/>
        <v>3.342129539038293</v>
      </c>
      <c r="AR1649" s="66">
        <v>-0.08</v>
      </c>
      <c r="AS1649" s="96" t="s">
        <v>1592</v>
      </c>
      <c r="AT1649" s="20">
        <f t="shared" ref="AT1649" si="1380">(AK1649*V1649*X1649*Z1648*AA1649*AB1648*AC1649*AD1648*AG1649*AH1648)+AR1649</f>
        <v>2.6739227385564428</v>
      </c>
      <c r="AU1649" s="20">
        <f t="shared" ref="AU1649" si="1381">AT1648</f>
        <v>3.2782607984434864</v>
      </c>
      <c r="AV1649" s="12">
        <f t="shared" ref="AV1649" si="1382">AK1649*W1649*X1649*Z1648*AA1649*AB1648</f>
        <v>2.7569567885852027</v>
      </c>
      <c r="AW1649" s="12">
        <f t="shared" ref="AW1649" si="1383">AV1648</f>
        <v>3.1982607984434863</v>
      </c>
      <c r="AX1649" s="8">
        <f t="shared" si="1197"/>
        <v>2.6739227385564428</v>
      </c>
      <c r="AY1649" s="8">
        <f t="shared" si="1198"/>
        <v>3.2782607984434864</v>
      </c>
      <c r="AZ1649" s="8">
        <f t="shared" si="1199"/>
        <v>5.9521835369999287</v>
      </c>
      <c r="BA1649" s="8">
        <f t="shared" si="1200"/>
        <v>-0.60433805988704359</v>
      </c>
      <c r="BB1649" s="62">
        <f t="shared" si="1201"/>
        <v>149</v>
      </c>
      <c r="BC1649" s="21">
        <f t="shared" si="1202"/>
        <v>123</v>
      </c>
      <c r="BD1649" s="21">
        <f t="shared" si="1203"/>
        <v>-102</v>
      </c>
      <c r="BE1649" s="21">
        <f t="shared" si="1204"/>
        <v>-129</v>
      </c>
      <c r="BF1649" s="94">
        <f t="shared" si="57"/>
        <v>0.40203163888081328</v>
      </c>
      <c r="BG1649" s="22">
        <f t="shared" ref="BG1649" si="1384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0.44784734806816751</v>
      </c>
      <c r="BH1649" s="22">
        <f t="shared" ref="BH1649" si="1385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0.50580641649409508</v>
      </c>
      <c r="BI1649" s="22">
        <f t="shared" ref="BI1649" si="1386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0.56243644018575678</v>
      </c>
      <c r="BJ1649" s="21">
        <f t="shared" si="1206"/>
        <v>134</v>
      </c>
      <c r="BK1649" s="21">
        <f t="shared" si="1207"/>
        <v>123</v>
      </c>
      <c r="BL1649" s="21">
        <f t="shared" si="1208"/>
        <v>-102</v>
      </c>
      <c r="BM1649" s="21">
        <f t="shared" si="1209"/>
        <v>-128</v>
      </c>
      <c r="BN1649" s="22">
        <f t="shared" si="61"/>
        <v>0.42701492778467798</v>
      </c>
      <c r="BO1649" s="22">
        <f t="shared" ref="BO1649" si="1387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0.44809074893131717</v>
      </c>
      <c r="BP1649" s="22">
        <f t="shared" ref="BP1649" si="1388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0.50511407197647906</v>
      </c>
      <c r="BQ1649" s="22">
        <f t="shared" ref="BQ1649" si="1389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0.56098684224796491</v>
      </c>
      <c r="BR1649">
        <v>3.8</v>
      </c>
      <c r="BS1649">
        <v>4.8</v>
      </c>
      <c r="BT1649">
        <v>0.36554999999999999</v>
      </c>
      <c r="BU1649">
        <v>0.13954</v>
      </c>
      <c r="BV1649">
        <v>0.15029026247482399</v>
      </c>
      <c r="BW1649">
        <v>0.21107000000000001</v>
      </c>
    </row>
    <row r="1650" spans="1:75" ht="16.75" customHeight="1" x14ac:dyDescent="0.2">
      <c r="A1650" t="str">
        <f t="shared" si="536"/>
        <v>2025020795 BUF</v>
      </c>
      <c r="B1650">
        <v>2025020795</v>
      </c>
      <c r="C1650" s="1">
        <v>46044</v>
      </c>
      <c r="D1650" s="2" t="s">
        <v>6</v>
      </c>
      <c r="E1650" t="s">
        <v>5</v>
      </c>
      <c r="F1650" s="2">
        <v>1</v>
      </c>
      <c r="G1650" s="2">
        <v>1</v>
      </c>
      <c r="H1650" t="s">
        <v>46</v>
      </c>
      <c r="I1650" t="str">
        <f t="shared" si="1275"/>
        <v>BUF Alex Lyon</v>
      </c>
      <c r="J1650" s="33" t="s">
        <v>274</v>
      </c>
      <c r="K1650" s="14">
        <v>2.96</v>
      </c>
      <c r="L1650" s="13">
        <v>0.15</v>
      </c>
      <c r="M1650" s="28">
        <v>0.1</v>
      </c>
      <c r="N1650">
        <f>IFERROR(_xlfn.XLOOKUP(A1650,Params!A:A,Params!D:D),0)</f>
        <v>0</v>
      </c>
      <c r="O1650">
        <f t="shared" ref="O1650:O1665" si="1390">N1651</f>
        <v>0</v>
      </c>
      <c r="P1650" s="68">
        <f t="shared" ref="P1650:P1665" si="1391">N1650</f>
        <v>0</v>
      </c>
      <c r="Q1650">
        <f t="shared" ref="Q1650:Q1665" si="1392">P1651</f>
        <v>0</v>
      </c>
      <c r="R1650" s="5">
        <f t="shared" ref="R1650:R1665" si="1393">N1650/W1650/X1650/Z1651/AB1651/AA1650</f>
        <v>0</v>
      </c>
      <c r="S1650" s="5">
        <f t="shared" ref="S1650:S1665" si="1394">O1650/W1651/Y1650/Z1650/AA1651/AB1650</f>
        <v>0</v>
      </c>
      <c r="T1650" s="5">
        <f t="shared" ref="T1650:T1665" si="1395">P1650/W1650/X1650/Z1651/AB1651</f>
        <v>0</v>
      </c>
      <c r="U1650" s="5">
        <f t="shared" ref="U1650:U1665" si="1396">Q1650/W1651/Y1650/Z1650/AA1651</f>
        <v>0</v>
      </c>
      <c r="V1650" s="5">
        <f>_xlfn.XLOOKUP(H1650,'Rest - Home'!A:A,'Rest - Home'!B:B)</f>
        <v>0.95</v>
      </c>
      <c r="W1650" s="5">
        <f>_xlfn.XLOOKUP(H1650,'Rest - Home'!A:A,'Rest - Home'!C:C)</f>
        <v>0.95302926576458757</v>
      </c>
      <c r="X1650" s="5">
        <f t="shared" ref="X1650:X1665" si="1397">AM1651/K1650</f>
        <v>1.0228613335124124</v>
      </c>
      <c r="Y1650" s="5">
        <f t="shared" ref="Y1650:Y1665" si="1398">AK1651/K1650</f>
        <v>1.0376297998306683</v>
      </c>
      <c r="Z1650" s="5">
        <f>IF(J1650="",1,(_xlfn.XLOOKUP(I1650,Goalies!B:B,Goalies!J:J)))</f>
        <v>0.99</v>
      </c>
      <c r="AA1650" s="23">
        <f>_xlfn.XLOOKUP(E1650,Injuries!A:A,Injuries!B:B)</f>
        <v>0.98</v>
      </c>
      <c r="AB1650" s="23">
        <f>_xlfn.XLOOKUP(E1650,Injuries!A:A,Injuries!C:C)</f>
        <v>1</v>
      </c>
      <c r="AC1650" s="23">
        <f>_xlfn.XLOOKUP(E1650,'Game Adjustments'!A:A,'Game Adjustments'!B:B)</f>
        <v>1</v>
      </c>
      <c r="AD1650" s="23">
        <f>_xlfn.XLOOKUP(E1650,'Game Adjustments'!A:A,'Game Adjustments'!C:C)</f>
        <v>1</v>
      </c>
      <c r="AE1650" s="23">
        <f>IF(D1650="A",_xlfn.XLOOKUP(E1650,'Rest - Home'!F:F,'Rest - Home'!J:J),_xlfn.XLOOKUP(E1650,'Rest - Home'!F:F,'Rest - Home'!I:I))</f>
        <v>1</v>
      </c>
      <c r="AF1650" s="23">
        <f>IF(D1650="A",_xlfn.XLOOKUP(E1650,'Rest - Home'!F:F,'Rest - Home'!L:L),_xlfn.XLOOKUP(E1650,'Rest - Home'!F:F,'Rest - Home'!K:K))</f>
        <v>1</v>
      </c>
      <c r="AG1650" s="26">
        <v>1</v>
      </c>
      <c r="AH1650" s="26">
        <v>1</v>
      </c>
      <c r="AI1650" s="53" cm="1">
        <f t="array" ref="AI1650">MAX(IF($E$63:E1649=E1650,ROW($E$63:E1649)-MIN(ROW($E$63:E1649))+1))</f>
        <v>1568</v>
      </c>
      <c r="AJ1650" s="53" cm="1">
        <f t="array" ref="AJ1650">MAX(IF($I$105:I1649=I1650,ROW($I$105:I1649)-MIN(ROW($I$105:I1649))+1))</f>
        <v>1526</v>
      </c>
      <c r="AK1650" s="23">
        <f>IF(AI1650=0,_xlfn.XLOOKUP(E1650,'Starting GF'!A:A,'Starting GF'!B:B),INDEX($AL$63:$AL1650,AI1650))</f>
        <v>3.0954569936043623</v>
      </c>
      <c r="AL1650" s="23">
        <f t="shared" ref="AL1650:AL1665" si="1399">IF(R1650=0,AK1650,R1650*L1650*(1-M1650)+T1650*L1650*M1650+AK1650*(1-L1650))</f>
        <v>3.0954569936043623</v>
      </c>
      <c r="AM1650" s="23">
        <f>IF(AI1650=0,_xlfn.XLOOKUP(E1650,'Starting GF'!A:A,'Starting GF'!C:C),INDEX($AN$63:$AN1650,AI1650))</f>
        <v>3.0585090047302281</v>
      </c>
      <c r="AN1650" s="23">
        <f t="shared" ref="AN1650:AN1665" si="1400">IF(S1650=0,AM1650,S1650*L1650+AM1650*(1-L1650))</f>
        <v>3.0585090047302281</v>
      </c>
      <c r="AO1650" s="23">
        <f>IF(AJ1650=0,_xlfn.XLOOKUP(I1650,Goalies!B:B,Goalies!I:I),INDEX($AP$105:$AP1650,AJ1650))</f>
        <v>3.1880743513572143</v>
      </c>
      <c r="AP1650" s="23">
        <f t="shared" ref="AP1650:AP1665" si="1401">IF(S1650=0,AO1650,S1650*L1650*Z1650+AO1650*(1-L1650))</f>
        <v>3.1880743513572143</v>
      </c>
      <c r="AQ1650" s="23">
        <f t="shared" ref="AQ1650:AQ1665" si="1402">AM1650*Z1650</f>
        <v>3.0279239146829258</v>
      </c>
      <c r="AR1650" s="66">
        <v>0</v>
      </c>
      <c r="AS1650" s="96" t="s">
        <v>1594</v>
      </c>
      <c r="AT1650" s="20">
        <f t="shared" ref="AT1650:AT1665" si="1403">(AK1650*V1650*X1650*Z1651*AA1650*AB1651*AC1650*AD1651*AG1650*AH1651)+AR1650</f>
        <v>2.9477538627951958</v>
      </c>
      <c r="AU1650" s="20">
        <f t="shared" ref="AU1650:AU1665" si="1404">AT1651</f>
        <v>3.2268200903667212</v>
      </c>
      <c r="AV1650" s="12">
        <f t="shared" ref="AV1650:AV1665" si="1405">AK1650*V1650*X1650*Z1651*AA1650*AB1651</f>
        <v>2.9477538627951958</v>
      </c>
      <c r="AW1650" s="12">
        <f t="shared" ref="AW1650:AW1665" si="1406">AV1651</f>
        <v>3.2303751405687153</v>
      </c>
      <c r="AX1650" s="8">
        <f t="shared" ref="AX1650:AX1665" si="1407">(AT1650-N1650)</f>
        <v>2.9477538627951958</v>
      </c>
      <c r="AY1650" s="8">
        <f t="shared" ref="AY1650:AY1665" si="1408">(AU1650-O1650)</f>
        <v>3.2268200903667212</v>
      </c>
      <c r="AZ1650" s="8">
        <f t="shared" ref="AZ1650:AZ1665" si="1409">SUM(AX1650:AY1650)</f>
        <v>6.174573953161917</v>
      </c>
      <c r="BA1650" s="8">
        <f t="shared" ref="BA1650:BA1665" si="1410">AX1650-AY1650</f>
        <v>-0.27906622757152544</v>
      </c>
      <c r="BB1650" s="62">
        <f t="shared" ref="BB1650:BB1665" si="1411">IF(BF1650=0.5,100,IF(BF1650&gt;0.5,-ROUND(100*BF1650/(1-BF1650),0),ROUND(100*(1-BF1650)/BF1650,0)))</f>
        <v>122</v>
      </c>
      <c r="BC1650" s="21">
        <f t="shared" ref="BC1650:BC1665" si="1412">IF(BG1650=0.5,100,IF(BG1650&gt;0.5,-ROUND(100*BG1650/(1-BG1650),0),ROUND(100*(1-BG1650)/BG1650,0)))</f>
        <v>-144</v>
      </c>
      <c r="BD1650" s="21">
        <f t="shared" ref="BD1650:BD1665" si="1413">IF(BH1650=0.5,100,IF(BH1650&gt;0.5,-ROUND(100*BH1650/(1-BH1650),0),ROUND(100*(1-BH1650)/BH1650,0)))</f>
        <v>-116</v>
      </c>
      <c r="BE1650" s="21">
        <f t="shared" ref="BE1650:BE1665" si="1414">IF(BI1650=0.5,100,IF(BI1650&gt;0.5,-ROUND(100*BI1650/(1-BI1650),0),ROUND(100*(1-BI1650)/BI1650,0)))</f>
        <v>110</v>
      </c>
      <c r="BF1650" s="94">
        <f t="shared" ref="BF1650:BF1665" si="1415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IF(AT1650&gt;AT1651, 1-_xlpm.interp, _xlpm.interp)
)</f>
        <v>0.45100075207311008</v>
      </c>
      <c r="BG1650" s="22">
        <f t="shared" si="550"/>
        <v>0.59005622799905955</v>
      </c>
      <c r="BH1650" s="22">
        <f t="shared" si="550"/>
        <v>0.53785054059451298</v>
      </c>
      <c r="BI1650" s="22">
        <f t="shared" si="550"/>
        <v>0.47707622451862486</v>
      </c>
      <c r="BJ1650" s="21">
        <f t="shared" ref="BJ1650:BJ1665" si="1416">IF(BN1650=0.5,100,IF(BN1650&gt;0.5,-ROUND(100*BN1650/(1-BN1650),0),ROUND(100*(1-BN1650)/BN1650,0)))</f>
        <v>122</v>
      </c>
      <c r="BK1650" s="21">
        <f t="shared" ref="BK1650:BK1665" si="1417">IF(BO1650=0.5,100,IF(BO1650&gt;0.5,-ROUND(100*BO1650/(1-BO1650),0),ROUND(100*(1-BO1650)/BO1650,0)))</f>
        <v>-145</v>
      </c>
      <c r="BL1650" s="21">
        <f t="shared" ref="BL1650:BL1665" si="1418">IF(BP1650=0.5,100,IF(BP1650&gt;0.5,-ROUND(100*BP1650/(1-BP1650),0),ROUND(100*(1-BP1650)/BP1650,0)))</f>
        <v>-117</v>
      </c>
      <c r="BM1650" s="21">
        <f t="shared" ref="BM1650:BM1665" si="1419">IF(BQ1650=0.5,100,IF(BQ1650&gt;0.5,-ROUND(100*BQ1650/(1-BQ1650),0),ROUND(100*(1-BQ1650)/BQ1650,0)))</f>
        <v>109</v>
      </c>
      <c r="BN1650" s="22">
        <f t="shared" ref="BN1650:BN1665" si="1420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IF(AV1650&gt;AV1651, 1-_xlpm.interp, _xlpm.interp)
)</f>
        <v>0.4505298538124296</v>
      </c>
      <c r="BO1650" s="22">
        <f t="shared" si="552"/>
        <v>0.59102192238303974</v>
      </c>
      <c r="BP1650" s="22">
        <f t="shared" si="552"/>
        <v>0.53885110561812133</v>
      </c>
      <c r="BQ1650" s="22">
        <f t="shared" si="552"/>
        <v>0.47787299029515784</v>
      </c>
      <c r="BR1650">
        <v>3.8</v>
      </c>
      <c r="BS1650">
        <v>4.8499999999999996</v>
      </c>
      <c r="BT1650">
        <v>0.36076999999999998</v>
      </c>
      <c r="BU1650">
        <v>0.13619000000000001</v>
      </c>
      <c r="BV1650">
        <v>0.14635430659287499</v>
      </c>
      <c r="BW1650">
        <v>0.20563999999999999</v>
      </c>
    </row>
    <row r="1651" spans="1:75" ht="16.75" customHeight="1" x14ac:dyDescent="0.2">
      <c r="A1651" t="str">
        <f t="shared" si="536"/>
        <v>2025020795 MTL</v>
      </c>
      <c r="B1651">
        <v>2025020795</v>
      </c>
      <c r="C1651" s="1">
        <v>46044</v>
      </c>
      <c r="D1651" s="2" t="s">
        <v>9</v>
      </c>
      <c r="E1651" t="s">
        <v>19</v>
      </c>
      <c r="F1651" s="2">
        <v>1</v>
      </c>
      <c r="G1651" s="2">
        <v>1</v>
      </c>
      <c r="H1651" t="s">
        <v>47</v>
      </c>
      <c r="I1651" t="str">
        <f t="shared" si="1275"/>
        <v>MTL Sam Montembeault</v>
      </c>
      <c r="J1651" s="33" t="s">
        <v>170</v>
      </c>
      <c r="K1651" s="14">
        <v>2.96</v>
      </c>
      <c r="L1651" s="13">
        <v>0.15</v>
      </c>
      <c r="M1651" s="28">
        <v>0.1</v>
      </c>
      <c r="N1651">
        <f>IFERROR(_xlfn.XLOOKUP(A1651,Params!A:A,Params!D:D),0)</f>
        <v>0</v>
      </c>
      <c r="O1651">
        <f t="shared" ref="O1651:O1665" si="1421">N1650</f>
        <v>0</v>
      </c>
      <c r="P1651" s="68">
        <f t="shared" si="1391"/>
        <v>0</v>
      </c>
      <c r="Q1651">
        <f t="shared" ref="Q1651:Q1665" si="1422">P1650</f>
        <v>0</v>
      </c>
      <c r="R1651" s="5">
        <f t="shared" ref="R1651:R1665" si="1423">N1651/W1651/X1651/Z1650/AB1650/AA1651</f>
        <v>0</v>
      </c>
      <c r="S1651" s="5">
        <f t="shared" ref="S1651:S1665" si="1424">O1651/W1650/Y1651/Z1651/AA1650/AB1651</f>
        <v>0</v>
      </c>
      <c r="T1651" s="5">
        <f t="shared" ref="T1651:T1665" si="1425">P1651/W1651/X1651/Z1650/AB1650</f>
        <v>0</v>
      </c>
      <c r="U1651" s="5">
        <f t="shared" ref="U1651:U1665" si="1426">Q1651/W1650/Y1651/Z1651/AA1650</f>
        <v>0</v>
      </c>
      <c r="V1651" s="5">
        <f>_xlfn.XLOOKUP(H1651,'Rest - Home'!A:A,'Rest - Home'!B:B)</f>
        <v>1.048</v>
      </c>
      <c r="W1651" s="5">
        <f>_xlfn.XLOOKUP(H1651,'Rest - Home'!A:A,'Rest - Home'!C:C)</f>
        <v>1.0491546019013618</v>
      </c>
      <c r="X1651" s="5">
        <f t="shared" ref="X1651:X1665" si="1427">AM1650/K1651</f>
        <v>1.0332800691656177</v>
      </c>
      <c r="Y1651" s="5">
        <f t="shared" ref="Y1651:Y1665" si="1428">AK1650/K1651</f>
        <v>1.0457624978393116</v>
      </c>
      <c r="Z1651" s="5">
        <f>IF(J1651="",1,(_xlfn.XLOOKUP(I1651,Goalies!B:B,Goalies!J:J)))</f>
        <v>1</v>
      </c>
      <c r="AA1651" s="23">
        <f>_xlfn.XLOOKUP(E1651,Injuries!A:A,Injuries!B:B)</f>
        <v>0.98</v>
      </c>
      <c r="AB1651" s="23">
        <f>_xlfn.XLOOKUP(E1651,Injuries!A:A,Injuries!C:C)</f>
        <v>1</v>
      </c>
      <c r="AC1651" s="23">
        <f>_xlfn.XLOOKUP(E1651,'Game Adjustments'!A:A,'Game Adjustments'!B:B)</f>
        <v>1</v>
      </c>
      <c r="AD1651" s="23">
        <f>_xlfn.XLOOKUP(E1651,'Game Adjustments'!A:A,'Game Adjustments'!C:C)</f>
        <v>1</v>
      </c>
      <c r="AE1651" s="23">
        <f>IF(D1651="A",_xlfn.XLOOKUP(E1651,'Rest - Home'!F:F,'Rest - Home'!J:J),_xlfn.XLOOKUP(E1651,'Rest - Home'!F:F,'Rest - Home'!I:I))</f>
        <v>1</v>
      </c>
      <c r="AF1651" s="23">
        <f>IF(D1651="A",_xlfn.XLOOKUP(E1651,'Rest - Home'!F:F,'Rest - Home'!L:L),_xlfn.XLOOKUP(E1651,'Rest - Home'!F:F,'Rest - Home'!K:K))</f>
        <v>1</v>
      </c>
      <c r="AG1651" s="26">
        <v>1</v>
      </c>
      <c r="AH1651" s="26">
        <v>1</v>
      </c>
      <c r="AI1651" s="53" cm="1">
        <f t="array" ref="AI1651">MAX(IF($E$63:E1650=E1651,ROW($E$63:E1650)-MIN(ROW($E$63:E1650))+1))</f>
        <v>1561</v>
      </c>
      <c r="AJ1651" s="53" cm="1">
        <f t="array" ref="AJ1651">MAX(IF($I$105:I1650=I1651,ROW($I$105:I1650)-MIN(ROW($I$105:I1650))+1))</f>
        <v>1480</v>
      </c>
      <c r="AK1651" s="23">
        <f>IF(AI1651=0,_xlfn.XLOOKUP(E1651,'Starting GF'!A:A,'Starting GF'!B:B),INDEX($AL$63:$AL1651,AI1651))</f>
        <v>3.0713842074987783</v>
      </c>
      <c r="AL1651" s="23">
        <f t="shared" si="1399"/>
        <v>3.0713842074987783</v>
      </c>
      <c r="AM1651" s="23">
        <f>IF(AI1651=0,_xlfn.XLOOKUP(E1651,'Starting GF'!A:A,'Starting GF'!C:C),INDEX($AN$63:$AN1651,AI1651))</f>
        <v>3.0276695471967403</v>
      </c>
      <c r="AN1651" s="23">
        <f t="shared" si="1400"/>
        <v>3.0276695471967403</v>
      </c>
      <c r="AO1651" s="23">
        <f>IF(AJ1651=0,_xlfn.XLOOKUP(I1651,Goalies!B:B,Goalies!I:I),INDEX($AP$105:$AP1651,AJ1651))</f>
        <v>3.0380974006538217</v>
      </c>
      <c r="AP1651" s="23">
        <f t="shared" si="1401"/>
        <v>3.0380974006538217</v>
      </c>
      <c r="AQ1651" s="23">
        <f t="shared" si="1402"/>
        <v>3.0276695471967403</v>
      </c>
      <c r="AR1651" s="66">
        <v>0</v>
      </c>
      <c r="AS1651" s="96" t="s">
        <v>1594</v>
      </c>
      <c r="AT1651" s="20">
        <f t="shared" ref="AT1651:AT1665" si="1429">(AK1651*V1651*X1651*Z1650*AA1651*AB1650*AC1651*AD1650*AG1651*AH1650)+AR1651</f>
        <v>3.2268200903667212</v>
      </c>
      <c r="AU1651" s="20">
        <f t="shared" ref="AU1651:AU1665" si="1430">AT1650</f>
        <v>2.9477538627951958</v>
      </c>
      <c r="AV1651" s="12">
        <f t="shared" ref="AV1651:AV1665" si="1431">AK1651*W1651*X1651*Z1650*AA1651*AB1650</f>
        <v>3.2303751405687153</v>
      </c>
      <c r="AW1651" s="12">
        <f t="shared" ref="AW1651:AW1665" si="1432">AV1650</f>
        <v>2.9477538627951958</v>
      </c>
      <c r="AX1651" s="8">
        <f t="shared" si="1407"/>
        <v>3.2268200903667212</v>
      </c>
      <c r="AY1651" s="8">
        <f t="shared" si="1408"/>
        <v>2.9477538627951958</v>
      </c>
      <c r="AZ1651" s="8">
        <f t="shared" si="1409"/>
        <v>6.174573953161917</v>
      </c>
      <c r="BA1651" s="8">
        <f t="shared" si="1410"/>
        <v>0.27906622757152544</v>
      </c>
      <c r="BB1651" s="62">
        <f t="shared" si="1411"/>
        <v>-122</v>
      </c>
      <c r="BC1651" s="21">
        <f t="shared" si="1412"/>
        <v>144</v>
      </c>
      <c r="BD1651" s="21">
        <f t="shared" si="1413"/>
        <v>116</v>
      </c>
      <c r="BE1651" s="21">
        <f t="shared" si="1414"/>
        <v>-110</v>
      </c>
      <c r="BF1651" s="94">
        <f t="shared" si="57"/>
        <v>0.54899924792688992</v>
      </c>
      <c r="BG1651" s="22">
        <f t="shared" ref="BG1651:BG1665" si="143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0.40994377200094045</v>
      </c>
      <c r="BH1651" s="22">
        <f t="shared" ref="BH1651:BH1665" si="1434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0.46214945940548702</v>
      </c>
      <c r="BI1651" s="22">
        <f t="shared" ref="BI1651:BI1665" si="1435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0.52292377548137514</v>
      </c>
      <c r="BJ1651" s="21">
        <f t="shared" si="1416"/>
        <v>-122</v>
      </c>
      <c r="BK1651" s="21">
        <f t="shared" si="1417"/>
        <v>145</v>
      </c>
      <c r="BL1651" s="21">
        <f t="shared" si="1418"/>
        <v>117</v>
      </c>
      <c r="BM1651" s="21">
        <f t="shared" si="1419"/>
        <v>-109</v>
      </c>
      <c r="BN1651" s="22">
        <f t="shared" si="61"/>
        <v>0.5494701461875704</v>
      </c>
      <c r="BO1651" s="22">
        <f t="shared" ref="BO1651:BO1665" si="1436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0.40897807761696026</v>
      </c>
      <c r="BP1651" s="22">
        <f t="shared" ref="BP1651:BP1665" si="1437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0.46114889438187862</v>
      </c>
      <c r="BQ1651" s="22">
        <f t="shared" ref="BQ1651:BQ1665" si="1438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0.52212700970484216</v>
      </c>
      <c r="BR1651">
        <v>3.8</v>
      </c>
      <c r="BS1651">
        <v>4.9000000000000004</v>
      </c>
      <c r="BT1651">
        <v>0.35372999999999999</v>
      </c>
      <c r="BU1651">
        <v>0.13317999999999999</v>
      </c>
      <c r="BV1651">
        <v>0.143242807206238</v>
      </c>
      <c r="BW1651">
        <v>0.20343</v>
      </c>
    </row>
    <row r="1652" spans="1:75" ht="16.75" customHeight="1" x14ac:dyDescent="0.2">
      <c r="A1652" t="str">
        <f t="shared" si="536"/>
        <v>2025020796 CHI</v>
      </c>
      <c r="B1652">
        <v>2025020796</v>
      </c>
      <c r="C1652" s="1">
        <v>46044</v>
      </c>
      <c r="D1652" s="2" t="s">
        <v>6</v>
      </c>
      <c r="E1652" t="s">
        <v>14</v>
      </c>
      <c r="F1652" s="2">
        <v>2</v>
      </c>
      <c r="G1652" s="2">
        <v>2</v>
      </c>
      <c r="H1652" t="s">
        <v>8</v>
      </c>
      <c r="I1652" t="str">
        <f t="shared" si="1275"/>
        <v>CHI Spencer Knight</v>
      </c>
      <c r="J1652" s="33" t="s">
        <v>155</v>
      </c>
      <c r="K1652" s="14">
        <v>2.96</v>
      </c>
      <c r="L1652" s="13">
        <v>0.15</v>
      </c>
      <c r="M1652" s="28">
        <v>0.1</v>
      </c>
      <c r="N1652">
        <f>IFERROR(_xlfn.XLOOKUP(A1652,Params!A:A,Params!D:D),0)</f>
        <v>0</v>
      </c>
      <c r="O1652">
        <f t="shared" ref="O1652:O1665" si="1439">N1653</f>
        <v>0</v>
      </c>
      <c r="P1652" s="68">
        <f t="shared" si="1391"/>
        <v>0</v>
      </c>
      <c r="Q1652">
        <f t="shared" ref="Q1652:Q1665" si="1440">P1653</f>
        <v>0</v>
      </c>
      <c r="R1652" s="5">
        <f t="shared" ref="R1652:R1665" si="1441">N1652/W1652/X1652/Z1653/AB1653/AA1652</f>
        <v>0</v>
      </c>
      <c r="S1652" s="5">
        <f t="shared" ref="S1652:S1665" si="1442">O1652/W1653/Y1652/Z1652/AA1653/AB1652</f>
        <v>0</v>
      </c>
      <c r="T1652" s="5">
        <f t="shared" ref="T1652:T1665" si="1443">P1652/W1652/X1652/Z1653/AB1653</f>
        <v>0</v>
      </c>
      <c r="U1652" s="5">
        <f t="shared" ref="U1652:U1665" si="1444">Q1652/W1653/Y1652/Z1652/AA1653</f>
        <v>0</v>
      </c>
      <c r="V1652" s="5">
        <f>_xlfn.XLOOKUP(H1652,'Rest - Home'!A:A,'Rest - Home'!B:B)</f>
        <v>0.96</v>
      </c>
      <c r="W1652" s="5">
        <f>_xlfn.XLOOKUP(H1652,'Rest - Home'!A:A,'Rest - Home'!C:C)</f>
        <v>0.95702751457800772</v>
      </c>
      <c r="X1652" s="5">
        <f t="shared" ref="X1652:X1665" si="1445">AM1653/K1652</f>
        <v>0.92770948674239717</v>
      </c>
      <c r="Y1652" s="5">
        <f t="shared" ref="Y1652:Y1665" si="1446">AK1653/K1652</f>
        <v>1.1350619691451471</v>
      </c>
      <c r="Z1652" s="5">
        <f>IF(J1652="",1,(_xlfn.XLOOKUP(I1652,Goalies!B:B,Goalies!J:J)))</f>
        <v>0.96</v>
      </c>
      <c r="AA1652" s="23">
        <f>_xlfn.XLOOKUP(E1652,Injuries!A:A,Injuries!B:B)</f>
        <v>0.95</v>
      </c>
      <c r="AB1652" s="23">
        <f>_xlfn.XLOOKUP(E1652,Injuries!A:A,Injuries!C:C)</f>
        <v>1</v>
      </c>
      <c r="AC1652" s="23">
        <f>_xlfn.XLOOKUP(E1652,'Game Adjustments'!A:A,'Game Adjustments'!B:B)</f>
        <v>1</v>
      </c>
      <c r="AD1652" s="23">
        <f>_xlfn.XLOOKUP(E1652,'Game Adjustments'!A:A,'Game Adjustments'!C:C)</f>
        <v>1</v>
      </c>
      <c r="AE1652" s="23">
        <f>IF(D1652="A",_xlfn.XLOOKUP(E1652,'Rest - Home'!F:F,'Rest - Home'!J:J),_xlfn.XLOOKUP(E1652,'Rest - Home'!F:F,'Rest - Home'!I:I))</f>
        <v>1</v>
      </c>
      <c r="AF1652" s="23">
        <f>IF(D1652="A",_xlfn.XLOOKUP(E1652,'Rest - Home'!F:F,'Rest - Home'!L:L),_xlfn.XLOOKUP(E1652,'Rest - Home'!F:F,'Rest - Home'!K:K))</f>
        <v>1</v>
      </c>
      <c r="AG1652" s="26">
        <v>1</v>
      </c>
      <c r="AH1652" s="26">
        <v>1</v>
      </c>
      <c r="AI1652" s="53" cm="1">
        <f t="array" ref="AI1652">MAX(IF($E$63:E1651=E1652,ROW($E$63:E1651)-MIN(ROW($E$63:E1651))+1))</f>
        <v>1553</v>
      </c>
      <c r="AJ1652" s="53" cm="1">
        <f t="array" ref="AJ1652">MAX(IF($I$105:I1651=I1652,ROW($I$105:I1651)-MIN(ROW($I$105:I1651))+1))</f>
        <v>1511</v>
      </c>
      <c r="AK1652" s="23">
        <f>IF(AI1652=0,_xlfn.XLOOKUP(E1652,'Starting GF'!A:A,'Starting GF'!B:B),INDEX($AL$63:$AL1652,AI1652))</f>
        <v>2.7069465918402971</v>
      </c>
      <c r="AL1652" s="23">
        <f t="shared" si="1399"/>
        <v>2.7069465918402971</v>
      </c>
      <c r="AM1652" s="23">
        <f>IF(AI1652=0,_xlfn.XLOOKUP(E1652,'Starting GF'!A:A,'Starting GF'!C:C),INDEX($AN$63:$AN1652,AI1652))</f>
        <v>3.39</v>
      </c>
      <c r="AN1652" s="23">
        <f t="shared" si="1400"/>
        <v>3.39</v>
      </c>
      <c r="AO1652" s="23">
        <f>IF(AJ1652=0,_xlfn.XLOOKUP(I1652,Goalies!B:B,Goalies!I:I),INDEX($AP$105:$AP1652,AJ1652))</f>
        <v>3.3084322779769697</v>
      </c>
      <c r="AP1652" s="23">
        <f t="shared" si="1401"/>
        <v>3.3084322779769697</v>
      </c>
      <c r="AQ1652" s="23">
        <f t="shared" si="1402"/>
        <v>3.2544</v>
      </c>
      <c r="AR1652" s="66">
        <v>-0.05</v>
      </c>
      <c r="AS1652" s="96" t="s">
        <v>1594</v>
      </c>
      <c r="AT1652" s="20">
        <f t="shared" ref="AT1652:AT1665" si="1447">(AK1652*V1652*X1652*Z1653*AA1652*AB1653*AC1652*AD1653*AG1652*AH1653)+AR1652</f>
        <v>2.3792312311217136</v>
      </c>
      <c r="AU1652" s="20">
        <f t="shared" ref="AU1652:AU1665" si="1448">AT1653</f>
        <v>3.8455291783765815</v>
      </c>
      <c r="AV1652" s="12">
        <f t="shared" ref="AV1652:AV1665" si="1449">AK1652*V1652*X1652*Z1653*AA1652*AB1653</f>
        <v>2.4292312311217135</v>
      </c>
      <c r="AW1652" s="12">
        <f t="shared" ref="AW1652:AW1665" si="1450">AV1653</f>
        <v>3.8154412657952017</v>
      </c>
      <c r="AX1652" s="8">
        <f t="shared" si="1407"/>
        <v>2.3792312311217136</v>
      </c>
      <c r="AY1652" s="8">
        <f t="shared" si="1408"/>
        <v>3.8455291783765815</v>
      </c>
      <c r="AZ1652" s="8">
        <f t="shared" si="1409"/>
        <v>6.2247604094982947</v>
      </c>
      <c r="BA1652" s="8">
        <f t="shared" si="1410"/>
        <v>-1.4662979472548678</v>
      </c>
      <c r="BB1652" s="62">
        <f t="shared" si="1411"/>
        <v>253</v>
      </c>
      <c r="BC1652" s="21">
        <f t="shared" si="1412"/>
        <v>-148</v>
      </c>
      <c r="BD1652" s="21">
        <f t="shared" si="1413"/>
        <v>-118</v>
      </c>
      <c r="BE1652" s="21">
        <f t="shared" si="1414"/>
        <v>110</v>
      </c>
      <c r="BF1652" s="94">
        <f t="shared" ref="BF1652:BF1665" si="1451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IF(AT1652&gt;AT1653, 1-_xlpm.interp, _xlpm.interp)
)</f>
        <v>0.28352106434351043</v>
      </c>
      <c r="BG1652" s="22">
        <f t="shared" si="550"/>
        <v>0.59646116361684376</v>
      </c>
      <c r="BH1652" s="22">
        <f t="shared" si="550"/>
        <v>0.54160305897474392</v>
      </c>
      <c r="BI1652" s="22">
        <f t="shared" si="550"/>
        <v>0.47679271501121323</v>
      </c>
      <c r="BJ1652" s="21">
        <f t="shared" si="1416"/>
        <v>242</v>
      </c>
      <c r="BK1652" s="21">
        <f t="shared" si="1417"/>
        <v>-149</v>
      </c>
      <c r="BL1652" s="21">
        <f t="shared" si="1418"/>
        <v>-120</v>
      </c>
      <c r="BM1652" s="21">
        <f t="shared" si="1419"/>
        <v>108</v>
      </c>
      <c r="BN1652" s="22">
        <f t="shared" ref="BN1652:BN1665" si="1452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IF(AV1652&gt;AV1653, 1-_xlpm.interp, _xlpm.interp)
)</f>
        <v>0.29266406040635817</v>
      </c>
      <c r="BO1652" s="22">
        <f t="shared" si="552"/>
        <v>0.59887996316902681</v>
      </c>
      <c r="BP1652" s="22">
        <f t="shared" si="552"/>
        <v>0.54505289171700433</v>
      </c>
      <c r="BQ1652" s="22">
        <f t="shared" si="552"/>
        <v>0.4805663583115215</v>
      </c>
      <c r="BR1652">
        <v>3.8</v>
      </c>
      <c r="BS1652">
        <v>4.95</v>
      </c>
      <c r="BT1652">
        <v>0.34943999999999997</v>
      </c>
      <c r="BU1652">
        <v>0.1283</v>
      </c>
      <c r="BV1652">
        <v>0.13763436246218499</v>
      </c>
      <c r="BW1652">
        <v>0.19611999999999999</v>
      </c>
    </row>
    <row r="1653" spans="1:75" ht="16.75" customHeight="1" x14ac:dyDescent="0.2">
      <c r="A1653" t="str">
        <f t="shared" si="536"/>
        <v>2025020796 CAR</v>
      </c>
      <c r="B1653">
        <v>2025020796</v>
      </c>
      <c r="C1653" s="1">
        <v>46044</v>
      </c>
      <c r="D1653" s="2" t="s">
        <v>9</v>
      </c>
      <c r="E1653" t="s">
        <v>42</v>
      </c>
      <c r="F1653" s="2">
        <v>2</v>
      </c>
      <c r="G1653" s="2">
        <v>2</v>
      </c>
      <c r="H1653" t="s">
        <v>11</v>
      </c>
      <c r="I1653" t="str">
        <f t="shared" si="1275"/>
        <v>CAR Frederik Andersen</v>
      </c>
      <c r="J1653" s="33" t="s">
        <v>153</v>
      </c>
      <c r="K1653" s="14">
        <v>2.96</v>
      </c>
      <c r="L1653" s="13">
        <v>0.15</v>
      </c>
      <c r="M1653" s="28">
        <v>0.1</v>
      </c>
      <c r="N1653">
        <f>IFERROR(_xlfn.XLOOKUP(A1653,Params!A:A,Params!D:D),0)</f>
        <v>0</v>
      </c>
      <c r="O1653">
        <f t="shared" ref="O1653:O1665" si="1453">N1652</f>
        <v>0</v>
      </c>
      <c r="P1653" s="68">
        <f t="shared" si="1391"/>
        <v>0</v>
      </c>
      <c r="Q1653">
        <f t="shared" ref="Q1653:Q1665" si="1454">P1652</f>
        <v>0</v>
      </c>
      <c r="R1653" s="5">
        <f t="shared" ref="R1653:R1665" si="1455">N1653/W1653/X1653/Z1652/AB1652/AA1653</f>
        <v>0</v>
      </c>
      <c r="S1653" s="5">
        <f t="shared" ref="S1653:S1665" si="1456">O1653/W1652/Y1653/Z1653/AA1652/AB1653</f>
        <v>0</v>
      </c>
      <c r="T1653" s="5">
        <f t="shared" ref="T1653:T1665" si="1457">P1653/W1653/X1653/Z1652/AB1652</f>
        <v>0</v>
      </c>
      <c r="U1653" s="5">
        <f t="shared" ref="U1653:U1665" si="1458">Q1653/W1652/Y1653/Z1653/AA1652</f>
        <v>0</v>
      </c>
      <c r="V1653" s="5">
        <f>_xlfn.XLOOKUP(H1653,'Rest - Home'!A:A,'Rest - Home'!B:B)</f>
        <v>1.0275000000000001</v>
      </c>
      <c r="W1653" s="5">
        <f>_xlfn.XLOOKUP(H1653,'Rest - Home'!A:A,'Rest - Home'!C:C)</f>
        <v>1.0328904656929507</v>
      </c>
      <c r="X1653" s="5">
        <f t="shared" ref="X1653:X1665" si="1459">AM1652/K1653</f>
        <v>1.1452702702702704</v>
      </c>
      <c r="Y1653" s="5">
        <f t="shared" ref="Y1653:Y1665" si="1460">AK1652/K1653</f>
        <v>0.91450898372983014</v>
      </c>
      <c r="Z1653" s="5">
        <f>IF(J1653="",1,(_xlfn.XLOOKUP(I1653,Goalies!B:B,Goalies!J:J)))</f>
        <v>1.0449999999999999</v>
      </c>
      <c r="AA1653" s="23">
        <f>_xlfn.XLOOKUP(E1653,Injuries!A:A,Injuries!B:B)</f>
        <v>1</v>
      </c>
      <c r="AB1653" s="23">
        <f>_xlfn.XLOOKUP(E1653,Injuries!A:A,Injuries!C:C)</f>
        <v>1.0149999999999999</v>
      </c>
      <c r="AC1653" s="23">
        <f>_xlfn.XLOOKUP(E1653,'Game Adjustments'!A:A,'Game Adjustments'!B:B)</f>
        <v>1</v>
      </c>
      <c r="AD1653" s="23">
        <f>_xlfn.XLOOKUP(E1653,'Game Adjustments'!A:A,'Game Adjustments'!C:C)</f>
        <v>1</v>
      </c>
      <c r="AE1653" s="23">
        <f>IF(D1653="A",_xlfn.XLOOKUP(E1653,'Rest - Home'!F:F,'Rest - Home'!J:J),_xlfn.XLOOKUP(E1653,'Rest - Home'!F:F,'Rest - Home'!I:I))</f>
        <v>1</v>
      </c>
      <c r="AF1653" s="23">
        <f>IF(D1653="A",_xlfn.XLOOKUP(E1653,'Rest - Home'!F:F,'Rest - Home'!L:L),_xlfn.XLOOKUP(E1653,'Rest - Home'!F:F,'Rest - Home'!K:K))</f>
        <v>1</v>
      </c>
      <c r="AG1653" s="26">
        <v>1</v>
      </c>
      <c r="AH1653" s="26">
        <v>1</v>
      </c>
      <c r="AI1653" s="53" cm="1">
        <f t="array" ref="AI1653">MAX(IF($E$63:E1652=E1653,ROW($E$63:E1652)-MIN(ROW($E$63:E1652))+1))</f>
        <v>1541</v>
      </c>
      <c r="AJ1653" s="53" cm="1">
        <f t="array" ref="AJ1653">MAX(IF($I$105:I1652=I1653,ROW($I$105:I1652)-MIN(ROW($I$105:I1652))+1))</f>
        <v>1474</v>
      </c>
      <c r="AK1653" s="23">
        <f>IF(AI1653=0,_xlfn.XLOOKUP(E1653,'Starting GF'!A:A,'Starting GF'!B:B),INDEX($AL$63:$AL1653,AI1653))</f>
        <v>3.3597834286696355</v>
      </c>
      <c r="AL1653" s="23">
        <f t="shared" si="1399"/>
        <v>3.3597834286696355</v>
      </c>
      <c r="AM1653" s="23">
        <f>IF(AI1653=0,_xlfn.XLOOKUP(E1653,'Starting GF'!A:A,'Starting GF'!C:C),INDEX($AN$63:$AN1653,AI1653))</f>
        <v>2.7460200807574955</v>
      </c>
      <c r="AN1653" s="23">
        <f t="shared" si="1400"/>
        <v>2.7460200807574955</v>
      </c>
      <c r="AO1653" s="23">
        <f>IF(AJ1653=0,_xlfn.XLOOKUP(I1653,Goalies!B:B,Goalies!I:I),INDEX($AP$105:$AP1653,AJ1653))</f>
        <v>2.7557745382940673</v>
      </c>
      <c r="AP1653" s="23">
        <f t="shared" si="1401"/>
        <v>2.7557745382940673</v>
      </c>
      <c r="AQ1653" s="23">
        <f t="shared" si="1402"/>
        <v>2.8695909843915826</v>
      </c>
      <c r="AR1653" s="66">
        <v>0.05</v>
      </c>
      <c r="AS1653" s="96" t="s">
        <v>1594</v>
      </c>
      <c r="AT1653" s="20">
        <f t="shared" ref="AT1653:AT1665" si="1461">(AK1653*V1653*X1653*Z1652*AA1653*AB1652*AC1653*AD1652*AG1653*AH1652)+AR1653</f>
        <v>3.8455291783765815</v>
      </c>
      <c r="AU1653" s="20">
        <f t="shared" ref="AU1653:AU1665" si="1462">AT1652</f>
        <v>2.3792312311217136</v>
      </c>
      <c r="AV1653" s="12">
        <f t="shared" ref="AV1653:AV1665" si="1463">AK1653*W1653*X1653*Z1652*AA1653*AB1652</f>
        <v>3.8154412657952017</v>
      </c>
      <c r="AW1653" s="12">
        <f t="shared" ref="AW1653:AW1665" si="1464">AV1652</f>
        <v>2.4292312311217135</v>
      </c>
      <c r="AX1653" s="8">
        <f t="shared" si="1407"/>
        <v>3.8455291783765815</v>
      </c>
      <c r="AY1653" s="8">
        <f t="shared" si="1408"/>
        <v>2.3792312311217136</v>
      </c>
      <c r="AZ1653" s="8">
        <f t="shared" si="1409"/>
        <v>6.2247604094982947</v>
      </c>
      <c r="BA1653" s="8">
        <f t="shared" si="1410"/>
        <v>1.4662979472548678</v>
      </c>
      <c r="BB1653" s="62">
        <f t="shared" si="1411"/>
        <v>-253</v>
      </c>
      <c r="BC1653" s="21">
        <f t="shared" si="1412"/>
        <v>148</v>
      </c>
      <c r="BD1653" s="21">
        <f t="shared" si="1413"/>
        <v>118</v>
      </c>
      <c r="BE1653" s="21">
        <f t="shared" si="1414"/>
        <v>-110</v>
      </c>
      <c r="BF1653" s="94">
        <f t="shared" si="57"/>
        <v>0.71647893565648957</v>
      </c>
      <c r="BG1653" s="22">
        <f t="shared" ref="BG1653:BG1665" si="1465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0.40353883638315624</v>
      </c>
      <c r="BH1653" s="22">
        <f t="shared" ref="BH1653:BH1665" si="1466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0.45839694102525608</v>
      </c>
      <c r="BI1653" s="22">
        <f t="shared" ref="BI1653:BI1665" si="1467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0.52320728498878677</v>
      </c>
      <c r="BJ1653" s="21">
        <f t="shared" si="1416"/>
        <v>-242</v>
      </c>
      <c r="BK1653" s="21">
        <f t="shared" si="1417"/>
        <v>149</v>
      </c>
      <c r="BL1653" s="21">
        <f t="shared" si="1418"/>
        <v>120</v>
      </c>
      <c r="BM1653" s="21">
        <f t="shared" si="1419"/>
        <v>-108</v>
      </c>
      <c r="BN1653" s="22">
        <f t="shared" si="61"/>
        <v>0.70733593959364183</v>
      </c>
      <c r="BO1653" s="22">
        <f t="shared" ref="BO1653:BO1665" si="1468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0.40112003683097319</v>
      </c>
      <c r="BP1653" s="22">
        <f t="shared" ref="BP1653:BP1665" si="1469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0.45494710828299567</v>
      </c>
      <c r="BQ1653" s="22">
        <f t="shared" ref="BQ1653:BQ1665" si="1470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0.5194336416884785</v>
      </c>
      <c r="BR1653">
        <v>3.8</v>
      </c>
      <c r="BS1653">
        <v>5</v>
      </c>
      <c r="BT1653">
        <v>0.34439999999999998</v>
      </c>
      <c r="BU1653">
        <v>0.12561</v>
      </c>
      <c r="BV1653">
        <v>0.134806499388267</v>
      </c>
      <c r="BW1653">
        <v>0.19383</v>
      </c>
    </row>
    <row r="1654" spans="1:75" ht="16.75" customHeight="1" x14ac:dyDescent="0.2">
      <c r="A1654" t="str">
        <f t="shared" si="536"/>
        <v>2025020797 DAL</v>
      </c>
      <c r="B1654">
        <v>2025020797</v>
      </c>
      <c r="C1654" s="1">
        <v>46044</v>
      </c>
      <c r="D1654" s="2" t="s">
        <v>6</v>
      </c>
      <c r="E1654" t="s">
        <v>34</v>
      </c>
      <c r="F1654" s="2">
        <v>1</v>
      </c>
      <c r="G1654" s="2">
        <v>1</v>
      </c>
      <c r="H1654" t="s">
        <v>46</v>
      </c>
      <c r="I1654" t="str">
        <f t="shared" si="1275"/>
        <v>DAL Jake Oettinger</v>
      </c>
      <c r="J1654" s="33" t="s">
        <v>160</v>
      </c>
      <c r="K1654" s="14">
        <v>2.96</v>
      </c>
      <c r="L1654" s="13">
        <v>0.15</v>
      </c>
      <c r="M1654" s="28">
        <v>0.1</v>
      </c>
      <c r="N1654">
        <f>IFERROR(_xlfn.XLOOKUP(A1654,Params!A:A,Params!D:D),0)</f>
        <v>0</v>
      </c>
      <c r="O1654">
        <f t="shared" ref="O1654:O1665" si="1471">N1655</f>
        <v>0</v>
      </c>
      <c r="P1654" s="68">
        <f t="shared" si="1391"/>
        <v>0</v>
      </c>
      <c r="Q1654">
        <f t="shared" ref="Q1654:Q1665" si="1472">P1655</f>
        <v>0</v>
      </c>
      <c r="R1654" s="5">
        <f t="shared" ref="R1654:R1665" si="1473">N1654/W1654/X1654/Z1655/AB1655/AA1654</f>
        <v>0</v>
      </c>
      <c r="S1654" s="5">
        <f t="shared" ref="S1654:S1665" si="1474">O1654/W1655/Y1654/Z1654/AA1655/AB1654</f>
        <v>0</v>
      </c>
      <c r="T1654" s="5">
        <f t="shared" ref="T1654:T1665" si="1475">P1654/W1654/X1654/Z1655/AB1655</f>
        <v>0</v>
      </c>
      <c r="U1654" s="5">
        <f t="shared" ref="U1654:U1665" si="1476">Q1654/W1655/Y1654/Z1654/AA1655</f>
        <v>0</v>
      </c>
      <c r="V1654" s="5">
        <f>_xlfn.XLOOKUP(H1654,'Rest - Home'!A:A,'Rest - Home'!B:B)</f>
        <v>0.95</v>
      </c>
      <c r="W1654" s="5">
        <f>_xlfn.XLOOKUP(H1654,'Rest - Home'!A:A,'Rest - Home'!C:C)</f>
        <v>0.95302926576458757</v>
      </c>
      <c r="X1654" s="5">
        <f t="shared" ref="X1654:X1665" si="1477">AM1655/K1654</f>
        <v>1.0681361395849884</v>
      </c>
      <c r="Y1654" s="5">
        <f t="shared" ref="Y1654:Y1665" si="1478">AK1655/K1654</f>
        <v>1.0282341990654729</v>
      </c>
      <c r="Z1654" s="5">
        <f>IF(J1654="",1,(_xlfn.XLOOKUP(I1654,Goalies!B:B,Goalies!J:J)))</f>
        <v>0.995</v>
      </c>
      <c r="AA1654" s="23">
        <f>_xlfn.XLOOKUP(E1654,Injuries!A:A,Injuries!B:B)</f>
        <v>0.96</v>
      </c>
      <c r="AB1654" s="23">
        <f>_xlfn.XLOOKUP(E1654,Injuries!A:A,Injuries!C:C)</f>
        <v>1</v>
      </c>
      <c r="AC1654" s="23">
        <f>_xlfn.XLOOKUP(E1654,'Game Adjustments'!A:A,'Game Adjustments'!B:B)</f>
        <v>1</v>
      </c>
      <c r="AD1654" s="23">
        <f>_xlfn.XLOOKUP(E1654,'Game Adjustments'!A:A,'Game Adjustments'!C:C)</f>
        <v>1</v>
      </c>
      <c r="AE1654" s="23">
        <f>IF(D1654="A",_xlfn.XLOOKUP(E1654,'Rest - Home'!F:F,'Rest - Home'!J:J),_xlfn.XLOOKUP(E1654,'Rest - Home'!F:F,'Rest - Home'!I:I))</f>
        <v>1</v>
      </c>
      <c r="AF1654" s="23">
        <f>IF(D1654="A",_xlfn.XLOOKUP(E1654,'Rest - Home'!F:F,'Rest - Home'!L:L),_xlfn.XLOOKUP(E1654,'Rest - Home'!F:F,'Rest - Home'!K:K))</f>
        <v>1</v>
      </c>
      <c r="AG1654" s="26">
        <v>1</v>
      </c>
      <c r="AH1654" s="26">
        <v>1</v>
      </c>
      <c r="AI1654" s="53" cm="1">
        <f t="array" ref="AI1654">MAX(IF($E$63:E1653=E1654,ROW($E$63:E1653)-MIN(ROW($E$63:E1653))+1))</f>
        <v>1567</v>
      </c>
      <c r="AJ1654" s="53" cm="1">
        <f t="array" ref="AJ1654">MAX(IF($I$105:I1653=I1654,ROW($I$105:I1653)-MIN(ROW($I$105:I1653))+1))</f>
        <v>1525</v>
      </c>
      <c r="AK1654" s="23">
        <f>IF(AI1654=0,_xlfn.XLOOKUP(E1654,'Starting GF'!A:A,'Starting GF'!B:B),INDEX($AL$63:$AL1654,AI1654))</f>
        <v>3.1219373252973615</v>
      </c>
      <c r="AL1654" s="23">
        <f t="shared" si="1399"/>
        <v>3.1219373252973615</v>
      </c>
      <c r="AM1654" s="23">
        <f>IF(AI1654=0,_xlfn.XLOOKUP(E1654,'Starting GF'!A:A,'Starting GF'!C:C),INDEX($AN$63:$AN1654,AI1654))</f>
        <v>2.8820255965495507</v>
      </c>
      <c r="AN1654" s="23">
        <f t="shared" si="1400"/>
        <v>2.8820255965495507</v>
      </c>
      <c r="AO1654" s="23">
        <f>IF(AJ1654=0,_xlfn.XLOOKUP(I1654,Goalies!B:B,Goalies!I:I),INDEX($AP$105:$AP1654,AJ1654))</f>
        <v>2.8561433519215891</v>
      </c>
      <c r="AP1654" s="23">
        <f t="shared" si="1401"/>
        <v>2.8561433519215891</v>
      </c>
      <c r="AQ1654" s="23">
        <f t="shared" si="1402"/>
        <v>2.8676154685668029</v>
      </c>
      <c r="AR1654" s="66">
        <v>7.0000000000000007E-2</v>
      </c>
      <c r="AS1654" s="96" t="s">
        <v>1593</v>
      </c>
      <c r="AT1654" s="20">
        <f t="shared" ref="AT1654:AT1665" si="1479">(AK1654*V1654*X1654*Z1655*AA1654*AB1655*AC1654*AD1655*AG1654*AH1655)+AR1654</f>
        <v>3.035174410309637</v>
      </c>
      <c r="AU1654" s="20">
        <f t="shared" ref="AU1654:AU1665" si="1480">AT1655</f>
        <v>2.9274087842272878</v>
      </c>
      <c r="AV1654" s="12">
        <f t="shared" ref="AV1654:AV1665" si="1481">AK1654*V1654*X1654*Z1655*AA1654*AB1655</f>
        <v>2.9651744103096371</v>
      </c>
      <c r="AW1654" s="12">
        <f t="shared" ref="AW1654:AW1665" si="1482">AV1655</f>
        <v>3.0007110875492602</v>
      </c>
      <c r="AX1654" s="8">
        <f t="shared" si="1407"/>
        <v>3.035174410309637</v>
      </c>
      <c r="AY1654" s="8">
        <f t="shared" si="1408"/>
        <v>2.9274087842272878</v>
      </c>
      <c r="AZ1654" s="8">
        <f t="shared" si="1409"/>
        <v>5.9625831945369248</v>
      </c>
      <c r="BA1654" s="8">
        <f t="shared" si="1410"/>
        <v>0.10776562608234919</v>
      </c>
      <c r="BB1654" s="62">
        <f t="shared" si="1411"/>
        <v>-110</v>
      </c>
      <c r="BC1654" s="21">
        <f t="shared" si="1412"/>
        <v>-125</v>
      </c>
      <c r="BD1654" s="21">
        <f t="shared" si="1413"/>
        <v>100</v>
      </c>
      <c r="BE1654" s="21">
        <f t="shared" si="1414"/>
        <v>126</v>
      </c>
      <c r="BF1654" s="94">
        <f t="shared" ref="BF1654:BF1665" si="1483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IF(AT1654&gt;AT1655, 1-_xlpm.interp, _xlpm.interp)
)</f>
        <v>0.5230857638962938</v>
      </c>
      <c r="BG1654" s="22">
        <f t="shared" si="550"/>
        <v>0.55607308383426601</v>
      </c>
      <c r="BH1654" s="22">
        <f t="shared" si="550"/>
        <v>0.49889244046250747</v>
      </c>
      <c r="BI1654" s="22">
        <f t="shared" si="550"/>
        <v>0.44196079160408519</v>
      </c>
      <c r="BJ1654" s="21">
        <f t="shared" si="1416"/>
        <v>105</v>
      </c>
      <c r="BK1654" s="21">
        <f t="shared" si="1417"/>
        <v>-126</v>
      </c>
      <c r="BL1654" s="21">
        <f t="shared" si="1418"/>
        <v>-100</v>
      </c>
      <c r="BM1654" s="21">
        <f t="shared" si="1419"/>
        <v>125</v>
      </c>
      <c r="BN1654" s="22">
        <f t="shared" ref="BN1654:BN1665" si="1484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IF(AV1654&gt;AV1655, 1-_xlpm.interp, _xlpm.interp)
)</f>
        <v>0.4869232486510815</v>
      </c>
      <c r="BO1654" s="22">
        <f t="shared" si="552"/>
        <v>0.55743173447262695</v>
      </c>
      <c r="BP1654" s="22">
        <f t="shared" si="552"/>
        <v>0.5007996336141276</v>
      </c>
      <c r="BQ1654" s="22">
        <f t="shared" si="552"/>
        <v>0.44398888747407628</v>
      </c>
      <c r="BR1654">
        <v>3.85</v>
      </c>
      <c r="BS1654">
        <v>3.85</v>
      </c>
      <c r="BT1654">
        <v>0.49769999999999998</v>
      </c>
      <c r="BU1654">
        <v>0.2117</v>
      </c>
      <c r="BV1654">
        <v>0.232499395962835</v>
      </c>
      <c r="BW1654">
        <v>0.30115999999999998</v>
      </c>
    </row>
    <row r="1655" spans="1:75" ht="16.75" customHeight="1" x14ac:dyDescent="0.2">
      <c r="A1655" t="str">
        <f t="shared" si="536"/>
        <v>2025020797 CBJ</v>
      </c>
      <c r="B1655">
        <v>2025020797</v>
      </c>
      <c r="C1655" s="1">
        <v>46044</v>
      </c>
      <c r="D1655" s="2" t="s">
        <v>9</v>
      </c>
      <c r="E1655" t="s">
        <v>32</v>
      </c>
      <c r="F1655" s="2">
        <v>1</v>
      </c>
      <c r="G1655" s="2">
        <v>1</v>
      </c>
      <c r="H1655" t="s">
        <v>47</v>
      </c>
      <c r="I1655" t="str">
        <f t="shared" si="1275"/>
        <v>CBJ Jet Greaves</v>
      </c>
      <c r="J1655" s="33" t="s">
        <v>227</v>
      </c>
      <c r="K1655" s="14">
        <v>2.96</v>
      </c>
      <c r="L1655" s="13">
        <v>0.15</v>
      </c>
      <c r="M1655" s="28">
        <v>0.1</v>
      </c>
      <c r="N1655">
        <f>IFERROR(_xlfn.XLOOKUP(A1655,Params!A:A,Params!D:D),0)</f>
        <v>0</v>
      </c>
      <c r="O1655">
        <f t="shared" ref="O1655:O1665" si="1485">N1654</f>
        <v>0</v>
      </c>
      <c r="P1655" s="68">
        <f t="shared" si="1391"/>
        <v>0</v>
      </c>
      <c r="Q1655">
        <f t="shared" ref="Q1655:Q1665" si="1486">P1654</f>
        <v>0</v>
      </c>
      <c r="R1655" s="5">
        <f t="shared" ref="R1655:R1665" si="1487">N1655/W1655/X1655/Z1654/AB1654/AA1655</f>
        <v>0</v>
      </c>
      <c r="S1655" s="5">
        <f t="shared" ref="S1655:S1665" si="1488">O1655/W1654/Y1655/Z1655/AA1654/AB1655</f>
        <v>0</v>
      </c>
      <c r="T1655" s="5">
        <f t="shared" ref="T1655:T1665" si="1489">P1655/W1655/X1655/Z1654/AB1654</f>
        <v>0</v>
      </c>
      <c r="U1655" s="5">
        <f t="shared" ref="U1655:U1665" si="1490">Q1655/W1654/Y1655/Z1655/AA1654</f>
        <v>0</v>
      </c>
      <c r="V1655" s="5">
        <f>_xlfn.XLOOKUP(H1655,'Rest - Home'!A:A,'Rest - Home'!B:B)</f>
        <v>1.048</v>
      </c>
      <c r="W1655" s="5">
        <f>_xlfn.XLOOKUP(H1655,'Rest - Home'!A:A,'Rest - Home'!C:C)</f>
        <v>1.0491546019013618</v>
      </c>
      <c r="X1655" s="5">
        <f t="shared" ref="X1655:X1665" si="1491">AM1654/K1655</f>
        <v>0.97365729613160501</v>
      </c>
      <c r="Y1655" s="5">
        <f t="shared" ref="Y1655:Y1665" si="1492">AK1654/K1655</f>
        <v>1.0547085558437033</v>
      </c>
      <c r="Z1655" s="5">
        <f>IF(J1655="",1,(_xlfn.XLOOKUP(I1655,Goalies!B:B,Goalies!J:J)))</f>
        <v>0.97499999999999998</v>
      </c>
      <c r="AA1655" s="23">
        <f>_xlfn.XLOOKUP(E1655,Injuries!A:A,Injuries!B:B)</f>
        <v>0.97</v>
      </c>
      <c r="AB1655" s="23">
        <f>_xlfn.XLOOKUP(E1655,Injuries!A:A,Injuries!C:C)</f>
        <v>1</v>
      </c>
      <c r="AC1655" s="23">
        <f>_xlfn.XLOOKUP(E1655,'Game Adjustments'!A:A,'Game Adjustments'!B:B)</f>
        <v>1</v>
      </c>
      <c r="AD1655" s="23">
        <f>_xlfn.XLOOKUP(E1655,'Game Adjustments'!A:A,'Game Adjustments'!C:C)</f>
        <v>1</v>
      </c>
      <c r="AE1655" s="23">
        <f>IF(D1655="A",_xlfn.XLOOKUP(E1655,'Rest - Home'!F:F,'Rest - Home'!J:J),_xlfn.XLOOKUP(E1655,'Rest - Home'!F:F,'Rest - Home'!I:I))</f>
        <v>1</v>
      </c>
      <c r="AF1655" s="23">
        <f>IF(D1655="A",_xlfn.XLOOKUP(E1655,'Rest - Home'!F:F,'Rest - Home'!L:L),_xlfn.XLOOKUP(E1655,'Rest - Home'!F:F,'Rest - Home'!K:K))</f>
        <v>1</v>
      </c>
      <c r="AG1655" s="26">
        <v>1</v>
      </c>
      <c r="AH1655" s="26">
        <v>1</v>
      </c>
      <c r="AI1655" s="53" cm="1">
        <f t="array" ref="AI1655">MAX(IF($E$63:E1654=E1655,ROW($E$63:E1654)-MIN(ROW($E$63:E1654))+1))</f>
        <v>1563</v>
      </c>
      <c r="AJ1655" s="53" cm="1">
        <f t="array" ref="AJ1655">MAX(IF($I$105:I1654=I1655,ROW($I$105:I1654)-MIN(ROW($I$105:I1654))+1))</f>
        <v>1409</v>
      </c>
      <c r="AK1655" s="23">
        <f>IF(AI1655=0,_xlfn.XLOOKUP(E1655,'Starting GF'!A:A,'Starting GF'!B:B),INDEX($AL$63:$AL1655,AI1655))</f>
        <v>3.0435732292337994</v>
      </c>
      <c r="AL1655" s="23">
        <f t="shared" si="1399"/>
        <v>3.0435732292337994</v>
      </c>
      <c r="AM1655" s="23">
        <f>IF(AI1655=0,_xlfn.XLOOKUP(E1655,'Starting GF'!A:A,'Starting GF'!C:C),INDEX($AN$63:$AN1655,AI1655))</f>
        <v>3.1616829731715659</v>
      </c>
      <c r="AN1655" s="23">
        <f t="shared" si="1400"/>
        <v>3.1616829731715659</v>
      </c>
      <c r="AO1655" s="23">
        <f>IF(AJ1655=0,_xlfn.XLOOKUP(I1655,Goalies!B:B,Goalies!I:I),INDEX($AP$105:$AP1655,AJ1655))</f>
        <v>3.1990124583114472</v>
      </c>
      <c r="AP1655" s="23">
        <f t="shared" si="1401"/>
        <v>3.1990124583114472</v>
      </c>
      <c r="AQ1655" s="23">
        <f t="shared" si="1402"/>
        <v>3.0826408988422767</v>
      </c>
      <c r="AR1655" s="66">
        <v>-7.0000000000000007E-2</v>
      </c>
      <c r="AS1655" s="96" t="s">
        <v>1593</v>
      </c>
      <c r="AT1655" s="20">
        <f t="shared" ref="AT1655:AT1665" si="1493">(AK1655*V1655*X1655*Z1654*AA1655*AB1654*AC1655*AD1654*AG1655*AH1654)+AR1655</f>
        <v>2.9274087842272878</v>
      </c>
      <c r="AU1655" s="20">
        <f t="shared" ref="AU1655:AU1665" si="1494">AT1654</f>
        <v>3.035174410309637</v>
      </c>
      <c r="AV1655" s="12">
        <f t="shared" ref="AV1655:AV1665" si="1495">AK1655*W1655*X1655*Z1654*AA1655*AB1654</f>
        <v>3.0007110875492602</v>
      </c>
      <c r="AW1655" s="12">
        <f t="shared" ref="AW1655:AW1665" si="1496">AV1654</f>
        <v>2.9651744103096371</v>
      </c>
      <c r="AX1655" s="8">
        <f t="shared" si="1407"/>
        <v>2.9274087842272878</v>
      </c>
      <c r="AY1655" s="8">
        <f t="shared" si="1408"/>
        <v>3.035174410309637</v>
      </c>
      <c r="AZ1655" s="8">
        <f t="shared" si="1409"/>
        <v>5.9625831945369248</v>
      </c>
      <c r="BA1655" s="8">
        <f t="shared" si="1410"/>
        <v>-0.10776562608234919</v>
      </c>
      <c r="BB1655" s="62">
        <f t="shared" si="1411"/>
        <v>110</v>
      </c>
      <c r="BC1655" s="21">
        <f t="shared" si="1412"/>
        <v>125</v>
      </c>
      <c r="BD1655" s="21">
        <f t="shared" si="1413"/>
        <v>-100</v>
      </c>
      <c r="BE1655" s="21">
        <f t="shared" si="1414"/>
        <v>-126</v>
      </c>
      <c r="BF1655" s="94">
        <f t="shared" si="57"/>
        <v>0.4769142361037062</v>
      </c>
      <c r="BG1655" s="22">
        <f t="shared" ref="BG1655:BG1665" si="1497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0.44392691616573393</v>
      </c>
      <c r="BH1655" s="22">
        <f t="shared" ref="BH1655:BH1665" si="1498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0.50110755953749253</v>
      </c>
      <c r="BI1655" s="22">
        <f t="shared" ref="BI1655:BI1665" si="1499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0.55803920839591481</v>
      </c>
      <c r="BJ1655" s="21">
        <f t="shared" si="1416"/>
        <v>-105</v>
      </c>
      <c r="BK1655" s="21">
        <f t="shared" si="1417"/>
        <v>126</v>
      </c>
      <c r="BL1655" s="21">
        <f t="shared" si="1418"/>
        <v>100</v>
      </c>
      <c r="BM1655" s="21">
        <f t="shared" si="1419"/>
        <v>-125</v>
      </c>
      <c r="BN1655" s="22">
        <f t="shared" si="61"/>
        <v>0.5130767513489185</v>
      </c>
      <c r="BO1655" s="22">
        <f t="shared" ref="BO1655:BO1665" si="1500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0.44256826552737305</v>
      </c>
      <c r="BP1655" s="22">
        <f t="shared" ref="BP1655:BP1665" si="1501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0.49920036638587245</v>
      </c>
      <c r="BQ1655" s="22">
        <f t="shared" ref="BQ1655:BQ1665" si="1502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0.55601111252592372</v>
      </c>
      <c r="BR1655">
        <v>3.85</v>
      </c>
      <c r="BS1655">
        <v>3.9</v>
      </c>
      <c r="BT1655">
        <v>0.48726999999999998</v>
      </c>
      <c r="BU1655">
        <v>0.21264</v>
      </c>
      <c r="BV1655">
        <v>0.23308377818456799</v>
      </c>
      <c r="BW1655">
        <v>0.30035000000000001</v>
      </c>
    </row>
    <row r="1656" spans="1:75" ht="16.75" customHeight="1" x14ac:dyDescent="0.2">
      <c r="A1656" t="str">
        <f t="shared" si="536"/>
        <v>2025020794 VGK</v>
      </c>
      <c r="B1656">
        <v>2025020794</v>
      </c>
      <c r="C1656" s="1">
        <v>46044</v>
      </c>
      <c r="D1656" s="2" t="s">
        <v>6</v>
      </c>
      <c r="E1656" t="s">
        <v>25</v>
      </c>
      <c r="F1656" s="2">
        <v>2</v>
      </c>
      <c r="G1656" s="2">
        <v>1</v>
      </c>
      <c r="H1656" t="s">
        <v>44</v>
      </c>
      <c r="I1656" t="str">
        <f t="shared" si="1275"/>
        <v>VGK Adin Hill</v>
      </c>
      <c r="J1656" s="33" t="s">
        <v>195</v>
      </c>
      <c r="K1656" s="14">
        <v>2.96</v>
      </c>
      <c r="L1656" s="13">
        <v>0.15</v>
      </c>
      <c r="M1656" s="28">
        <v>0.1</v>
      </c>
      <c r="N1656">
        <f>IFERROR(_xlfn.XLOOKUP(A1656,Params!A:A,Params!D:D),0)</f>
        <v>0</v>
      </c>
      <c r="O1656">
        <f t="shared" ref="O1656:O1665" si="1503">N1657</f>
        <v>0</v>
      </c>
      <c r="P1656" s="68">
        <f t="shared" si="1391"/>
        <v>0</v>
      </c>
      <c r="Q1656">
        <f t="shared" ref="Q1656:Q1665" si="1504">P1657</f>
        <v>0</v>
      </c>
      <c r="R1656" s="5">
        <f t="shared" ref="R1656:R1665" si="1505">N1656/W1656/X1656/Z1657/AB1657/AA1656</f>
        <v>0</v>
      </c>
      <c r="S1656" s="5">
        <f t="shared" ref="S1656:S1665" si="1506">O1656/W1657/Y1656/Z1656/AA1657/AB1656</f>
        <v>0</v>
      </c>
      <c r="T1656" s="5">
        <f t="shared" ref="T1656:T1665" si="1507">P1656/W1656/X1656/Z1657/AB1657</f>
        <v>0</v>
      </c>
      <c r="U1656" s="5">
        <f t="shared" ref="U1656:U1665" si="1508">Q1656/W1657/Y1656/Z1656/AA1657</f>
        <v>0</v>
      </c>
      <c r="V1656" s="5">
        <f>_xlfn.XLOOKUP(H1656,'Rest - Home'!A:A,'Rest - Home'!B:B)</f>
        <v>0.96</v>
      </c>
      <c r="W1656" s="5">
        <f>_xlfn.XLOOKUP(H1656,'Rest - Home'!A:A,'Rest - Home'!C:C)</f>
        <v>0.96305398776725637</v>
      </c>
      <c r="X1656" s="5">
        <f t="shared" ref="X1656:X1665" si="1509">AM1657/K1656</f>
        <v>1.0351576820619404</v>
      </c>
      <c r="Y1656" s="5">
        <f t="shared" ref="Y1656:Y1665" si="1510">AK1657/K1656</f>
        <v>0.99050257807159814</v>
      </c>
      <c r="Z1656" s="5">
        <f>IF(J1656="",1,(_xlfn.XLOOKUP(I1656,Goalies!B:B,Goalies!J:J)))</f>
        <v>1</v>
      </c>
      <c r="AA1656" s="23">
        <f>_xlfn.XLOOKUP(E1656,Injuries!A:A,Injuries!B:B)</f>
        <v>0.97499999999999998</v>
      </c>
      <c r="AB1656" s="23">
        <f>_xlfn.XLOOKUP(E1656,Injuries!A:A,Injuries!C:C)</f>
        <v>1.02</v>
      </c>
      <c r="AC1656" s="23">
        <f>_xlfn.XLOOKUP(E1656,'Game Adjustments'!A:A,'Game Adjustments'!B:B)</f>
        <v>1</v>
      </c>
      <c r="AD1656" s="23">
        <f>_xlfn.XLOOKUP(E1656,'Game Adjustments'!A:A,'Game Adjustments'!C:C)</f>
        <v>1</v>
      </c>
      <c r="AE1656" s="23">
        <f>IF(D1656="A",_xlfn.XLOOKUP(E1656,'Rest - Home'!F:F,'Rest - Home'!J:J),_xlfn.XLOOKUP(E1656,'Rest - Home'!F:F,'Rest - Home'!I:I))</f>
        <v>1</v>
      </c>
      <c r="AF1656" s="23">
        <f>IF(D1656="A",_xlfn.XLOOKUP(E1656,'Rest - Home'!F:F,'Rest - Home'!L:L),_xlfn.XLOOKUP(E1656,'Rest - Home'!F:F,'Rest - Home'!K:K))</f>
        <v>1</v>
      </c>
      <c r="AG1656" s="26">
        <v>1</v>
      </c>
      <c r="AH1656" s="26">
        <v>1</v>
      </c>
      <c r="AI1656" s="53" cm="1">
        <f t="array" ref="AI1656">MAX(IF($E$63:E1655=E1656,ROW($E$63:E1655)-MIN(ROW($E$63:E1655))+1))</f>
        <v>1551</v>
      </c>
      <c r="AJ1656" s="53" cm="1">
        <f t="array" ref="AJ1656">MAX(IF($I$105:I1655=I1656,ROW($I$105:I1655)-MIN(ROW($I$105:I1655))+1))</f>
        <v>1509</v>
      </c>
      <c r="AK1656" s="23">
        <f>IF(AI1656=0,_xlfn.XLOOKUP(E1656,'Starting GF'!A:A,'Starting GF'!B:B),INDEX($AL$63:$AL1656,AI1656))</f>
        <v>3.17</v>
      </c>
      <c r="AL1656" s="23">
        <f t="shared" si="1399"/>
        <v>3.17</v>
      </c>
      <c r="AM1656" s="23">
        <f>IF(AI1656=0,_xlfn.XLOOKUP(E1656,'Starting GF'!A:A,'Starting GF'!C:C),INDEX($AN$63:$AN1656,AI1656))</f>
        <v>2.7908734250185327</v>
      </c>
      <c r="AN1656" s="23">
        <f t="shared" si="1400"/>
        <v>2.7908734250185327</v>
      </c>
      <c r="AO1656" s="23">
        <f>IF(AJ1656=0,_xlfn.XLOOKUP(I1656,Goalies!B:B,Goalies!I:I),INDEX($AP$105:$AP1656,AJ1656))</f>
        <v>2.6690163449249975</v>
      </c>
      <c r="AP1656" s="23">
        <f t="shared" si="1401"/>
        <v>2.6690163449249975</v>
      </c>
      <c r="AQ1656" s="23">
        <f t="shared" si="1402"/>
        <v>2.7908734250185327</v>
      </c>
      <c r="AR1656" s="66">
        <v>0.03</v>
      </c>
      <c r="AS1656" s="96" t="s">
        <v>1594</v>
      </c>
      <c r="AT1656" s="20">
        <f t="shared" ref="AT1656:AT1665" si="1511">(AK1656*V1656*X1656*Z1657*AA1656*AB1657*AC1656*AD1657*AG1656*AH1657)+AR1656</f>
        <v>3.0246511350596332</v>
      </c>
      <c r="AU1656" s="20">
        <f t="shared" ref="AU1656:AU1665" si="1512">AT1657</f>
        <v>2.8883425824185349</v>
      </c>
      <c r="AV1656" s="12">
        <f t="shared" ref="AV1656:AV1665" si="1513">AK1656*V1656*X1656*Z1657*AA1656*AB1657</f>
        <v>2.9946511350596334</v>
      </c>
      <c r="AW1656" s="12">
        <f t="shared" ref="AW1656:AW1665" si="1514">AV1657</f>
        <v>2.9125500277819545</v>
      </c>
      <c r="AX1656" s="8">
        <f t="shared" si="1407"/>
        <v>3.0246511350596332</v>
      </c>
      <c r="AY1656" s="8">
        <f t="shared" si="1408"/>
        <v>2.8883425824185349</v>
      </c>
      <c r="AZ1656" s="8">
        <f t="shared" si="1409"/>
        <v>5.9129937174781677</v>
      </c>
      <c r="BA1656" s="8">
        <f t="shared" si="1410"/>
        <v>0.13630855264109831</v>
      </c>
      <c r="BB1656" s="62">
        <f t="shared" si="1411"/>
        <v>-111</v>
      </c>
      <c r="BC1656" s="21">
        <f t="shared" si="1412"/>
        <v>-121</v>
      </c>
      <c r="BD1656" s="21">
        <f t="shared" si="1413"/>
        <v>104</v>
      </c>
      <c r="BE1656" s="21">
        <f t="shared" si="1414"/>
        <v>130</v>
      </c>
      <c r="BF1656" s="94">
        <f t="shared" ref="BF1656:BF1665" si="1515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IF(AT1656&gt;AT1657, 1-_xlpm.interp, _xlpm.interp)
)</f>
        <v>0.52681397465071111</v>
      </c>
      <c r="BG1656" s="22">
        <f t="shared" si="550"/>
        <v>0.54790332707370193</v>
      </c>
      <c r="BH1656" s="22">
        <f t="shared" si="550"/>
        <v>0.4898524688878263</v>
      </c>
      <c r="BI1656" s="22">
        <f t="shared" si="550"/>
        <v>0.434105557835191</v>
      </c>
      <c r="BJ1656" s="21">
        <f t="shared" si="1416"/>
        <v>-108</v>
      </c>
      <c r="BK1656" s="21">
        <f t="shared" si="1417"/>
        <v>-121</v>
      </c>
      <c r="BL1656" s="21">
        <f t="shared" si="1418"/>
        <v>104</v>
      </c>
      <c r="BM1656" s="21">
        <f t="shared" si="1419"/>
        <v>131</v>
      </c>
      <c r="BN1656" s="22">
        <f t="shared" ref="BN1656:BN1665" si="1516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IF(AV1656&gt;AV1657, 1-_xlpm.interp, _xlpm.interp)
)</f>
        <v>0.51893894413488462</v>
      </c>
      <c r="BO1656" s="22">
        <f t="shared" si="552"/>
        <v>0.54696701348885601</v>
      </c>
      <c r="BP1656" s="22">
        <f t="shared" si="552"/>
        <v>0.48917681968170068</v>
      </c>
      <c r="BQ1656" s="22">
        <f t="shared" si="552"/>
        <v>0.43383500837210232</v>
      </c>
      <c r="BR1656">
        <v>3.85</v>
      </c>
      <c r="BS1656">
        <v>3.95</v>
      </c>
      <c r="BT1656">
        <v>0.48131000000000002</v>
      </c>
      <c r="BU1656">
        <v>0.20483999999999999</v>
      </c>
      <c r="BV1656">
        <v>0.22437400048195899</v>
      </c>
      <c r="BW1656">
        <v>0.29189999999999999</v>
      </c>
    </row>
    <row r="1657" spans="1:75" ht="16.75" customHeight="1" x14ac:dyDescent="0.2">
      <c r="A1657" t="str">
        <f t="shared" si="536"/>
        <v>2025020794 BOS</v>
      </c>
      <c r="B1657">
        <v>2025020794</v>
      </c>
      <c r="C1657" s="1">
        <v>46044</v>
      </c>
      <c r="D1657" s="2" t="s">
        <v>9</v>
      </c>
      <c r="E1657" t="s">
        <v>7</v>
      </c>
      <c r="F1657" s="2">
        <v>1</v>
      </c>
      <c r="G1657" s="2">
        <v>2</v>
      </c>
      <c r="H1657" t="s">
        <v>45</v>
      </c>
      <c r="I1657" t="str">
        <f t="shared" si="1275"/>
        <v>BOS Jeremy Swayman</v>
      </c>
      <c r="J1657" s="33" t="s">
        <v>148</v>
      </c>
      <c r="K1657" s="14">
        <v>2.96</v>
      </c>
      <c r="L1657" s="13">
        <v>0.15</v>
      </c>
      <c r="M1657" s="28">
        <v>0.1</v>
      </c>
      <c r="N1657">
        <f>IFERROR(_xlfn.XLOOKUP(A1657,Params!A:A,Params!D:D),0)</f>
        <v>0</v>
      </c>
      <c r="O1657">
        <f t="shared" ref="O1657:O1665" si="1517">N1656</f>
        <v>0</v>
      </c>
      <c r="P1657" s="68">
        <f t="shared" si="1391"/>
        <v>0</v>
      </c>
      <c r="Q1657">
        <f t="shared" ref="Q1657:Q1665" si="1518">P1656</f>
        <v>0</v>
      </c>
      <c r="R1657" s="5">
        <f t="shared" ref="R1657:R1665" si="1519">N1657/W1657/X1657/Z1656/AB1656/AA1657</f>
        <v>0</v>
      </c>
      <c r="S1657" s="5">
        <f t="shared" ref="S1657:S1665" si="1520">O1657/W1656/Y1657/Z1657/AA1656/AB1657</f>
        <v>0</v>
      </c>
      <c r="T1657" s="5">
        <f t="shared" ref="T1657:T1665" si="1521">P1657/W1657/X1657/Z1656/AB1656</f>
        <v>0</v>
      </c>
      <c r="U1657" s="5">
        <f t="shared" ref="U1657:U1665" si="1522">Q1657/W1656/Y1657/Z1657/AA1656</f>
        <v>0</v>
      </c>
      <c r="V1657" s="5">
        <f>_xlfn.XLOOKUP(H1657,'Rest - Home'!A:A,'Rest - Home'!B:B)</f>
        <v>1.0349999999999999</v>
      </c>
      <c r="W1657" s="5">
        <f>_xlfn.XLOOKUP(H1657,'Rest - Home'!A:A,'Rest - Home'!C:C)</f>
        <v>1.0329456510400874</v>
      </c>
      <c r="X1657" s="5">
        <f t="shared" ref="X1657:X1665" si="1523">AM1656/K1657</f>
        <v>0.94286264358734218</v>
      </c>
      <c r="Y1657" s="5">
        <f t="shared" ref="Y1657:Y1665" si="1524">AK1656/K1657</f>
        <v>1.0709459459459458</v>
      </c>
      <c r="Z1657" s="5">
        <f>IF(J1657="",1,(_xlfn.XLOOKUP(I1657,Goalies!B:B,Goalies!J:J)))</f>
        <v>0.97499999999999998</v>
      </c>
      <c r="AA1657" s="23">
        <f>_xlfn.XLOOKUP(E1657,Injuries!A:A,Injuries!B:B)</f>
        <v>1</v>
      </c>
      <c r="AB1657" s="23">
        <f>_xlfn.XLOOKUP(E1657,Injuries!A:A,Injuries!C:C)</f>
        <v>1</v>
      </c>
      <c r="AC1657" s="23">
        <f>_xlfn.XLOOKUP(E1657,'Game Adjustments'!A:A,'Game Adjustments'!B:B)</f>
        <v>1</v>
      </c>
      <c r="AD1657" s="23">
        <f>_xlfn.XLOOKUP(E1657,'Game Adjustments'!A:A,'Game Adjustments'!C:C)</f>
        <v>1</v>
      </c>
      <c r="AE1657" s="23">
        <f>IF(D1657="A",_xlfn.XLOOKUP(E1657,'Rest - Home'!F:F,'Rest - Home'!J:J),_xlfn.XLOOKUP(E1657,'Rest - Home'!F:F,'Rest - Home'!I:I))</f>
        <v>1</v>
      </c>
      <c r="AF1657" s="23">
        <f>IF(D1657="A",_xlfn.XLOOKUP(E1657,'Rest - Home'!F:F,'Rest - Home'!L:L),_xlfn.XLOOKUP(E1657,'Rest - Home'!F:F,'Rest - Home'!K:K))</f>
        <v>1</v>
      </c>
      <c r="AG1657" s="26">
        <v>1</v>
      </c>
      <c r="AH1657" s="26">
        <v>1</v>
      </c>
      <c r="AI1657" s="53" cm="1">
        <f t="array" ref="AI1657">MAX(IF($E$63:E1656=E1657,ROW($E$63:E1656)-MIN(ROW($E$63:E1656))+1))</f>
        <v>1566</v>
      </c>
      <c r="AJ1657" s="53" cm="1">
        <f t="array" ref="AJ1657">MAX(IF($I$105:I1656=I1657,ROW($I$105:I1656)-MIN(ROW($I$105:I1656))+1))</f>
        <v>1524</v>
      </c>
      <c r="AK1657" s="23">
        <f>IF(AI1657=0,_xlfn.XLOOKUP(E1657,'Starting GF'!A:A,'Starting GF'!B:B),INDEX($AL$63:$AL1657,AI1657))</f>
        <v>2.9318876310919304</v>
      </c>
      <c r="AL1657" s="23">
        <f t="shared" si="1399"/>
        <v>2.9318876310919304</v>
      </c>
      <c r="AM1657" s="23">
        <f>IF(AI1657=0,_xlfn.XLOOKUP(E1657,'Starting GF'!A:A,'Starting GF'!C:C),INDEX($AN$63:$AN1657,AI1657))</f>
        <v>3.0640667389033434</v>
      </c>
      <c r="AN1657" s="23">
        <f t="shared" si="1400"/>
        <v>3.0640667389033434</v>
      </c>
      <c r="AO1657" s="23">
        <f>IF(AJ1657=0,_xlfn.XLOOKUP(I1657,Goalies!B:B,Goalies!I:I),INDEX($AP$105:$AP1657,AJ1657))</f>
        <v>3.0951625590564968</v>
      </c>
      <c r="AP1657" s="23">
        <f t="shared" si="1401"/>
        <v>3.0951625590564968</v>
      </c>
      <c r="AQ1657" s="23">
        <f t="shared" si="1402"/>
        <v>2.9874650704307597</v>
      </c>
      <c r="AR1657" s="66">
        <v>-0.03</v>
      </c>
      <c r="AS1657" s="96" t="s">
        <v>1594</v>
      </c>
      <c r="AT1657" s="20">
        <f t="shared" ref="AT1657:AT1665" si="1525">(AK1657*V1657*X1657*Z1656*AA1657*AB1656*AC1657*AD1656*AG1657*AH1656)+AR1657</f>
        <v>2.8883425824185349</v>
      </c>
      <c r="AU1657" s="20">
        <f t="shared" ref="AU1657:AU1665" si="1526">AT1656</f>
        <v>3.0246511350596332</v>
      </c>
      <c r="AV1657" s="12">
        <f t="shared" ref="AV1657:AV1665" si="1527">AK1657*W1657*X1657*Z1656*AA1657*AB1656</f>
        <v>2.9125500277819545</v>
      </c>
      <c r="AW1657" s="12">
        <f t="shared" ref="AW1657:AW1665" si="1528">AV1656</f>
        <v>2.9946511350596334</v>
      </c>
      <c r="AX1657" s="8">
        <f t="shared" si="1407"/>
        <v>2.8883425824185349</v>
      </c>
      <c r="AY1657" s="8">
        <f t="shared" si="1408"/>
        <v>3.0246511350596332</v>
      </c>
      <c r="AZ1657" s="8">
        <f t="shared" si="1409"/>
        <v>5.9129937174781677</v>
      </c>
      <c r="BA1657" s="8">
        <f t="shared" si="1410"/>
        <v>-0.13630855264109831</v>
      </c>
      <c r="BB1657" s="62">
        <f t="shared" si="1411"/>
        <v>111</v>
      </c>
      <c r="BC1657" s="21">
        <f t="shared" si="1412"/>
        <v>121</v>
      </c>
      <c r="BD1657" s="21">
        <f t="shared" si="1413"/>
        <v>-104</v>
      </c>
      <c r="BE1657" s="21">
        <f t="shared" si="1414"/>
        <v>-130</v>
      </c>
      <c r="BF1657" s="94">
        <f t="shared" si="57"/>
        <v>0.47318602534928889</v>
      </c>
      <c r="BG1657" s="22">
        <f t="shared" ref="BG1657:BG1665" si="1529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0.45209667292629813</v>
      </c>
      <c r="BH1657" s="22">
        <f t="shared" ref="BH1657:BH1665" si="1530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0.5101475311121737</v>
      </c>
      <c r="BI1657" s="22">
        <f t="shared" ref="BI1657:BI1665" si="1531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0.565894442164809</v>
      </c>
      <c r="BJ1657" s="21">
        <f t="shared" si="1416"/>
        <v>108</v>
      </c>
      <c r="BK1657" s="21">
        <f t="shared" si="1417"/>
        <v>121</v>
      </c>
      <c r="BL1657" s="21">
        <f t="shared" si="1418"/>
        <v>-104</v>
      </c>
      <c r="BM1657" s="21">
        <f t="shared" si="1419"/>
        <v>-131</v>
      </c>
      <c r="BN1657" s="22">
        <f t="shared" si="61"/>
        <v>0.48106105586511538</v>
      </c>
      <c r="BO1657" s="22">
        <f t="shared" ref="BO1657:BO1665" si="1532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0.45303298651114393</v>
      </c>
      <c r="BP1657" s="22">
        <f t="shared" ref="BP1657:BP1665" si="1533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0.51082318031829932</v>
      </c>
      <c r="BQ1657" s="22">
        <f t="shared" ref="BQ1657:BQ1665" si="1534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0.56616499162789768</v>
      </c>
      <c r="BR1657">
        <v>3.85</v>
      </c>
      <c r="BS1657">
        <v>4</v>
      </c>
      <c r="BT1657">
        <v>0.47467999999999999</v>
      </c>
      <c r="BU1657">
        <v>0.20127999999999999</v>
      </c>
      <c r="BV1657">
        <v>0.22050591032087699</v>
      </c>
      <c r="BW1657">
        <v>0.28847</v>
      </c>
    </row>
    <row r="1658" spans="1:75" ht="16.75" customHeight="1" x14ac:dyDescent="0.2">
      <c r="A1658" t="str">
        <f t="shared" si="536"/>
        <v>2025020799 FLA</v>
      </c>
      <c r="B1658">
        <v>2025020799</v>
      </c>
      <c r="C1658" s="1">
        <v>46044</v>
      </c>
      <c r="D1658" s="2" t="s">
        <v>6</v>
      </c>
      <c r="E1658" t="s">
        <v>10</v>
      </c>
      <c r="F1658" s="2">
        <v>2</v>
      </c>
      <c r="G1658" s="2">
        <v>1</v>
      </c>
      <c r="H1658" t="s">
        <v>44</v>
      </c>
      <c r="I1658" t="str">
        <f t="shared" si="1275"/>
        <v>FLA Sergei Bobrovsky</v>
      </c>
      <c r="J1658" s="33" t="s">
        <v>165</v>
      </c>
      <c r="K1658" s="14">
        <v>2.96</v>
      </c>
      <c r="L1658" s="13">
        <v>0.15</v>
      </c>
      <c r="M1658" s="28">
        <v>0.1</v>
      </c>
      <c r="N1658">
        <f>IFERROR(_xlfn.XLOOKUP(A1658,Params!A:A,Params!D:D),0)</f>
        <v>0</v>
      </c>
      <c r="O1658">
        <f t="shared" ref="O1658:O1665" si="1535">N1659</f>
        <v>0</v>
      </c>
      <c r="P1658" s="68">
        <f t="shared" si="1391"/>
        <v>0</v>
      </c>
      <c r="Q1658">
        <f t="shared" ref="Q1658:Q1665" si="1536">P1659</f>
        <v>0</v>
      </c>
      <c r="R1658" s="5">
        <f t="shared" ref="R1658:R1665" si="1537">N1658/W1658/X1658/Z1659/AB1659/AA1658</f>
        <v>0</v>
      </c>
      <c r="S1658" s="5">
        <f t="shared" ref="S1658:S1665" si="1538">O1658/W1659/Y1658/Z1658/AA1659/AB1658</f>
        <v>0</v>
      </c>
      <c r="T1658" s="5">
        <f t="shared" ref="T1658:T1665" si="1539">P1658/W1658/X1658/Z1659/AB1659</f>
        <v>0</v>
      </c>
      <c r="U1658" s="5">
        <f t="shared" ref="U1658:U1665" si="1540">Q1658/W1659/Y1658/Z1658/AA1659</f>
        <v>0</v>
      </c>
      <c r="V1658" s="5">
        <f>_xlfn.XLOOKUP(H1658,'Rest - Home'!A:A,'Rest - Home'!B:B)</f>
        <v>0.96</v>
      </c>
      <c r="W1658" s="5">
        <f>_xlfn.XLOOKUP(H1658,'Rest - Home'!A:A,'Rest - Home'!C:C)</f>
        <v>0.96305398776725637</v>
      </c>
      <c r="X1658" s="5">
        <f t="shared" ref="X1658:X1665" si="1541">AM1659/K1658</f>
        <v>1.0177987917228775</v>
      </c>
      <c r="Y1658" s="5">
        <f t="shared" ref="Y1658:Y1665" si="1542">AK1659/K1658</f>
        <v>0.96448389667688195</v>
      </c>
      <c r="Z1658" s="5">
        <f>IF(J1658="",1,(_xlfn.XLOOKUP(I1658,Goalies!B:B,Goalies!J:J)))</f>
        <v>0.995</v>
      </c>
      <c r="AA1658" s="23">
        <f>_xlfn.XLOOKUP(E1658,Injuries!A:A,Injuries!B:B)</f>
        <v>0.99</v>
      </c>
      <c r="AB1658" s="23">
        <f>_xlfn.XLOOKUP(E1658,Injuries!A:A,Injuries!C:C)</f>
        <v>1.04</v>
      </c>
      <c r="AC1658" s="23">
        <f>_xlfn.XLOOKUP(E1658,'Game Adjustments'!A:A,'Game Adjustments'!B:B)</f>
        <v>1</v>
      </c>
      <c r="AD1658" s="23">
        <f>_xlfn.XLOOKUP(E1658,'Game Adjustments'!A:A,'Game Adjustments'!C:C)</f>
        <v>1</v>
      </c>
      <c r="AE1658" s="23">
        <f>IF(D1658="A",_xlfn.XLOOKUP(E1658,'Rest - Home'!F:F,'Rest - Home'!J:J),_xlfn.XLOOKUP(E1658,'Rest - Home'!F:F,'Rest - Home'!I:I))</f>
        <v>1</v>
      </c>
      <c r="AF1658" s="23">
        <f>IF(D1658="A",_xlfn.XLOOKUP(E1658,'Rest - Home'!F:F,'Rest - Home'!L:L),_xlfn.XLOOKUP(E1658,'Rest - Home'!F:F,'Rest - Home'!K:K))</f>
        <v>1</v>
      </c>
      <c r="AG1658" s="26">
        <v>1</v>
      </c>
      <c r="AH1658" s="26">
        <v>1</v>
      </c>
      <c r="AI1658" s="53" cm="1">
        <f t="array" ref="AI1658">MAX(IF($E$63:E1657=E1658,ROW($E$63:E1657)-MIN(ROW($E$63:E1657))+1))</f>
        <v>1547</v>
      </c>
      <c r="AJ1658" s="53" cm="1">
        <f t="array" ref="AJ1658">MAX(IF($I$105:I1657=I1658,ROW($I$105:I1657)-MIN(ROW($I$105:I1657))+1))</f>
        <v>1505</v>
      </c>
      <c r="AK1658" s="23">
        <f>IF(AI1658=0,_xlfn.XLOOKUP(E1658,'Starting GF'!A:A,'Starting GF'!B:B),INDEX($AL$63:$AL1658,AI1658))</f>
        <v>3.1123902235436551</v>
      </c>
      <c r="AL1658" s="23">
        <f t="shared" si="1399"/>
        <v>3.1123902235436551</v>
      </c>
      <c r="AM1658" s="23">
        <f>IF(AI1658=0,_xlfn.XLOOKUP(E1658,'Starting GF'!A:A,'Starting GF'!C:C),INDEX($AN$63:$AN1658,AI1658))</f>
        <v>2.8269673052215638</v>
      </c>
      <c r="AN1658" s="23">
        <f t="shared" si="1400"/>
        <v>2.8269673052215638</v>
      </c>
      <c r="AO1658" s="23">
        <f>IF(AJ1658=0,_xlfn.XLOOKUP(I1658,Goalies!B:B,Goalies!I:I),INDEX($AP$105:$AP1658,AJ1658))</f>
        <v>2.7934594054010731</v>
      </c>
      <c r="AP1658" s="23">
        <f t="shared" si="1401"/>
        <v>2.7934594054010731</v>
      </c>
      <c r="AQ1658" s="23">
        <f t="shared" si="1402"/>
        <v>2.812832468695456</v>
      </c>
      <c r="AR1658" s="66">
        <v>0</v>
      </c>
      <c r="AS1658" s="96" t="s">
        <v>1594</v>
      </c>
      <c r="AT1658" s="20">
        <f t="shared" ref="AT1658:AT1665" si="1543">(AK1658*V1658*X1658*Z1659*AA1658*AB1659*AC1658*AD1659*AG1658*AH1659)+AR1658</f>
        <v>2.9633973363116914</v>
      </c>
      <c r="AU1658" s="20">
        <f t="shared" ref="AU1658:AU1665" si="1544">AT1659</f>
        <v>2.9201995958827949</v>
      </c>
      <c r="AV1658" s="12">
        <f t="shared" ref="AV1658:AV1665" si="1545">AK1658*V1658*X1658*Z1659*AA1658*AB1659</f>
        <v>2.9633973363116914</v>
      </c>
      <c r="AW1658" s="12">
        <f t="shared" ref="AW1658:AW1665" si="1546">AV1659</f>
        <v>2.9144033553006317</v>
      </c>
      <c r="AX1658" s="8">
        <f t="shared" si="1407"/>
        <v>2.9633973363116914</v>
      </c>
      <c r="AY1658" s="8">
        <f t="shared" si="1408"/>
        <v>2.9201995958827949</v>
      </c>
      <c r="AZ1658" s="8">
        <f t="shared" si="1409"/>
        <v>5.8835969321944859</v>
      </c>
      <c r="BA1658" s="8">
        <f t="shared" si="1410"/>
        <v>4.3197740428896569E-2</v>
      </c>
      <c r="BB1658" s="62">
        <f t="shared" si="1411"/>
        <v>-105</v>
      </c>
      <c r="BC1658" s="21">
        <f t="shared" si="1412"/>
        <v>-119</v>
      </c>
      <c r="BD1658" s="21">
        <f t="shared" si="1413"/>
        <v>106</v>
      </c>
      <c r="BE1658" s="21">
        <f t="shared" si="1414"/>
        <v>133</v>
      </c>
      <c r="BF1658" s="94">
        <f t="shared" ref="BF1658:BF1665" si="1547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IF(AT1658&gt;AT1659, 1-_xlpm.interp, _xlpm.interp)
)</f>
        <v>0.51200721224790602</v>
      </c>
      <c r="BG1658" s="22">
        <f t="shared" si="550"/>
        <v>0.54289140048026141</v>
      </c>
      <c r="BH1658" s="22">
        <f t="shared" si="550"/>
        <v>0.48470434306746424</v>
      </c>
      <c r="BI1658" s="22">
        <f t="shared" si="550"/>
        <v>0.42998360440898309</v>
      </c>
      <c r="BJ1658" s="21">
        <f t="shared" si="1416"/>
        <v>-105</v>
      </c>
      <c r="BK1658" s="21">
        <f t="shared" si="1417"/>
        <v>-118</v>
      </c>
      <c r="BL1658" s="21">
        <f t="shared" si="1418"/>
        <v>107</v>
      </c>
      <c r="BM1658" s="21">
        <f t="shared" si="1419"/>
        <v>133</v>
      </c>
      <c r="BN1658" s="22">
        <f t="shared" ref="BN1658:BN1665" si="1548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IF(AV1658&gt;AV1659, 1-_xlpm.interp, _xlpm.interp)
)</f>
        <v>0.51280354210887502</v>
      </c>
      <c r="BO1658" s="22">
        <f t="shared" si="552"/>
        <v>0.54197142771099893</v>
      </c>
      <c r="BP1658" s="22">
        <f t="shared" si="552"/>
        <v>0.48348140125551597</v>
      </c>
      <c r="BQ1658" s="22">
        <f t="shared" si="552"/>
        <v>0.42874447465360777</v>
      </c>
      <c r="BR1658">
        <v>3.85</v>
      </c>
      <c r="BS1658">
        <v>4.05</v>
      </c>
      <c r="BT1658">
        <v>0.46597</v>
      </c>
      <c r="BU1658">
        <v>0.19550999999999999</v>
      </c>
      <c r="BV1658">
        <v>0.213606765142907</v>
      </c>
      <c r="BW1658">
        <v>0.28022999999999998</v>
      </c>
    </row>
    <row r="1659" spans="1:75" ht="16.75" customHeight="1" x14ac:dyDescent="0.2">
      <c r="A1659" t="str">
        <f t="shared" si="536"/>
        <v>2025020799 WPG</v>
      </c>
      <c r="B1659">
        <v>2025020799</v>
      </c>
      <c r="C1659" s="1">
        <v>46044</v>
      </c>
      <c r="D1659" s="2" t="s">
        <v>9</v>
      </c>
      <c r="E1659" t="s">
        <v>16</v>
      </c>
      <c r="F1659" s="2">
        <v>1</v>
      </c>
      <c r="G1659" s="2">
        <v>2</v>
      </c>
      <c r="H1659" t="s">
        <v>45</v>
      </c>
      <c r="I1659" t="str">
        <f t="shared" si="1275"/>
        <v>WPG Connor Hellebuyck</v>
      </c>
      <c r="J1659" s="33" t="s">
        <v>199</v>
      </c>
      <c r="K1659" s="14">
        <v>2.96</v>
      </c>
      <c r="L1659" s="13">
        <v>0.15</v>
      </c>
      <c r="M1659" s="28">
        <v>0.1</v>
      </c>
      <c r="N1659">
        <f>IFERROR(_xlfn.XLOOKUP(A1659,Params!A:A,Params!D:D),0)</f>
        <v>0</v>
      </c>
      <c r="O1659">
        <f t="shared" ref="O1659:O1665" si="1549">N1658</f>
        <v>0</v>
      </c>
      <c r="P1659" s="68">
        <f t="shared" si="1391"/>
        <v>0</v>
      </c>
      <c r="Q1659">
        <f t="shared" ref="Q1659:Q1665" si="1550">P1658</f>
        <v>0</v>
      </c>
      <c r="R1659" s="5">
        <f t="shared" ref="R1659:R1665" si="1551">N1659/W1659/X1659/Z1658/AB1658/AA1659</f>
        <v>0</v>
      </c>
      <c r="S1659" s="5">
        <f t="shared" ref="S1659:S1665" si="1552">O1659/W1658/Y1659/Z1659/AA1658/AB1659</f>
        <v>0</v>
      </c>
      <c r="T1659" s="5">
        <f t="shared" ref="T1659:T1665" si="1553">P1659/W1659/X1659/Z1658/AB1658</f>
        <v>0</v>
      </c>
      <c r="U1659" s="5">
        <f t="shared" ref="U1659:U1665" si="1554">Q1659/W1658/Y1659/Z1659/AA1658</f>
        <v>0</v>
      </c>
      <c r="V1659" s="5">
        <f>_xlfn.XLOOKUP(H1659,'Rest - Home'!A:A,'Rest - Home'!B:B)</f>
        <v>1.0349999999999999</v>
      </c>
      <c r="W1659" s="5">
        <f>_xlfn.XLOOKUP(H1659,'Rest - Home'!A:A,'Rest - Home'!C:C)</f>
        <v>1.0329456510400874</v>
      </c>
      <c r="X1659" s="5">
        <f t="shared" ref="X1659:X1665" si="1555">AM1658/K1659</f>
        <v>0.95505652203431213</v>
      </c>
      <c r="Y1659" s="5">
        <f t="shared" ref="Y1659:Y1665" si="1556">AK1658/K1659</f>
        <v>1.0514831836296132</v>
      </c>
      <c r="Z1659" s="5">
        <f>IF(J1659="",1,(_xlfn.XLOOKUP(I1659,Goalies!B:B,Goalies!J:J)))</f>
        <v>0.96499999999999997</v>
      </c>
      <c r="AA1659" s="23">
        <f>_xlfn.XLOOKUP(E1659,Injuries!A:A,Injuries!B:B)</f>
        <v>1</v>
      </c>
      <c r="AB1659" s="23">
        <f>_xlfn.XLOOKUP(E1659,Injuries!A:A,Injuries!C:C)</f>
        <v>1.02</v>
      </c>
      <c r="AC1659" s="23">
        <f>_xlfn.XLOOKUP(E1659,'Game Adjustments'!A:A,'Game Adjustments'!B:B)</f>
        <v>1</v>
      </c>
      <c r="AD1659" s="23">
        <f>_xlfn.XLOOKUP(E1659,'Game Adjustments'!A:A,'Game Adjustments'!C:C)</f>
        <v>1</v>
      </c>
      <c r="AE1659" s="23">
        <f>IF(D1659="A",_xlfn.XLOOKUP(E1659,'Rest - Home'!F:F,'Rest - Home'!J:J),_xlfn.XLOOKUP(E1659,'Rest - Home'!F:F,'Rest - Home'!I:I))</f>
        <v>1</v>
      </c>
      <c r="AF1659" s="23">
        <f>IF(D1659="A",_xlfn.XLOOKUP(E1659,'Rest - Home'!F:F,'Rest - Home'!L:L),_xlfn.XLOOKUP(E1659,'Rest - Home'!F:F,'Rest - Home'!K:K))</f>
        <v>1</v>
      </c>
      <c r="AG1659" s="26">
        <v>1</v>
      </c>
      <c r="AH1659" s="26">
        <v>1</v>
      </c>
      <c r="AI1659" s="53" cm="1">
        <f t="array" ref="AI1659">MAX(IF($E$63:E1658=E1659,ROW($E$63:E1658)-MIN(ROW($E$63:E1658))+1))</f>
        <v>1571</v>
      </c>
      <c r="AJ1659" s="53" cm="1">
        <f t="array" ref="AJ1659">MAX(IF($I$105:I1658=I1659,ROW($I$105:I1658)-MIN(ROW($I$105:I1658))+1))</f>
        <v>1510</v>
      </c>
      <c r="AK1659" s="23">
        <f>IF(AI1659=0,_xlfn.XLOOKUP(E1659,'Starting GF'!A:A,'Starting GF'!B:B),INDEX($AL$63:$AL1659,AI1659))</f>
        <v>2.8548723341635704</v>
      </c>
      <c r="AL1659" s="23">
        <f t="shared" si="1399"/>
        <v>2.8548723341635704</v>
      </c>
      <c r="AM1659" s="23">
        <f>IF(AI1659=0,_xlfn.XLOOKUP(E1659,'Starting GF'!A:A,'Starting GF'!C:C),INDEX($AN$63:$AN1659,AI1659))</f>
        <v>3.0126844234997172</v>
      </c>
      <c r="AN1659" s="23">
        <f t="shared" si="1400"/>
        <v>3.0126844234997172</v>
      </c>
      <c r="AO1659" s="23">
        <f>IF(AJ1659=0,_xlfn.XLOOKUP(I1659,Goalies!B:B,Goalies!I:I),INDEX($AP$105:$AP1659,AJ1659))</f>
        <v>2.8973384908072388</v>
      </c>
      <c r="AP1659" s="23">
        <f t="shared" si="1401"/>
        <v>2.8973384908072388</v>
      </c>
      <c r="AQ1659" s="23">
        <f t="shared" si="1402"/>
        <v>2.9072404686772271</v>
      </c>
      <c r="AR1659" s="66">
        <v>0</v>
      </c>
      <c r="AS1659" s="96" t="s">
        <v>1594</v>
      </c>
      <c r="AT1659" s="20">
        <f t="shared" ref="AT1659:AT1665" si="1557">(AK1659*V1659*X1659*Z1658*AA1659*AB1658*AC1659*AD1658*AG1659*AH1658)+AR1659</f>
        <v>2.9201995958827949</v>
      </c>
      <c r="AU1659" s="20">
        <f t="shared" ref="AU1659:AU1665" si="1558">AT1658</f>
        <v>2.9633973363116914</v>
      </c>
      <c r="AV1659" s="12">
        <f t="shared" ref="AV1659:AV1665" si="1559">AK1659*W1659*X1659*Z1658*AA1659*AB1658</f>
        <v>2.9144033553006317</v>
      </c>
      <c r="AW1659" s="12">
        <f t="shared" ref="AW1659:AW1665" si="1560">AV1658</f>
        <v>2.9633973363116914</v>
      </c>
      <c r="AX1659" s="8">
        <f t="shared" si="1407"/>
        <v>2.9201995958827949</v>
      </c>
      <c r="AY1659" s="8">
        <f t="shared" si="1408"/>
        <v>2.9633973363116914</v>
      </c>
      <c r="AZ1659" s="8">
        <f t="shared" si="1409"/>
        <v>5.8835969321944859</v>
      </c>
      <c r="BA1659" s="8">
        <f t="shared" si="1410"/>
        <v>-4.3197740428896569E-2</v>
      </c>
      <c r="BB1659" s="62">
        <f t="shared" si="1411"/>
        <v>105</v>
      </c>
      <c r="BC1659" s="21">
        <f t="shared" si="1412"/>
        <v>119</v>
      </c>
      <c r="BD1659" s="21">
        <f t="shared" si="1413"/>
        <v>-106</v>
      </c>
      <c r="BE1659" s="21">
        <f t="shared" si="1414"/>
        <v>-133</v>
      </c>
      <c r="BF1659" s="94">
        <f t="shared" si="57"/>
        <v>0.48799278775209398</v>
      </c>
      <c r="BG1659" s="22">
        <f t="shared" ref="BG1659:BG1665" si="1561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0.45710859951973859</v>
      </c>
      <c r="BH1659" s="22">
        <f t="shared" ref="BH1659:BH1665" si="1562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0.51529565693253576</v>
      </c>
      <c r="BI1659" s="22">
        <f t="shared" ref="BI1659:BI1665" si="1563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0.57001639559101691</v>
      </c>
      <c r="BJ1659" s="21">
        <f t="shared" si="1416"/>
        <v>105</v>
      </c>
      <c r="BK1659" s="21">
        <f t="shared" si="1417"/>
        <v>118</v>
      </c>
      <c r="BL1659" s="21">
        <f t="shared" si="1418"/>
        <v>-107</v>
      </c>
      <c r="BM1659" s="21">
        <f t="shared" si="1419"/>
        <v>-133</v>
      </c>
      <c r="BN1659" s="22">
        <f t="shared" si="61"/>
        <v>0.48719645789112498</v>
      </c>
      <c r="BO1659" s="22">
        <f t="shared" ref="BO1659:BO1665" si="1564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0.45802857228900107</v>
      </c>
      <c r="BP1659" s="22">
        <f t="shared" ref="BP1659:BP1665" si="1565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0.51651859874448403</v>
      </c>
      <c r="BQ1659" s="22">
        <f t="shared" ref="BQ1659:BQ1665" si="1566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0.57125552534639223</v>
      </c>
      <c r="BR1659">
        <v>3.85</v>
      </c>
      <c r="BS1659">
        <v>4.0999999999999996</v>
      </c>
      <c r="BT1659">
        <v>0.46</v>
      </c>
      <c r="BU1659">
        <v>0.18984000000000001</v>
      </c>
      <c r="BV1659">
        <v>0.207577497129735</v>
      </c>
      <c r="BW1659">
        <v>0.27528999999999998</v>
      </c>
    </row>
    <row r="1660" spans="1:75" ht="16.75" customHeight="1" x14ac:dyDescent="0.2">
      <c r="A1660" t="str">
        <f t="shared" si="536"/>
        <v>2025020798 OTT</v>
      </c>
      <c r="B1660">
        <v>2025020798</v>
      </c>
      <c r="C1660" s="1">
        <v>46044</v>
      </c>
      <c r="D1660" s="2" t="s">
        <v>6</v>
      </c>
      <c r="E1660" t="s">
        <v>39</v>
      </c>
      <c r="F1660" s="2">
        <v>1</v>
      </c>
      <c r="G1660" s="2">
        <v>1</v>
      </c>
      <c r="H1660" t="s">
        <v>46</v>
      </c>
      <c r="I1660" t="str">
        <f t="shared" si="1275"/>
        <v>OTT James Reimer</v>
      </c>
      <c r="J1660" s="33" t="s">
        <v>1950</v>
      </c>
      <c r="K1660" s="14">
        <v>2.96</v>
      </c>
      <c r="L1660" s="13">
        <v>0.15</v>
      </c>
      <c r="M1660" s="28">
        <v>0.1</v>
      </c>
      <c r="N1660">
        <f>IFERROR(_xlfn.XLOOKUP(A1660,Params!A:A,Params!D:D),0)</f>
        <v>0</v>
      </c>
      <c r="O1660">
        <f t="shared" ref="O1660:O1665" si="1567">N1661</f>
        <v>0</v>
      </c>
      <c r="P1660" s="68">
        <f t="shared" si="1391"/>
        <v>0</v>
      </c>
      <c r="Q1660">
        <f t="shared" ref="Q1660:Q1665" si="1568">P1661</f>
        <v>0</v>
      </c>
      <c r="R1660" s="5">
        <f t="shared" ref="R1660:R1665" si="1569">N1660/W1660/X1660/Z1661/AB1661/AA1660</f>
        <v>0</v>
      </c>
      <c r="S1660" s="5">
        <f t="shared" ref="S1660:S1665" si="1570">O1660/W1661/Y1660/Z1660/AA1661/AB1660</f>
        <v>0</v>
      </c>
      <c r="T1660" s="5">
        <f t="shared" ref="T1660:T1665" si="1571">P1660/W1660/X1660/Z1661/AB1661</f>
        <v>0</v>
      </c>
      <c r="U1660" s="5">
        <f t="shared" ref="U1660:U1665" si="1572">Q1660/W1661/Y1660/Z1660/AA1661</f>
        <v>0</v>
      </c>
      <c r="V1660" s="5">
        <f>_xlfn.XLOOKUP(H1660,'Rest - Home'!A:A,'Rest - Home'!B:B)</f>
        <v>0.95</v>
      </c>
      <c r="W1660" s="5">
        <f>_xlfn.XLOOKUP(H1660,'Rest - Home'!A:A,'Rest - Home'!C:C)</f>
        <v>0.95302926576458757</v>
      </c>
      <c r="X1660" s="5">
        <f t="shared" ref="X1660:X1665" si="1573">AM1661/K1660</f>
        <v>1.0575721735011236</v>
      </c>
      <c r="Y1660" s="5">
        <f t="shared" ref="Y1660:Y1665" si="1574">AK1661/K1660</f>
        <v>0.96023824573561167</v>
      </c>
      <c r="Z1660" s="5">
        <f>IF(J1660="",1,(_xlfn.XLOOKUP(I1660,Goalies!B:B,Goalies!J:J)))</f>
        <v>1.02</v>
      </c>
      <c r="AA1660" s="23">
        <f>_xlfn.XLOOKUP(E1660,Injuries!A:A,Injuries!B:B)</f>
        <v>1</v>
      </c>
      <c r="AB1660" s="23">
        <f>_xlfn.XLOOKUP(E1660,Injuries!A:A,Injuries!C:C)</f>
        <v>1</v>
      </c>
      <c r="AC1660" s="23">
        <f>_xlfn.XLOOKUP(E1660,'Game Adjustments'!A:A,'Game Adjustments'!B:B)</f>
        <v>1</v>
      </c>
      <c r="AD1660" s="23">
        <f>_xlfn.XLOOKUP(E1660,'Game Adjustments'!A:A,'Game Adjustments'!C:C)</f>
        <v>1</v>
      </c>
      <c r="AE1660" s="23">
        <f>IF(D1660="A",_xlfn.XLOOKUP(E1660,'Rest - Home'!F:F,'Rest - Home'!J:J),_xlfn.XLOOKUP(E1660,'Rest - Home'!F:F,'Rest - Home'!I:I))</f>
        <v>1</v>
      </c>
      <c r="AF1660" s="23">
        <f>IF(D1660="A",_xlfn.XLOOKUP(E1660,'Rest - Home'!F:F,'Rest - Home'!L:L),_xlfn.XLOOKUP(E1660,'Rest - Home'!F:F,'Rest - Home'!K:K))</f>
        <v>1</v>
      </c>
      <c r="AG1660" s="26">
        <v>1</v>
      </c>
      <c r="AH1660" s="26">
        <v>1</v>
      </c>
      <c r="AI1660" s="53" cm="1">
        <f t="array" ref="AI1660">MAX(IF($E$63:E1659=E1660,ROW($E$63:E1659)-MIN(ROW($E$63:E1659))+1))</f>
        <v>1562</v>
      </c>
      <c r="AJ1660" s="53" cm="1">
        <f t="array" ref="AJ1660">MAX(IF($I$105:I1659=I1660,ROW($I$105:I1659)-MIN(ROW($I$105:I1659))+1))</f>
        <v>1520</v>
      </c>
      <c r="AK1660" s="23">
        <f>IF(AI1660=0,_xlfn.XLOOKUP(E1660,'Starting GF'!A:A,'Starting GF'!B:B),INDEX($AL$63:$AL1660,AI1660))</f>
        <v>3.0653333431398884</v>
      </c>
      <c r="AL1660" s="23">
        <f t="shared" si="1399"/>
        <v>3.0653333431398884</v>
      </c>
      <c r="AM1660" s="23">
        <f>IF(AI1660=0,_xlfn.XLOOKUP(E1660,'Starting GF'!A:A,'Starting GF'!C:C),INDEX($AN$63:$AN1660,AI1660))</f>
        <v>3.094847414579732</v>
      </c>
      <c r="AN1660" s="23">
        <f t="shared" si="1400"/>
        <v>3.094847414579732</v>
      </c>
      <c r="AO1660" s="23">
        <f>IF(AJ1660=0,_xlfn.XLOOKUP(I1660,Goalies!B:B,Goalies!I:I),INDEX($AP$105:$AP1660,AJ1660))</f>
        <v>3.0752241038499628</v>
      </c>
      <c r="AP1660" s="23">
        <f t="shared" si="1401"/>
        <v>3.0752241038499628</v>
      </c>
      <c r="AQ1660" s="23">
        <f t="shared" si="1402"/>
        <v>3.1567443628713265</v>
      </c>
      <c r="AR1660" s="66">
        <v>0</v>
      </c>
      <c r="AS1660" s="96" t="s">
        <v>1594</v>
      </c>
      <c r="AT1660" s="20">
        <f t="shared" ref="AT1660:AT1665" si="1575">(AK1660*V1660*X1660*Z1661*AA1660*AB1661*AC1660*AD1661*AG1660*AH1661)+AR1660</f>
        <v>3.0518222580063985</v>
      </c>
      <c r="AU1660" s="20">
        <f t="shared" ref="AU1660:AU1665" si="1576">AT1661</f>
        <v>3.1767255493628324</v>
      </c>
      <c r="AV1660" s="12">
        <f t="shared" ref="AV1660:AV1665" si="1577">AK1660*V1660*X1660*Z1661*AA1660*AB1661</f>
        <v>3.0518222580063985</v>
      </c>
      <c r="AW1660" s="12">
        <f t="shared" ref="AW1660:AW1665" si="1578">AV1661</f>
        <v>3.1802254094385942</v>
      </c>
      <c r="AX1660" s="8">
        <f t="shared" si="1407"/>
        <v>3.0518222580063985</v>
      </c>
      <c r="AY1660" s="8">
        <f t="shared" si="1408"/>
        <v>3.1767255493628324</v>
      </c>
      <c r="AZ1660" s="8">
        <f t="shared" si="1409"/>
        <v>6.2285478073692309</v>
      </c>
      <c r="BA1660" s="8">
        <f t="shared" si="1410"/>
        <v>-0.12490329135643385</v>
      </c>
      <c r="BB1660" s="62">
        <f t="shared" si="1411"/>
        <v>110</v>
      </c>
      <c r="BC1660" s="21">
        <f t="shared" si="1412"/>
        <v>-148</v>
      </c>
      <c r="BD1660" s="21">
        <f t="shared" si="1413"/>
        <v>-120</v>
      </c>
      <c r="BE1660" s="21">
        <f t="shared" si="1414"/>
        <v>107</v>
      </c>
      <c r="BF1660" s="94">
        <f t="shared" ref="BF1660:BF1665" si="1579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IF(AT1660&gt;AT1661, 1-_xlpm.interp, _xlpm.interp)
)</f>
        <v>0.47694697321014212</v>
      </c>
      <c r="BG1660" s="22">
        <f t="shared" si="550"/>
        <v>0.59608170757157231</v>
      </c>
      <c r="BH1660" s="22">
        <f t="shared" si="550"/>
        <v>0.54508458721031183</v>
      </c>
      <c r="BI1660" s="22">
        <f t="shared" si="550"/>
        <v>0.48397582443301379</v>
      </c>
      <c r="BJ1660" s="21">
        <f t="shared" si="1416"/>
        <v>110</v>
      </c>
      <c r="BK1660" s="21">
        <f t="shared" si="1417"/>
        <v>-148</v>
      </c>
      <c r="BL1660" s="21">
        <f t="shared" si="1418"/>
        <v>-120</v>
      </c>
      <c r="BM1660" s="21">
        <f t="shared" si="1419"/>
        <v>106</v>
      </c>
      <c r="BN1660" s="22">
        <f t="shared" ref="BN1660:BN1665" si="1580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IF(AV1660&gt;AV1661, 1-_xlpm.interp, _xlpm.interp)
)</f>
        <v>0.47657248995244361</v>
      </c>
      <c r="BO1660" s="22">
        <f t="shared" si="552"/>
        <v>0.59655848878585171</v>
      </c>
      <c r="BP1660" s="22">
        <f t="shared" si="552"/>
        <v>0.54558252337407009</v>
      </c>
      <c r="BQ1660" s="22">
        <f t="shared" si="552"/>
        <v>0.48437657008064228</v>
      </c>
      <c r="BR1660">
        <v>3.85</v>
      </c>
      <c r="BS1660">
        <v>4.1500000000000004</v>
      </c>
      <c r="BT1660">
        <v>0.45776</v>
      </c>
      <c r="BU1660">
        <v>0.18567</v>
      </c>
      <c r="BV1660">
        <v>0.20238056309473201</v>
      </c>
      <c r="BW1660">
        <v>0.26823999999999998</v>
      </c>
    </row>
    <row r="1661" spans="1:75" ht="16.75" customHeight="1" x14ac:dyDescent="0.2">
      <c r="A1661" t="str">
        <f t="shared" si="536"/>
        <v>2025020798 NSH</v>
      </c>
      <c r="B1661">
        <v>2025020798</v>
      </c>
      <c r="C1661" s="1">
        <v>46044</v>
      </c>
      <c r="D1661" s="2" t="s">
        <v>9</v>
      </c>
      <c r="E1661" t="s">
        <v>35</v>
      </c>
      <c r="F1661" s="2">
        <v>1</v>
      </c>
      <c r="G1661" s="2">
        <v>1</v>
      </c>
      <c r="H1661" t="s">
        <v>47</v>
      </c>
      <c r="I1661" t="str">
        <f t="shared" si="1275"/>
        <v>NSH Juuse Saros</v>
      </c>
      <c r="J1661" s="33" t="s">
        <v>172</v>
      </c>
      <c r="K1661" s="14">
        <v>2.96</v>
      </c>
      <c r="L1661" s="13">
        <v>0.15</v>
      </c>
      <c r="M1661" s="28">
        <v>0.1</v>
      </c>
      <c r="N1661">
        <f>IFERROR(_xlfn.XLOOKUP(A1661,Params!A:A,Params!D:D),0)</f>
        <v>0</v>
      </c>
      <c r="O1661">
        <f t="shared" ref="O1661:O1665" si="1581">N1660</f>
        <v>0</v>
      </c>
      <c r="P1661" s="68">
        <f t="shared" si="1391"/>
        <v>0</v>
      </c>
      <c r="Q1661">
        <f t="shared" ref="Q1661:Q1665" si="1582">P1660</f>
        <v>0</v>
      </c>
      <c r="R1661" s="5">
        <f t="shared" ref="R1661:R1665" si="1583">N1661/W1661/X1661/Z1660/AB1660/AA1661</f>
        <v>0</v>
      </c>
      <c r="S1661" s="5">
        <f t="shared" ref="S1661:S1665" si="1584">O1661/W1660/Y1661/Z1661/AA1660/AB1661</f>
        <v>0</v>
      </c>
      <c r="T1661" s="5">
        <f t="shared" ref="T1661:T1665" si="1585">P1661/W1661/X1661/Z1660/AB1660</f>
        <v>0</v>
      </c>
      <c r="U1661" s="5">
        <f t="shared" ref="U1661:U1665" si="1586">Q1661/W1660/Y1661/Z1661/AA1660</f>
        <v>0</v>
      </c>
      <c r="V1661" s="5">
        <f>_xlfn.XLOOKUP(H1661,'Rest - Home'!A:A,'Rest - Home'!B:B)</f>
        <v>1.048</v>
      </c>
      <c r="W1661" s="5">
        <f>_xlfn.XLOOKUP(H1661,'Rest - Home'!A:A,'Rest - Home'!C:C)</f>
        <v>1.0491546019013618</v>
      </c>
      <c r="X1661" s="5">
        <f t="shared" ref="X1661:X1665" si="1587">AM1660/K1661</f>
        <v>1.0455565589796392</v>
      </c>
      <c r="Y1661" s="5">
        <f t="shared" ref="Y1661:Y1665" si="1588">AK1660/K1661</f>
        <v>1.035585588898611</v>
      </c>
      <c r="Z1661" s="5">
        <f>IF(J1661="",1,(_xlfn.XLOOKUP(I1661,Goalies!B:B,Goalies!J:J)))</f>
        <v>0.99094124800379646</v>
      </c>
      <c r="AA1661" s="23">
        <f>_xlfn.XLOOKUP(E1661,Injuries!A:A,Injuries!B:B)</f>
        <v>1</v>
      </c>
      <c r="AB1661" s="23">
        <f>_xlfn.XLOOKUP(E1661,Injuries!A:A,Injuries!C:C)</f>
        <v>1</v>
      </c>
      <c r="AC1661" s="23">
        <f>_xlfn.XLOOKUP(E1661,'Game Adjustments'!A:A,'Game Adjustments'!B:B)</f>
        <v>1</v>
      </c>
      <c r="AD1661" s="23">
        <f>_xlfn.XLOOKUP(E1661,'Game Adjustments'!A:A,'Game Adjustments'!C:C)</f>
        <v>1</v>
      </c>
      <c r="AE1661" s="23">
        <f>IF(D1661="A",_xlfn.XLOOKUP(E1661,'Rest - Home'!F:F,'Rest - Home'!J:J),_xlfn.XLOOKUP(E1661,'Rest - Home'!F:F,'Rest - Home'!I:I))</f>
        <v>1</v>
      </c>
      <c r="AF1661" s="23">
        <f>IF(D1661="A",_xlfn.XLOOKUP(E1661,'Rest - Home'!F:F,'Rest - Home'!L:L),_xlfn.XLOOKUP(E1661,'Rest - Home'!F:F,'Rest - Home'!K:K))</f>
        <v>1</v>
      </c>
      <c r="AG1661" s="26">
        <v>1</v>
      </c>
      <c r="AH1661" s="26">
        <v>1</v>
      </c>
      <c r="AI1661" s="53" cm="1">
        <f t="array" ref="AI1661">MAX(IF($E$63:E1660=E1661,ROW($E$63:E1660)-MIN(ROW($E$63:E1660))+1))</f>
        <v>1569</v>
      </c>
      <c r="AJ1661" s="53" cm="1">
        <f t="array" ref="AJ1661">MAX(IF($I$105:I1660=I1661,ROW($I$105:I1660)-MIN(ROW($I$105:I1660))+1))</f>
        <v>1527</v>
      </c>
      <c r="AK1661" s="23">
        <f>IF(AI1661=0,_xlfn.XLOOKUP(E1661,'Starting GF'!A:A,'Starting GF'!B:B),INDEX($AL$63:$AL1661,AI1661))</f>
        <v>2.8423052073774104</v>
      </c>
      <c r="AL1661" s="23">
        <f t="shared" si="1399"/>
        <v>2.8423052073774104</v>
      </c>
      <c r="AM1661" s="23">
        <f>IF(AI1661=0,_xlfn.XLOOKUP(E1661,'Starting GF'!A:A,'Starting GF'!C:C),INDEX($AN$63:$AN1661,AI1661))</f>
        <v>3.1304136335633261</v>
      </c>
      <c r="AN1661" s="23">
        <f t="shared" si="1400"/>
        <v>3.1304136335633261</v>
      </c>
      <c r="AO1661" s="23">
        <f>IF(AJ1661=0,_xlfn.XLOOKUP(I1661,Goalies!B:B,Goalies!I:I),INDEX($AP$105:$AP1661,AJ1661))</f>
        <v>3.1327957036337719</v>
      </c>
      <c r="AP1661" s="23">
        <f t="shared" si="1401"/>
        <v>3.1327957036337719</v>
      </c>
      <c r="AQ1661" s="23">
        <f t="shared" si="1402"/>
        <v>3.1020559928113416</v>
      </c>
      <c r="AR1661" s="66">
        <v>0</v>
      </c>
      <c r="AS1661" s="96" t="s">
        <v>1594</v>
      </c>
      <c r="AT1661" s="20">
        <f t="shared" ref="AT1661:AT1665" si="1589">(AK1661*V1661*X1661*Z1660*AA1661*AB1660*AC1661*AD1660*AG1661*AH1660)+AR1661</f>
        <v>3.1767255493628324</v>
      </c>
      <c r="AU1661" s="20">
        <f t="shared" ref="AU1661:AU1665" si="1590">AT1660</f>
        <v>3.0518222580063985</v>
      </c>
      <c r="AV1661" s="12">
        <f t="shared" ref="AV1661:AV1665" si="1591">AK1661*W1661*X1661*Z1660*AA1661*AB1660</f>
        <v>3.1802254094385942</v>
      </c>
      <c r="AW1661" s="12">
        <f t="shared" ref="AW1661:AW1665" si="1592">AV1660</f>
        <v>3.0518222580063985</v>
      </c>
      <c r="AX1661" s="8">
        <f t="shared" si="1407"/>
        <v>3.1767255493628324</v>
      </c>
      <c r="AY1661" s="8">
        <f t="shared" si="1408"/>
        <v>3.0518222580063985</v>
      </c>
      <c r="AZ1661" s="8">
        <f t="shared" si="1409"/>
        <v>6.2285478073692309</v>
      </c>
      <c r="BA1661" s="8">
        <f t="shared" si="1410"/>
        <v>0.12490329135643385</v>
      </c>
      <c r="BB1661" s="62">
        <f t="shared" si="1411"/>
        <v>-110</v>
      </c>
      <c r="BC1661" s="21">
        <f t="shared" si="1412"/>
        <v>148</v>
      </c>
      <c r="BD1661" s="21">
        <f t="shared" si="1413"/>
        <v>120</v>
      </c>
      <c r="BE1661" s="21">
        <f t="shared" si="1414"/>
        <v>-107</v>
      </c>
      <c r="BF1661" s="94">
        <f t="shared" si="57"/>
        <v>0.52305302678985788</v>
      </c>
      <c r="BG1661" s="22">
        <f t="shared" ref="BG1661:BG1665" si="1593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0.40391829242842769</v>
      </c>
      <c r="BH1661" s="22">
        <f t="shared" ref="BH1661:BH1665" si="1594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0.45491541278968817</v>
      </c>
      <c r="BI1661" s="22">
        <f t="shared" ref="BI1661:BI1665" si="1595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0.51602417556698621</v>
      </c>
      <c r="BJ1661" s="21">
        <f t="shared" si="1416"/>
        <v>-110</v>
      </c>
      <c r="BK1661" s="21">
        <f t="shared" si="1417"/>
        <v>148</v>
      </c>
      <c r="BL1661" s="21">
        <f t="shared" si="1418"/>
        <v>120</v>
      </c>
      <c r="BM1661" s="21">
        <f t="shared" si="1419"/>
        <v>-106</v>
      </c>
      <c r="BN1661" s="22">
        <f t="shared" si="61"/>
        <v>0.52342751004755639</v>
      </c>
      <c r="BO1661" s="22">
        <f t="shared" ref="BO1661:BO1665" si="1596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0.40344151121414823</v>
      </c>
      <c r="BP1661" s="22">
        <f t="shared" ref="BP1661:BP1665" si="1597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0.45441747662592996</v>
      </c>
      <c r="BQ1661" s="22">
        <f t="shared" ref="BQ1661:BQ1665" si="1598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0.51562342991935772</v>
      </c>
      <c r="BR1661">
        <v>3.85</v>
      </c>
      <c r="BS1661">
        <v>4.2</v>
      </c>
      <c r="BT1661">
        <v>0.45018999999999998</v>
      </c>
      <c r="BU1661">
        <v>0.18185000000000001</v>
      </c>
      <c r="BV1661">
        <v>0.19800309226715401</v>
      </c>
      <c r="BW1661">
        <v>0.26343</v>
      </c>
    </row>
    <row r="1662" spans="1:75" ht="16.75" customHeight="1" x14ac:dyDescent="0.2">
      <c r="A1662" t="str">
        <f t="shared" si="536"/>
        <v>2025020800 PIT</v>
      </c>
      <c r="B1662">
        <v>2025020800</v>
      </c>
      <c r="C1662" s="1">
        <v>46044</v>
      </c>
      <c r="D1662" s="2" t="s">
        <v>6</v>
      </c>
      <c r="E1662" t="s">
        <v>21</v>
      </c>
      <c r="F1662" s="2">
        <v>0</v>
      </c>
      <c r="G1662" s="2">
        <v>1</v>
      </c>
      <c r="H1662" t="s">
        <v>26</v>
      </c>
      <c r="I1662" t="str">
        <f t="shared" si="1275"/>
        <v>PIT Arturs Silovs</v>
      </c>
      <c r="J1662" s="33" t="s">
        <v>232</v>
      </c>
      <c r="K1662" s="14">
        <v>2.96</v>
      </c>
      <c r="L1662" s="13">
        <v>0.15</v>
      </c>
      <c r="M1662" s="28">
        <v>0.1</v>
      </c>
      <c r="N1662">
        <f>IFERROR(_xlfn.XLOOKUP(A1662,Params!A:A,Params!D:D),0)</f>
        <v>0</v>
      </c>
      <c r="O1662">
        <f t="shared" ref="O1662:O1665" si="1599">N1663</f>
        <v>0</v>
      </c>
      <c r="P1662" s="68">
        <f t="shared" si="1391"/>
        <v>0</v>
      </c>
      <c r="Q1662">
        <f t="shared" ref="Q1662:Q1665" si="1600">P1663</f>
        <v>0</v>
      </c>
      <c r="R1662" s="5">
        <f t="shared" ref="R1662:R1665" si="1601">N1662/W1662/X1662/Z1663/AB1663/AA1662</f>
        <v>0</v>
      </c>
      <c r="S1662" s="5">
        <f t="shared" ref="S1662:S1665" si="1602">O1662/W1663/Y1662/Z1662/AA1663/AB1662</f>
        <v>0</v>
      </c>
      <c r="T1662" s="5">
        <f t="shared" ref="T1662:T1665" si="1603">P1662/W1662/X1662/Z1663/AB1663</f>
        <v>0</v>
      </c>
      <c r="U1662" s="5">
        <f t="shared" ref="U1662:U1665" si="1604">Q1662/W1663/Y1662/Z1662/AA1663</f>
        <v>0</v>
      </c>
      <c r="V1662" s="5">
        <f>_xlfn.XLOOKUP(H1662,'Rest - Home'!A:A,'Rest - Home'!B:B)</f>
        <v>0.95</v>
      </c>
      <c r="W1662" s="5">
        <f>_xlfn.XLOOKUP(H1662,'Rest - Home'!A:A,'Rest - Home'!C:C)</f>
        <v>0.92554174501717079</v>
      </c>
      <c r="X1662" s="5">
        <f t="shared" ref="X1662:X1665" si="1605">AM1663/K1662</f>
        <v>1.0098780239120111</v>
      </c>
      <c r="Y1662" s="5">
        <f t="shared" ref="Y1662:Y1665" si="1606">AK1663/K1662</f>
        <v>1.1285281250732857</v>
      </c>
      <c r="Z1662" s="5">
        <f>IF(J1662="",1,(_xlfn.XLOOKUP(I1662,Goalies!B:B,Goalies!J:J)))</f>
        <v>1.03</v>
      </c>
      <c r="AA1662" s="23">
        <f>_xlfn.XLOOKUP(E1662,Injuries!A:A,Injuries!B:B)</f>
        <v>1</v>
      </c>
      <c r="AB1662" s="23">
        <f>_xlfn.XLOOKUP(E1662,Injuries!A:A,Injuries!C:C)</f>
        <v>1.05</v>
      </c>
      <c r="AC1662" s="23">
        <f>_xlfn.XLOOKUP(E1662,'Game Adjustments'!A:A,'Game Adjustments'!B:B)</f>
        <v>1</v>
      </c>
      <c r="AD1662" s="23">
        <f>_xlfn.XLOOKUP(E1662,'Game Adjustments'!A:A,'Game Adjustments'!C:C)</f>
        <v>1</v>
      </c>
      <c r="AE1662" s="23">
        <f>IF(D1662="A",_xlfn.XLOOKUP(E1662,'Rest - Home'!F:F,'Rest - Home'!J:J),_xlfn.XLOOKUP(E1662,'Rest - Home'!F:F,'Rest - Home'!I:I))</f>
        <v>1</v>
      </c>
      <c r="AF1662" s="23">
        <f>IF(D1662="A",_xlfn.XLOOKUP(E1662,'Rest - Home'!F:F,'Rest - Home'!L:L),_xlfn.XLOOKUP(E1662,'Rest - Home'!F:F,'Rest - Home'!K:K))</f>
        <v>1</v>
      </c>
      <c r="AG1662" s="26">
        <v>1</v>
      </c>
      <c r="AH1662" s="26">
        <v>1</v>
      </c>
      <c r="AI1662" s="53" cm="1">
        <f t="array" ref="AI1662">MAX(IF($E$63:E1661=E1662,ROW($E$63:E1661)-MIN(ROW($E$63:E1661))+1))</f>
        <v>1584</v>
      </c>
      <c r="AJ1662" s="53" cm="1">
        <f t="array" ref="AJ1662">MAX(IF($I$105:I1661=I1662,ROW($I$105:I1661)-MIN(ROW($I$105:I1661))+1))</f>
        <v>1477</v>
      </c>
      <c r="AK1662" s="23">
        <f>IF(AI1662=0,_xlfn.XLOOKUP(E1662,'Starting GF'!A:A,'Starting GF'!B:B),INDEX($AL$63:$AL1662,AI1662))</f>
        <v>3</v>
      </c>
      <c r="AL1662" s="23">
        <f t="shared" si="1399"/>
        <v>3</v>
      </c>
      <c r="AM1662" s="23">
        <f>IF(AI1662=0,_xlfn.XLOOKUP(E1662,'Starting GF'!A:A,'Starting GF'!C:C),INDEX($AN$63:$AN1662,AI1662))</f>
        <v>3.18</v>
      </c>
      <c r="AN1662" s="23">
        <f t="shared" si="1400"/>
        <v>3.18</v>
      </c>
      <c r="AO1662" s="23">
        <f>IF(AJ1662=0,_xlfn.XLOOKUP(I1662,Goalies!B:B,Goalies!I:I),INDEX($AP$105:$AP1662,AJ1662))</f>
        <v>3.297332012228726</v>
      </c>
      <c r="AP1662" s="23">
        <f t="shared" si="1401"/>
        <v>3.297332012228726</v>
      </c>
      <c r="AQ1662" s="23">
        <f t="shared" si="1402"/>
        <v>3.2754000000000003</v>
      </c>
      <c r="AR1662" s="66">
        <v>0</v>
      </c>
      <c r="AS1662" s="96" t="s">
        <v>1594</v>
      </c>
      <c r="AT1662" s="20">
        <f t="shared" ref="AT1662:AT1665" si="1607">(AK1662*V1662*X1662*Z1663*AA1662*AB1663*AC1662*AD1663*AG1662*AH1663)+AR1662</f>
        <v>2.8482915373296827</v>
      </c>
      <c r="AU1662" s="20">
        <f t="shared" ref="AU1662:AU1665" si="1608">AT1663</f>
        <v>3.8307444709734844</v>
      </c>
      <c r="AV1662" s="12">
        <f t="shared" ref="AV1662:AV1665" si="1609">AK1662*V1662*X1662*Z1663*AA1662*AB1663</f>
        <v>2.8482915373296827</v>
      </c>
      <c r="AW1662" s="12">
        <f t="shared" ref="AW1662:AW1665" si="1610">AV1663</f>
        <v>3.9128493016626664</v>
      </c>
      <c r="AX1662" s="8">
        <f t="shared" si="1407"/>
        <v>2.8482915373296827</v>
      </c>
      <c r="AY1662" s="8">
        <f t="shared" si="1408"/>
        <v>3.8307444709734844</v>
      </c>
      <c r="AZ1662" s="8">
        <f t="shared" si="1409"/>
        <v>6.679036008303167</v>
      </c>
      <c r="BA1662" s="8">
        <f t="shared" si="1410"/>
        <v>-0.98245293364380171</v>
      </c>
      <c r="BB1662" s="62">
        <f t="shared" si="1411"/>
        <v>182</v>
      </c>
      <c r="BC1662" s="21">
        <f t="shared" si="1412"/>
        <v>-195</v>
      </c>
      <c r="BD1662" s="21">
        <f t="shared" si="1413"/>
        <v>-162</v>
      </c>
      <c r="BE1662" s="21">
        <f t="shared" si="1414"/>
        <v>-121</v>
      </c>
      <c r="BF1662" s="94">
        <f t="shared" ref="BF1662:BF1665" si="1611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IF(AT1662&gt;AT1663, 1-_xlpm.interp, _xlpm.interp)
)</f>
        <v>0.3550062444358138</v>
      </c>
      <c r="BG1662" s="22">
        <f t="shared" si="550"/>
        <v>0.66099782060053092</v>
      </c>
      <c r="BH1662" s="22">
        <f t="shared" si="550"/>
        <v>0.61800036032954209</v>
      </c>
      <c r="BI1662" s="22">
        <f t="shared" si="550"/>
        <v>0.54843428679269435</v>
      </c>
      <c r="BJ1662" s="21">
        <f t="shared" si="1416"/>
        <v>190</v>
      </c>
      <c r="BK1662" s="21">
        <f t="shared" si="1417"/>
        <v>-207</v>
      </c>
      <c r="BL1662" s="21">
        <f t="shared" si="1418"/>
        <v>-173</v>
      </c>
      <c r="BM1662" s="21">
        <f t="shared" si="1419"/>
        <v>-129</v>
      </c>
      <c r="BN1662" s="22">
        <f t="shared" ref="BN1662:BN1665" si="1612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IF(AV1662&gt;AV1663, 1-_xlpm.interp, _xlpm.interp)
)</f>
        <v>0.34477420986361978</v>
      </c>
      <c r="BO1662" s="22">
        <f t="shared" si="552"/>
        <v>0.67476836965010156</v>
      </c>
      <c r="BP1662" s="22">
        <f t="shared" si="552"/>
        <v>0.63414342746843178</v>
      </c>
      <c r="BQ1662" s="22">
        <f t="shared" si="552"/>
        <v>0.56373282541663705</v>
      </c>
      <c r="BR1662">
        <v>3.85</v>
      </c>
      <c r="BS1662">
        <v>4.25</v>
      </c>
      <c r="BT1662">
        <v>0.44191999999999998</v>
      </c>
      <c r="BU1662">
        <v>0.17510999999999999</v>
      </c>
      <c r="BV1662">
        <v>0.19059591836734599</v>
      </c>
      <c r="BW1662">
        <v>0.25635999999999998</v>
      </c>
    </row>
    <row r="1663" spans="1:75" ht="16.75" customHeight="1" x14ac:dyDescent="0.2">
      <c r="A1663" t="str">
        <f t="shared" si="536"/>
        <v>2025020800 EDM</v>
      </c>
      <c r="B1663">
        <v>2025020800</v>
      </c>
      <c r="C1663" s="1">
        <v>46044</v>
      </c>
      <c r="D1663" s="2" t="s">
        <v>9</v>
      </c>
      <c r="E1663" t="s">
        <v>17</v>
      </c>
      <c r="F1663" s="2">
        <v>1</v>
      </c>
      <c r="G1663" s="2">
        <v>0</v>
      </c>
      <c r="H1663" t="s">
        <v>27</v>
      </c>
      <c r="I1663" t="str">
        <f t="shared" si="1275"/>
        <v>EDM Tristan Jarry</v>
      </c>
      <c r="J1663" s="33" t="s">
        <v>181</v>
      </c>
      <c r="K1663" s="14">
        <v>2.96</v>
      </c>
      <c r="L1663" s="13">
        <v>0.15</v>
      </c>
      <c r="M1663" s="28">
        <v>0.1</v>
      </c>
      <c r="N1663">
        <f>IFERROR(_xlfn.XLOOKUP(A1663,Params!A:A,Params!D:D),0)</f>
        <v>0</v>
      </c>
      <c r="O1663">
        <f t="shared" ref="O1663:O1665" si="1613">N1662</f>
        <v>0</v>
      </c>
      <c r="P1663" s="68">
        <f t="shared" si="1391"/>
        <v>0</v>
      </c>
      <c r="Q1663">
        <f t="shared" ref="Q1663:Q1665" si="1614">P1662</f>
        <v>0</v>
      </c>
      <c r="R1663" s="5">
        <f t="shared" ref="R1663:R1665" si="1615">N1663/W1663/X1663/Z1662/AB1662/AA1663</f>
        <v>0</v>
      </c>
      <c r="S1663" s="5">
        <f t="shared" ref="S1663:S1665" si="1616">O1663/W1662/Y1663/Z1663/AA1662/AB1663</f>
        <v>0</v>
      </c>
      <c r="T1663" s="5">
        <f t="shared" ref="T1663:T1665" si="1617">P1663/W1663/X1663/Z1662/AB1662</f>
        <v>0</v>
      </c>
      <c r="U1663" s="5">
        <f t="shared" ref="U1663:U1665" si="1618">Q1663/W1662/Y1663/Z1663/AA1662</f>
        <v>0</v>
      </c>
      <c r="V1663" s="5">
        <f>_xlfn.XLOOKUP(H1663,'Rest - Home'!A:A,'Rest - Home'!B:B)</f>
        <v>1.05</v>
      </c>
      <c r="W1663" s="5">
        <f>_xlfn.XLOOKUP(H1663,'Rest - Home'!A:A,'Rest - Home'!C:C)</f>
        <v>1.0725047827848808</v>
      </c>
      <c r="X1663" s="5">
        <f t="shared" ref="X1663:X1665" si="1619">AM1662/K1663</f>
        <v>1.0743243243243243</v>
      </c>
      <c r="Y1663" s="5">
        <f t="shared" ref="Y1663:Y1665" si="1620">AK1662/K1663</f>
        <v>1.0135135135135136</v>
      </c>
      <c r="Z1663" s="5">
        <f>IF(J1663="",1,(_xlfn.XLOOKUP(I1663,Goalies!B:B,Goalies!J:J)))</f>
        <v>0.97499999999999998</v>
      </c>
      <c r="AA1663" s="23">
        <f>_xlfn.XLOOKUP(E1663,Injuries!A:A,Injuries!B:B)</f>
        <v>0.94</v>
      </c>
      <c r="AB1663" s="23">
        <f>_xlfn.XLOOKUP(E1663,Injuries!A:A,Injuries!C:C)</f>
        <v>1.0149999999999999</v>
      </c>
      <c r="AC1663" s="23">
        <f>_xlfn.XLOOKUP(E1663,'Game Adjustments'!A:A,'Game Adjustments'!B:B)</f>
        <v>1</v>
      </c>
      <c r="AD1663" s="23">
        <f>_xlfn.XLOOKUP(E1663,'Game Adjustments'!A:A,'Game Adjustments'!C:C)</f>
        <v>1</v>
      </c>
      <c r="AE1663" s="23">
        <f>IF(D1663="A",_xlfn.XLOOKUP(E1663,'Rest - Home'!F:F,'Rest - Home'!J:J),_xlfn.XLOOKUP(E1663,'Rest - Home'!F:F,'Rest - Home'!I:I))</f>
        <v>1</v>
      </c>
      <c r="AF1663" s="23">
        <f>IF(D1663="A",_xlfn.XLOOKUP(E1663,'Rest - Home'!F:F,'Rest - Home'!L:L),_xlfn.XLOOKUP(E1663,'Rest - Home'!F:F,'Rest - Home'!K:K))</f>
        <v>1</v>
      </c>
      <c r="AG1663" s="26">
        <v>1</v>
      </c>
      <c r="AH1663" s="26">
        <v>1</v>
      </c>
      <c r="AI1663" s="53" cm="1">
        <f t="array" ref="AI1663">MAX(IF($E$63:E1662=E1663,ROW($E$63:E1662)-MIN(ROW($E$63:E1662))+1))</f>
        <v>1573</v>
      </c>
      <c r="AJ1663" s="53" cm="1">
        <f t="array" ref="AJ1663">MAX(IF($I$105:I1662=I1663,ROW($I$105:I1662)-MIN(ROW($I$105:I1662))+1))</f>
        <v>1531</v>
      </c>
      <c r="AK1663" s="23">
        <f>IF(AI1663=0,_xlfn.XLOOKUP(E1663,'Starting GF'!A:A,'Starting GF'!B:B),INDEX($AL$63:$AL1663,AI1663))</f>
        <v>3.3404432502169255</v>
      </c>
      <c r="AL1663" s="23">
        <f t="shared" si="1399"/>
        <v>3.3404432502169255</v>
      </c>
      <c r="AM1663" s="23">
        <f>IF(AI1663=0,_xlfn.XLOOKUP(E1663,'Starting GF'!A:A,'Starting GF'!C:C),INDEX($AN$63:$AN1663,AI1663))</f>
        <v>2.9892389507795527</v>
      </c>
      <c r="AN1663" s="23">
        <f t="shared" si="1400"/>
        <v>2.9892389507795527</v>
      </c>
      <c r="AO1663" s="23">
        <f>IF(AJ1663=0,_xlfn.XLOOKUP(I1663,Goalies!B:B,Goalies!I:I),INDEX($AP$105:$AP1663,AJ1663))</f>
        <v>3.063258815850634</v>
      </c>
      <c r="AP1663" s="23">
        <f t="shared" si="1401"/>
        <v>3.063258815850634</v>
      </c>
      <c r="AQ1663" s="23">
        <f t="shared" si="1402"/>
        <v>2.9145079770100639</v>
      </c>
      <c r="AR1663" s="66">
        <v>0</v>
      </c>
      <c r="AS1663" s="96" t="s">
        <v>1594</v>
      </c>
      <c r="AT1663" s="20">
        <f t="shared" ref="AT1663:AT1665" si="1621">(AK1663*V1663*X1663*Z1662*AA1663*AB1662*AC1663*AD1662*AG1663*AH1662)+AR1663</f>
        <v>3.8307444709734844</v>
      </c>
      <c r="AU1663" s="20">
        <f t="shared" ref="AU1663:AU1665" si="1622">AT1662</f>
        <v>2.8482915373296827</v>
      </c>
      <c r="AV1663" s="12">
        <f t="shared" ref="AV1663:AV1665" si="1623">AK1663*W1663*X1663*Z1662*AA1663*AB1662</f>
        <v>3.9128493016626664</v>
      </c>
      <c r="AW1663" s="12">
        <f t="shared" ref="AW1663:AW1665" si="1624">AV1662</f>
        <v>2.8482915373296827</v>
      </c>
      <c r="AX1663" s="8">
        <f t="shared" si="1407"/>
        <v>3.8307444709734844</v>
      </c>
      <c r="AY1663" s="8">
        <f t="shared" si="1408"/>
        <v>2.8482915373296827</v>
      </c>
      <c r="AZ1663" s="8">
        <f t="shared" si="1409"/>
        <v>6.679036008303167</v>
      </c>
      <c r="BA1663" s="8">
        <f t="shared" si="1410"/>
        <v>0.98245293364380171</v>
      </c>
      <c r="BB1663" s="62">
        <f t="shared" si="1411"/>
        <v>-182</v>
      </c>
      <c r="BC1663" s="21">
        <f t="shared" si="1412"/>
        <v>195</v>
      </c>
      <c r="BD1663" s="21">
        <f t="shared" si="1413"/>
        <v>162</v>
      </c>
      <c r="BE1663" s="21">
        <f t="shared" si="1414"/>
        <v>121</v>
      </c>
      <c r="BF1663" s="94">
        <f t="shared" si="57"/>
        <v>0.64499375556418626</v>
      </c>
      <c r="BG1663" s="22">
        <f t="shared" ref="BG1663:BG1665" si="1625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0.33900217939946908</v>
      </c>
      <c r="BH1663" s="22">
        <f t="shared" ref="BH1663:BH1665" si="1626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0.38199963967045791</v>
      </c>
      <c r="BI1663" s="22">
        <f t="shared" ref="BI1663:BI1665" si="1627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0.45156571320730565</v>
      </c>
      <c r="BJ1663" s="21">
        <f t="shared" si="1416"/>
        <v>-190</v>
      </c>
      <c r="BK1663" s="21">
        <f t="shared" si="1417"/>
        <v>207</v>
      </c>
      <c r="BL1663" s="21">
        <f t="shared" si="1418"/>
        <v>173</v>
      </c>
      <c r="BM1663" s="21">
        <f t="shared" si="1419"/>
        <v>129</v>
      </c>
      <c r="BN1663" s="22">
        <f t="shared" si="61"/>
        <v>0.65522579013638027</v>
      </c>
      <c r="BO1663" s="22">
        <f t="shared" ref="BO1663:BO1665" si="1628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0.32523163034989844</v>
      </c>
      <c r="BP1663" s="22">
        <f t="shared" ref="BP1663:BP1665" si="1629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0.36585657253156822</v>
      </c>
      <c r="BQ1663" s="22">
        <f t="shared" ref="BQ1663:BQ1665" si="1630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0.43626717458336295</v>
      </c>
      <c r="BR1663">
        <v>3.85</v>
      </c>
      <c r="BS1663">
        <v>4.3</v>
      </c>
      <c r="BT1663">
        <v>0.43396000000000001</v>
      </c>
      <c r="BU1663">
        <v>0.17043</v>
      </c>
      <c r="BV1663">
        <v>0.18524798643493001</v>
      </c>
      <c r="BW1663">
        <v>0.25041999999999998</v>
      </c>
    </row>
    <row r="1664" spans="1:75" ht="16.75" customHeight="1" x14ac:dyDescent="0.2">
      <c r="A1664" t="str">
        <f t="shared" ref="A1664:A1727" si="1631">B1664&amp;" "&amp;E1664</f>
        <v>2025020801 DET</v>
      </c>
      <c r="B1664">
        <v>2025020801</v>
      </c>
      <c r="C1664" s="1">
        <v>46044</v>
      </c>
      <c r="D1664" s="2" t="s">
        <v>6</v>
      </c>
      <c r="E1664" t="s">
        <v>30</v>
      </c>
      <c r="F1664" s="2">
        <v>0</v>
      </c>
      <c r="G1664" s="2">
        <v>1</v>
      </c>
      <c r="H1664" t="s">
        <v>26</v>
      </c>
      <c r="I1664" t="str">
        <f t="shared" si="1275"/>
        <v>DET Cam Talbot</v>
      </c>
      <c r="J1664" s="33" t="s">
        <v>162</v>
      </c>
      <c r="K1664" s="14">
        <v>2.96</v>
      </c>
      <c r="L1664" s="13">
        <v>0.15</v>
      </c>
      <c r="M1664" s="28">
        <v>0.1</v>
      </c>
      <c r="N1664">
        <f>IFERROR(_xlfn.XLOOKUP(A1664,Params!A:A,Params!D:D),0)</f>
        <v>0</v>
      </c>
      <c r="O1664">
        <f t="shared" ref="O1664:O1665" si="1632">N1665</f>
        <v>0</v>
      </c>
      <c r="P1664" s="68">
        <f t="shared" si="1391"/>
        <v>0</v>
      </c>
      <c r="Q1664">
        <f t="shared" ref="Q1664:Q1665" si="1633">P1665</f>
        <v>0</v>
      </c>
      <c r="R1664" s="5">
        <f t="shared" ref="R1664:R1665" si="1634">N1664/W1664/X1664/Z1665/AB1665/AA1664</f>
        <v>0</v>
      </c>
      <c r="S1664" s="5">
        <f t="shared" ref="S1664:S1665" si="1635">O1664/W1665/Y1664/Z1664/AA1665/AB1664</f>
        <v>0</v>
      </c>
      <c r="T1664" s="5">
        <f t="shared" ref="T1664:T1665" si="1636">P1664/W1664/X1664/Z1665/AB1665</f>
        <v>0</v>
      </c>
      <c r="U1664" s="5">
        <f t="shared" ref="U1664:U1665" si="1637">Q1664/W1665/Y1664/Z1664/AA1665</f>
        <v>0</v>
      </c>
      <c r="V1664" s="5">
        <f>_xlfn.XLOOKUP(H1664,'Rest - Home'!A:A,'Rest - Home'!B:B)</f>
        <v>0.95</v>
      </c>
      <c r="W1664" s="5">
        <f>_xlfn.XLOOKUP(H1664,'Rest - Home'!A:A,'Rest - Home'!C:C)</f>
        <v>0.92554174501717079</v>
      </c>
      <c r="X1664" s="5">
        <f t="shared" ref="X1664:X1665" si="1638">AM1665/K1664</f>
        <v>0.96178218190290587</v>
      </c>
      <c r="Y1664" s="5">
        <f t="shared" ref="Y1664:Y1665" si="1639">AK1665/K1664</f>
        <v>1.0738959337489007</v>
      </c>
      <c r="Z1664" s="5">
        <f>IF(J1664="",1,(_xlfn.XLOOKUP(I1664,Goalies!B:B,Goalies!J:J)))</f>
        <v>1.01</v>
      </c>
      <c r="AA1664" s="23">
        <f>_xlfn.XLOOKUP(E1664,Injuries!A:A,Injuries!B:B)</f>
        <v>1</v>
      </c>
      <c r="AB1664" s="23">
        <f>_xlfn.XLOOKUP(E1664,Injuries!A:A,Injuries!C:C)</f>
        <v>1</v>
      </c>
      <c r="AC1664" s="23">
        <f>_xlfn.XLOOKUP(E1664,'Game Adjustments'!A:A,'Game Adjustments'!B:B)</f>
        <v>1</v>
      </c>
      <c r="AD1664" s="23">
        <f>_xlfn.XLOOKUP(E1664,'Game Adjustments'!A:A,'Game Adjustments'!C:C)</f>
        <v>1</v>
      </c>
      <c r="AE1664" s="23">
        <f>IF(D1664="A",_xlfn.XLOOKUP(E1664,'Rest - Home'!F:F,'Rest - Home'!J:J),_xlfn.XLOOKUP(E1664,'Rest - Home'!F:F,'Rest - Home'!I:I))</f>
        <v>1</v>
      </c>
      <c r="AF1664" s="23">
        <f>IF(D1664="A",_xlfn.XLOOKUP(E1664,'Rest - Home'!F:F,'Rest - Home'!L:L),_xlfn.XLOOKUP(E1664,'Rest - Home'!F:F,'Rest - Home'!K:K))</f>
        <v>1</v>
      </c>
      <c r="AG1664" s="26">
        <v>1</v>
      </c>
      <c r="AH1664" s="26">
        <v>1</v>
      </c>
      <c r="AI1664" s="53" cm="1">
        <f t="array" ref="AI1664">MAX(IF($E$63:E1663=E1664,ROW($E$63:E1663)-MIN(ROW($E$63:E1663))+1))</f>
        <v>1576</v>
      </c>
      <c r="AJ1664" s="53" cm="1">
        <f t="array" ref="AJ1664">MAX(IF($I$105:I1663=I1664,ROW($I$105:I1663)-MIN(ROW($I$105:I1663))+1))</f>
        <v>1418</v>
      </c>
      <c r="AK1664" s="23">
        <f>IF(AI1664=0,_xlfn.XLOOKUP(E1664,'Starting GF'!A:A,'Starting GF'!B:B),INDEX($AL$63:$AL1664,AI1664))</f>
        <v>2.93</v>
      </c>
      <c r="AL1664" s="23">
        <f t="shared" si="1399"/>
        <v>2.93</v>
      </c>
      <c r="AM1664" s="23">
        <f>IF(AI1664=0,_xlfn.XLOOKUP(E1664,'Starting GF'!A:A,'Starting GF'!C:C),INDEX($AN$63:$AN1664,AI1664))</f>
        <v>3.0936292906528782</v>
      </c>
      <c r="AN1664" s="23">
        <f t="shared" si="1400"/>
        <v>3.0936292906528782</v>
      </c>
      <c r="AO1664" s="23">
        <f>IF(AJ1664=0,_xlfn.XLOOKUP(I1664,Goalies!B:B,Goalies!I:I),INDEX($AP$105:$AP1664,AJ1664))</f>
        <v>3.1285726033183892</v>
      </c>
      <c r="AP1664" s="23">
        <f t="shared" si="1401"/>
        <v>3.1285726033183892</v>
      </c>
      <c r="AQ1664" s="23">
        <f t="shared" si="1402"/>
        <v>3.1245655835594071</v>
      </c>
      <c r="AR1664" s="66">
        <v>0</v>
      </c>
      <c r="AS1664" s="96" t="s">
        <v>1594</v>
      </c>
      <c r="AT1664" s="20">
        <f t="shared" ref="AT1664:AT1665" si="1640">(AK1664*V1664*X1664*Z1665*AA1664*AB1665*AC1664*AD1665*AG1664*AH1665)+AR1664</f>
        <v>2.7563634761452098</v>
      </c>
      <c r="AU1664" s="20">
        <f t="shared" ref="AU1664:AU1665" si="1641">AT1665</f>
        <v>3.3118373173422975</v>
      </c>
      <c r="AV1664" s="12">
        <f t="shared" ref="AV1664:AV1665" si="1642">AK1664*V1664*X1664*Z1665*AA1664*AB1665</f>
        <v>2.7563634761452098</v>
      </c>
      <c r="AW1664" s="12">
        <f t="shared" ref="AW1664:AW1665" si="1643">AV1665</f>
        <v>3.3828203453857744</v>
      </c>
      <c r="AX1664" s="8">
        <f t="shared" si="1407"/>
        <v>2.7563634761452098</v>
      </c>
      <c r="AY1664" s="8">
        <f t="shared" si="1408"/>
        <v>3.3118373173422975</v>
      </c>
      <c r="AZ1664" s="8">
        <f t="shared" si="1409"/>
        <v>6.0682007934875077</v>
      </c>
      <c r="BA1664" s="8">
        <f t="shared" si="1410"/>
        <v>-0.55547384119708765</v>
      </c>
      <c r="BB1664" s="62">
        <f t="shared" si="1411"/>
        <v>143</v>
      </c>
      <c r="BC1664" s="21">
        <f t="shared" si="1412"/>
        <v>-133</v>
      </c>
      <c r="BD1664" s="21">
        <f t="shared" si="1413"/>
        <v>-106</v>
      </c>
      <c r="BE1664" s="21">
        <f t="shared" si="1414"/>
        <v>119</v>
      </c>
      <c r="BF1664" s="94">
        <f t="shared" ref="BF1664:BF1665" si="1644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IF(AT1664&gt;AT1665, 1-_xlpm.interp, _xlpm.interp)
)</f>
        <v>0.41078465570166695</v>
      </c>
      <c r="BG1664" s="22">
        <f t="shared" si="550"/>
        <v>0.57043291435082066</v>
      </c>
      <c r="BH1664" s="22">
        <f t="shared" si="550"/>
        <v>0.51542027503267196</v>
      </c>
      <c r="BI1664" s="22">
        <f t="shared" si="550"/>
        <v>0.45689278323163729</v>
      </c>
      <c r="BJ1664" s="21">
        <f t="shared" si="1416"/>
        <v>149</v>
      </c>
      <c r="BK1664" s="21">
        <f t="shared" si="1417"/>
        <v>-140</v>
      </c>
      <c r="BL1664" s="21">
        <f t="shared" si="1418"/>
        <v>-112</v>
      </c>
      <c r="BM1664" s="21">
        <f t="shared" si="1419"/>
        <v>113</v>
      </c>
      <c r="BN1664" s="22">
        <f t="shared" ref="BN1664:BN1665" si="1645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IF(AV1664&gt;AV1665, 1-_xlpm.interp, _xlpm.interp)
)</f>
        <v>0.40082575349589594</v>
      </c>
      <c r="BO1664" s="22">
        <f t="shared" si="552"/>
        <v>0.58283159288357589</v>
      </c>
      <c r="BP1664" s="22">
        <f t="shared" si="552"/>
        <v>0.52913665659966447</v>
      </c>
      <c r="BQ1664" s="22">
        <f t="shared" si="552"/>
        <v>0.46880556823987607</v>
      </c>
      <c r="BR1664">
        <v>3.85</v>
      </c>
      <c r="BS1664">
        <v>4.3499999999999996</v>
      </c>
      <c r="BT1664">
        <v>0.42616999999999999</v>
      </c>
      <c r="BU1664">
        <v>0.16674</v>
      </c>
      <c r="BV1664">
        <v>0.18118595629543499</v>
      </c>
      <c r="BW1664">
        <v>0.24646999999999999</v>
      </c>
    </row>
    <row r="1665" spans="1:75" ht="16.75" customHeight="1" x14ac:dyDescent="0.2">
      <c r="A1665" t="str">
        <f t="shared" si="1631"/>
        <v>2025020801 MIN</v>
      </c>
      <c r="B1665">
        <v>2025020801</v>
      </c>
      <c r="C1665" s="1">
        <v>46044</v>
      </c>
      <c r="D1665" s="2" t="s">
        <v>9</v>
      </c>
      <c r="E1665" t="s">
        <v>33</v>
      </c>
      <c r="F1665" s="2">
        <v>1</v>
      </c>
      <c r="G1665" s="2">
        <v>0</v>
      </c>
      <c r="H1665" t="s">
        <v>27</v>
      </c>
      <c r="I1665" t="str">
        <f t="shared" si="1275"/>
        <v>MIN Filip Gustavsson</v>
      </c>
      <c r="J1665" s="33" t="s">
        <v>169</v>
      </c>
      <c r="K1665" s="14">
        <v>2.96</v>
      </c>
      <c r="L1665" s="13">
        <v>0.15</v>
      </c>
      <c r="M1665" s="28">
        <v>0.1</v>
      </c>
      <c r="N1665">
        <f>IFERROR(_xlfn.XLOOKUP(A1665,Params!A:A,Params!D:D),0)</f>
        <v>0</v>
      </c>
      <c r="O1665">
        <f t="shared" ref="O1665" si="1646">N1664</f>
        <v>0</v>
      </c>
      <c r="P1665" s="68">
        <f t="shared" si="1391"/>
        <v>0</v>
      </c>
      <c r="Q1665">
        <f t="shared" ref="Q1665" si="1647">P1664</f>
        <v>0</v>
      </c>
      <c r="R1665" s="5">
        <f t="shared" ref="R1665" si="1648">N1665/W1665/X1665/Z1664/AB1664/AA1665</f>
        <v>0</v>
      </c>
      <c r="S1665" s="5">
        <f t="shared" ref="S1665" si="1649">O1665/W1664/Y1665/Z1665/AA1664/AB1665</f>
        <v>0</v>
      </c>
      <c r="T1665" s="5">
        <f t="shared" ref="T1665" si="1650">P1665/W1665/X1665/Z1664/AB1664</f>
        <v>0</v>
      </c>
      <c r="U1665" s="5">
        <f t="shared" ref="U1665" si="1651">Q1665/W1664/Y1665/Z1665/AA1664</f>
        <v>0</v>
      </c>
      <c r="V1665" s="5">
        <f>_xlfn.XLOOKUP(H1665,'Rest - Home'!A:A,'Rest - Home'!B:B)</f>
        <v>1.05</v>
      </c>
      <c r="W1665" s="5">
        <f>_xlfn.XLOOKUP(H1665,'Rest - Home'!A:A,'Rest - Home'!C:C)</f>
        <v>1.0725047827848808</v>
      </c>
      <c r="X1665" s="5">
        <f t="shared" ref="X1665" si="1652">AM1664/K1665</f>
        <v>1.0451450306259724</v>
      </c>
      <c r="Y1665" s="5">
        <f t="shared" ref="Y1665" si="1653">AK1664/K1665</f>
        <v>0.98986486486486491</v>
      </c>
      <c r="Z1665" s="5">
        <f>IF(J1665="",1,(_xlfn.XLOOKUP(I1665,Goalies!B:B,Goalies!J:J)))</f>
        <v>0.99</v>
      </c>
      <c r="AA1665" s="23">
        <f>_xlfn.XLOOKUP(E1665,Injuries!A:A,Injuries!B:B)</f>
        <v>0.94</v>
      </c>
      <c r="AB1665" s="23">
        <f>_xlfn.XLOOKUP(E1665,Injuries!A:A,Injuries!C:C)</f>
        <v>1.04</v>
      </c>
      <c r="AC1665" s="23">
        <f>_xlfn.XLOOKUP(E1665,'Game Adjustments'!A:A,'Game Adjustments'!B:B)</f>
        <v>1</v>
      </c>
      <c r="AD1665" s="23">
        <f>_xlfn.XLOOKUP(E1665,'Game Adjustments'!A:A,'Game Adjustments'!C:C)</f>
        <v>1</v>
      </c>
      <c r="AE1665" s="23">
        <f>IF(D1665="A",_xlfn.XLOOKUP(E1665,'Rest - Home'!F:F,'Rest - Home'!J:J),_xlfn.XLOOKUP(E1665,'Rest - Home'!F:F,'Rest - Home'!I:I))</f>
        <v>1</v>
      </c>
      <c r="AF1665" s="23">
        <f>IF(D1665="A",_xlfn.XLOOKUP(E1665,'Rest - Home'!F:F,'Rest - Home'!L:L),_xlfn.XLOOKUP(E1665,'Rest - Home'!F:F,'Rest - Home'!K:K))</f>
        <v>1</v>
      </c>
      <c r="AG1665" s="26">
        <v>1</v>
      </c>
      <c r="AH1665" s="26">
        <v>1</v>
      </c>
      <c r="AI1665" s="53" cm="1">
        <f t="array" ref="AI1665">MAX(IF($E$63:E1664=E1665,ROW($E$63:E1664)-MIN(ROW($E$63:E1664))+1))</f>
        <v>1560</v>
      </c>
      <c r="AJ1665" s="53" cm="1">
        <f t="array" ref="AJ1665">MAX(IF($I$105:I1664=I1665,ROW($I$105:I1664)-MIN(ROW($I$105:I1664))+1))</f>
        <v>1506</v>
      </c>
      <c r="AK1665" s="23">
        <f>IF(AI1665=0,_xlfn.XLOOKUP(E1665,'Starting GF'!A:A,'Starting GF'!B:B),INDEX($AL$63:$AL1665,AI1665))</f>
        <v>3.1787319638967459</v>
      </c>
      <c r="AL1665" s="23">
        <f t="shared" si="1399"/>
        <v>3.1787319638967459</v>
      </c>
      <c r="AM1665" s="23">
        <f>IF(AI1665=0,_xlfn.XLOOKUP(E1665,'Starting GF'!A:A,'Starting GF'!C:C),INDEX($AN$63:$AN1665,AI1665))</f>
        <v>2.8468752584326014</v>
      </c>
      <c r="AN1665" s="23">
        <f t="shared" si="1400"/>
        <v>2.8468752584326014</v>
      </c>
      <c r="AO1665" s="23">
        <f>IF(AJ1665=0,_xlfn.XLOOKUP(I1665,Goalies!B:B,Goalies!I:I),INDEX($AP$105:$AP1665,AJ1665))</f>
        <v>2.8427821019531461</v>
      </c>
      <c r="AP1665" s="23">
        <f t="shared" si="1401"/>
        <v>2.8427821019531461</v>
      </c>
      <c r="AQ1665" s="23">
        <f t="shared" si="1402"/>
        <v>2.8184065058482752</v>
      </c>
      <c r="AR1665" s="66">
        <v>0</v>
      </c>
      <c r="AS1665" s="96" t="s">
        <v>1594</v>
      </c>
      <c r="AT1665" s="20">
        <f t="shared" ref="AT1665" si="1654">(AK1665*V1665*X1665*Z1664*AA1665*AB1664*AC1665*AD1664*AG1665*AH1664)+AR1665</f>
        <v>3.3118373173422975</v>
      </c>
      <c r="AU1665" s="20">
        <f t="shared" ref="AU1665" si="1655">AT1664</f>
        <v>2.7563634761452098</v>
      </c>
      <c r="AV1665" s="12">
        <f t="shared" ref="AV1665" si="1656">AK1665*W1665*X1665*Z1664*AA1665*AB1664</f>
        <v>3.3828203453857744</v>
      </c>
      <c r="AW1665" s="12">
        <f t="shared" ref="AW1665" si="1657">AV1664</f>
        <v>2.7563634761452098</v>
      </c>
      <c r="AX1665" s="8">
        <f t="shared" si="1407"/>
        <v>3.3118373173422975</v>
      </c>
      <c r="AY1665" s="8">
        <f t="shared" si="1408"/>
        <v>2.7563634761452098</v>
      </c>
      <c r="AZ1665" s="8">
        <f t="shared" si="1409"/>
        <v>6.0682007934875077</v>
      </c>
      <c r="BA1665" s="8">
        <f t="shared" si="1410"/>
        <v>0.55547384119708765</v>
      </c>
      <c r="BB1665" s="62">
        <f t="shared" si="1411"/>
        <v>-143</v>
      </c>
      <c r="BC1665" s="21">
        <f t="shared" si="1412"/>
        <v>133</v>
      </c>
      <c r="BD1665" s="21">
        <f t="shared" si="1413"/>
        <v>106</v>
      </c>
      <c r="BE1665" s="21">
        <f t="shared" si="1414"/>
        <v>-119</v>
      </c>
      <c r="BF1665" s="94">
        <f t="shared" si="57"/>
        <v>0.589215344298333</v>
      </c>
      <c r="BG1665" s="22">
        <f t="shared" ref="BG1665" si="1658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0.42956708564917928</v>
      </c>
      <c r="BH1665" s="22">
        <f t="shared" ref="BH1665" si="1659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0.48457972496732798</v>
      </c>
      <c r="BI1665" s="22">
        <f t="shared" ref="BI1665" si="1660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0.54310721676836271</v>
      </c>
      <c r="BJ1665" s="21">
        <f t="shared" si="1416"/>
        <v>-149</v>
      </c>
      <c r="BK1665" s="21">
        <f t="shared" si="1417"/>
        <v>140</v>
      </c>
      <c r="BL1665" s="21">
        <f t="shared" si="1418"/>
        <v>112</v>
      </c>
      <c r="BM1665" s="21">
        <f t="shared" si="1419"/>
        <v>-113</v>
      </c>
      <c r="BN1665" s="22">
        <f t="shared" si="61"/>
        <v>0.59917424650410411</v>
      </c>
      <c r="BO1665" s="22">
        <f t="shared" ref="BO1665" si="1661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0.41716840711642417</v>
      </c>
      <c r="BP1665" s="22">
        <f t="shared" ref="BP1665" si="1662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0.47086334340033548</v>
      </c>
      <c r="BQ1665" s="22">
        <f t="shared" ref="BQ1665" si="1663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0.53119443176012393</v>
      </c>
      <c r="BR1665">
        <v>3.85</v>
      </c>
      <c r="BS1665">
        <v>4.4000000000000004</v>
      </c>
      <c r="BT1665">
        <v>0.42222999999999999</v>
      </c>
      <c r="BU1665">
        <v>0.16569</v>
      </c>
      <c r="BV1665">
        <v>0.17958444880396199</v>
      </c>
      <c r="BW1665">
        <v>0.24306</v>
      </c>
    </row>
    <row r="1666" spans="1:75" ht="16.75" customHeight="1" x14ac:dyDescent="0.2">
      <c r="A1666" t="str">
        <f t="shared" si="1631"/>
        <v>2025020803 TBL</v>
      </c>
      <c r="B1666">
        <v>2025020803</v>
      </c>
      <c r="C1666" s="1">
        <v>46045</v>
      </c>
      <c r="D1666" s="2" t="s">
        <v>6</v>
      </c>
      <c r="E1666" t="s">
        <v>41</v>
      </c>
      <c r="F1666" s="2">
        <v>2</v>
      </c>
      <c r="G1666" s="2">
        <v>0</v>
      </c>
      <c r="H1666" t="s">
        <v>107</v>
      </c>
      <c r="I1666" t="str">
        <f t="shared" si="1275"/>
        <v xml:space="preserve">TBL </v>
      </c>
      <c r="K1666" s="14"/>
      <c r="L1666" s="13">
        <v>0.15</v>
      </c>
      <c r="M1666" s="28">
        <v>0.1</v>
      </c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/>
      <c r="AE1666" s="23"/>
      <c r="AF1666" s="23"/>
      <c r="AG1666" s="26"/>
      <c r="AH1666" s="26"/>
      <c r="AI1666" s="53"/>
      <c r="AJ1666" s="6"/>
      <c r="AK1666" s="23"/>
      <c r="AL1666" s="23"/>
      <c r="AM1666" s="23"/>
      <c r="AN1666" s="23"/>
      <c r="AO1666" s="23"/>
      <c r="AP1666" s="23"/>
      <c r="AQ1666" s="23"/>
      <c r="AR1666" s="66">
        <v>0</v>
      </c>
      <c r="AS1666" s="8"/>
      <c r="AT1666" s="19"/>
      <c r="AU1666" s="19"/>
      <c r="AV1666" s="12"/>
      <c r="AW1666" s="12"/>
      <c r="AX1666" s="8"/>
      <c r="AY1666" s="8"/>
      <c r="AZ1666" s="8"/>
      <c r="BA1666" s="8"/>
      <c r="BB1666" s="62"/>
      <c r="BC1666" s="21"/>
      <c r="BD1666" s="21"/>
      <c r="BE1666" s="21"/>
      <c r="BF1666" s="22"/>
      <c r="BG1666" s="22"/>
      <c r="BH1666" s="22"/>
      <c r="BI1666" s="22"/>
      <c r="BJ1666" s="8"/>
      <c r="BK1666" s="8"/>
      <c r="BL1666" s="8"/>
      <c r="BM1666" s="8"/>
      <c r="BN1666" s="5"/>
      <c r="BO1666" s="5"/>
      <c r="BP1666" s="8"/>
      <c r="BQ1666" s="8"/>
      <c r="BR1666">
        <v>3.85</v>
      </c>
      <c r="BS1666">
        <v>4.45</v>
      </c>
      <c r="BT1666">
        <v>0.41432999999999998</v>
      </c>
      <c r="BU1666">
        <v>0.16163</v>
      </c>
      <c r="BV1666">
        <v>0.17495075011365299</v>
      </c>
      <c r="BW1666">
        <v>0.23777000000000001</v>
      </c>
    </row>
    <row r="1667" spans="1:75" ht="16.75" customHeight="1" x14ac:dyDescent="0.2">
      <c r="A1667" t="str">
        <f t="shared" si="1631"/>
        <v>2025020803 CHI</v>
      </c>
      <c r="B1667">
        <v>2025020803</v>
      </c>
      <c r="C1667" s="1">
        <v>46045</v>
      </c>
      <c r="D1667" s="2" t="s">
        <v>9</v>
      </c>
      <c r="E1667" t="s">
        <v>14</v>
      </c>
      <c r="F1667" s="2">
        <v>0</v>
      </c>
      <c r="G1667" s="2">
        <v>2</v>
      </c>
      <c r="H1667" t="s">
        <v>106</v>
      </c>
      <c r="I1667" t="str">
        <f t="shared" si="1275"/>
        <v xml:space="preserve">CHI </v>
      </c>
      <c r="K1667" s="14"/>
      <c r="L1667" s="13">
        <v>0.15</v>
      </c>
      <c r="M1667" s="28">
        <v>0.1</v>
      </c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  <c r="AD1667" s="5"/>
      <c r="AE1667" s="23"/>
      <c r="AF1667" s="23"/>
      <c r="AG1667" s="26"/>
      <c r="AH1667" s="26"/>
      <c r="AI1667" s="53"/>
      <c r="AJ1667" s="6"/>
      <c r="AK1667" s="23"/>
      <c r="AL1667" s="23"/>
      <c r="AM1667" s="23"/>
      <c r="AN1667" s="23"/>
      <c r="AO1667" s="23"/>
      <c r="AP1667" s="23"/>
      <c r="AQ1667" s="23"/>
      <c r="AR1667" s="66">
        <v>0</v>
      </c>
      <c r="AS1667" s="8"/>
      <c r="AT1667" s="19"/>
      <c r="AU1667" s="19"/>
      <c r="AV1667" s="12"/>
      <c r="AW1667" s="12"/>
      <c r="AX1667" s="8"/>
      <c r="AY1667" s="8"/>
      <c r="AZ1667" s="8"/>
      <c r="BA1667" s="8"/>
      <c r="BB1667" s="62"/>
      <c r="BC1667" s="21"/>
      <c r="BD1667" s="21"/>
      <c r="BE1667" s="21"/>
      <c r="BF1667" s="22"/>
      <c r="BG1667" s="22"/>
      <c r="BH1667" s="22"/>
      <c r="BI1667" s="22"/>
      <c r="BJ1667" s="8"/>
      <c r="BK1667" s="8"/>
      <c r="BL1667" s="8"/>
      <c r="BM1667" s="8"/>
      <c r="BN1667" s="5"/>
      <c r="BO1667" s="5"/>
      <c r="BP1667" s="8"/>
      <c r="BQ1667" s="8"/>
      <c r="BR1667">
        <v>3.85</v>
      </c>
      <c r="BS1667">
        <v>4.5</v>
      </c>
      <c r="BT1667">
        <v>0.40822999999999998</v>
      </c>
      <c r="BU1667">
        <v>0.15723000000000001</v>
      </c>
      <c r="BV1667">
        <v>0.17036515332105301</v>
      </c>
      <c r="BW1667">
        <v>0.23433000000000001</v>
      </c>
    </row>
    <row r="1668" spans="1:75" ht="16.75" customHeight="1" x14ac:dyDescent="0.2">
      <c r="A1668" t="str">
        <f t="shared" si="1631"/>
        <v>2025020802 VGK</v>
      </c>
      <c r="B1668">
        <v>2025020802</v>
      </c>
      <c r="C1668" s="1">
        <v>46045</v>
      </c>
      <c r="D1668" s="2" t="s">
        <v>6</v>
      </c>
      <c r="E1668" t="s">
        <v>25</v>
      </c>
      <c r="F1668" s="2">
        <v>0</v>
      </c>
      <c r="G1668" s="2">
        <v>1</v>
      </c>
      <c r="H1668" t="s">
        <v>26</v>
      </c>
      <c r="I1668" t="str">
        <f t="shared" si="1275"/>
        <v xml:space="preserve">VGK </v>
      </c>
      <c r="K1668" s="14"/>
      <c r="L1668" s="13">
        <v>0.15</v>
      </c>
      <c r="M1668" s="28">
        <v>0.1</v>
      </c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  <c r="AD1668" s="5"/>
      <c r="AE1668" s="23"/>
      <c r="AF1668" s="23"/>
      <c r="AG1668" s="26"/>
      <c r="AH1668" s="26"/>
      <c r="AI1668" s="53"/>
      <c r="AJ1668" s="6"/>
      <c r="AK1668" s="23"/>
      <c r="AL1668" s="23"/>
      <c r="AM1668" s="23"/>
      <c r="AN1668" s="23"/>
      <c r="AO1668" s="23"/>
      <c r="AP1668" s="23"/>
      <c r="AQ1668" s="23"/>
      <c r="AR1668" s="66">
        <v>0</v>
      </c>
      <c r="AS1668" s="8"/>
      <c r="AT1668" s="19"/>
      <c r="AU1668" s="19"/>
      <c r="AV1668" s="12"/>
      <c r="AW1668" s="12"/>
      <c r="AX1668" s="8"/>
      <c r="AY1668" s="8"/>
      <c r="AZ1668" s="8"/>
      <c r="BA1668" s="8"/>
      <c r="BB1668" s="62"/>
      <c r="BC1668" s="21"/>
      <c r="BD1668" s="21"/>
      <c r="BE1668" s="21"/>
      <c r="BF1668" s="22"/>
      <c r="BG1668" s="22"/>
      <c r="BH1668" s="22"/>
      <c r="BI1668" s="22"/>
      <c r="BJ1668" s="8"/>
      <c r="BK1668" s="8"/>
      <c r="BL1668" s="8"/>
      <c r="BM1668" s="8"/>
      <c r="BN1668" s="5"/>
      <c r="BO1668" s="5"/>
      <c r="BP1668" s="8"/>
      <c r="BQ1668" s="8"/>
      <c r="BR1668">
        <v>3.85</v>
      </c>
      <c r="BS1668">
        <v>4.55</v>
      </c>
      <c r="BT1668">
        <v>0.40373999999999999</v>
      </c>
      <c r="BU1668">
        <v>0.1527</v>
      </c>
      <c r="BV1668">
        <v>0.16522934092212399</v>
      </c>
      <c r="BW1668">
        <v>0.22853000000000001</v>
      </c>
    </row>
    <row r="1669" spans="1:75" ht="16.75" customHeight="1" x14ac:dyDescent="0.2">
      <c r="A1669" t="str">
        <f t="shared" si="1631"/>
        <v>2025020802 TOR</v>
      </c>
      <c r="B1669">
        <v>2025020802</v>
      </c>
      <c r="C1669" s="1">
        <v>46045</v>
      </c>
      <c r="D1669" s="2" t="s">
        <v>9</v>
      </c>
      <c r="E1669" t="s">
        <v>18</v>
      </c>
      <c r="F1669" s="2">
        <v>1</v>
      </c>
      <c r="G1669" s="2">
        <v>0</v>
      </c>
      <c r="H1669" t="s">
        <v>27</v>
      </c>
      <c r="I1669" t="str">
        <f t="shared" si="1275"/>
        <v xml:space="preserve">TOR </v>
      </c>
      <c r="K1669" s="14"/>
      <c r="L1669" s="13">
        <v>0.15</v>
      </c>
      <c r="M1669" s="28">
        <v>0.1</v>
      </c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  <c r="AD1669" s="5"/>
      <c r="AE1669" s="23"/>
      <c r="AF1669" s="23"/>
      <c r="AG1669" s="26"/>
      <c r="AH1669" s="26"/>
      <c r="AI1669" s="53"/>
      <c r="AJ1669" s="6"/>
      <c r="AK1669" s="23"/>
      <c r="AL1669" s="23"/>
      <c r="AM1669" s="23"/>
      <c r="AN1669" s="23"/>
      <c r="AO1669" s="23"/>
      <c r="AP1669" s="23"/>
      <c r="AQ1669" s="23"/>
      <c r="AR1669" s="66">
        <v>0</v>
      </c>
      <c r="AS1669" s="8"/>
      <c r="AT1669" s="19"/>
      <c r="AU1669" s="19"/>
      <c r="AV1669" s="12"/>
      <c r="AW1669" s="12"/>
      <c r="AX1669" s="8"/>
      <c r="AY1669" s="8"/>
      <c r="AZ1669" s="8"/>
      <c r="BA1669" s="8"/>
      <c r="BB1669" s="62"/>
      <c r="BC1669" s="21"/>
      <c r="BD1669" s="21"/>
      <c r="BE1669" s="21"/>
      <c r="BF1669" s="22"/>
      <c r="BG1669" s="22"/>
      <c r="BH1669" s="22"/>
      <c r="BI1669" s="22"/>
      <c r="BJ1669" s="8"/>
      <c r="BK1669" s="8"/>
      <c r="BL1669" s="8"/>
      <c r="BM1669" s="8"/>
      <c r="BN1669" s="5"/>
      <c r="BO1669" s="5"/>
      <c r="BP1669" s="8"/>
      <c r="BQ1669" s="8"/>
      <c r="BR1669">
        <v>3.85</v>
      </c>
      <c r="BS1669">
        <v>4.5999999999999996</v>
      </c>
      <c r="BT1669">
        <v>0.40010000000000001</v>
      </c>
      <c r="BU1669">
        <v>0.14987</v>
      </c>
      <c r="BV1669">
        <v>0.16199009922393401</v>
      </c>
      <c r="BW1669">
        <v>0.22469</v>
      </c>
    </row>
    <row r="1670" spans="1:75" ht="16.75" customHeight="1" x14ac:dyDescent="0.2">
      <c r="A1670" t="str">
        <f t="shared" si="1631"/>
        <v>2025020804 STL</v>
      </c>
      <c r="B1670">
        <v>2025020804</v>
      </c>
      <c r="C1670" s="1">
        <v>46045</v>
      </c>
      <c r="D1670" s="2" t="s">
        <v>6</v>
      </c>
      <c r="E1670" t="s">
        <v>12</v>
      </c>
      <c r="F1670" s="2">
        <v>2</v>
      </c>
      <c r="G1670" s="2">
        <v>0</v>
      </c>
      <c r="H1670" t="s">
        <v>107</v>
      </c>
      <c r="I1670" t="str">
        <f t="shared" si="1275"/>
        <v xml:space="preserve">STL </v>
      </c>
      <c r="K1670" s="14"/>
      <c r="L1670" s="13">
        <v>0.15</v>
      </c>
      <c r="M1670" s="28">
        <v>0.1</v>
      </c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  <c r="AD1670" s="5"/>
      <c r="AE1670" s="23"/>
      <c r="AF1670" s="23"/>
      <c r="AG1670" s="26"/>
      <c r="AH1670" s="26"/>
      <c r="AI1670" s="53"/>
      <c r="AJ1670" s="6"/>
      <c r="AK1670" s="23"/>
      <c r="AL1670" s="23"/>
      <c r="AM1670" s="23"/>
      <c r="AN1670" s="23"/>
      <c r="AO1670" s="23"/>
      <c r="AP1670" s="23"/>
      <c r="AQ1670" s="23"/>
      <c r="AR1670" s="66">
        <v>0</v>
      </c>
      <c r="AS1670" s="8"/>
      <c r="AT1670" s="19"/>
      <c r="AU1670" s="19"/>
      <c r="AV1670" s="12"/>
      <c r="AW1670" s="12"/>
      <c r="AX1670" s="8"/>
      <c r="AY1670" s="8"/>
      <c r="AZ1670" s="8"/>
      <c r="BA1670" s="8"/>
      <c r="BB1670" s="62"/>
      <c r="BC1670" s="21"/>
      <c r="BD1670" s="21"/>
      <c r="BE1670" s="21"/>
      <c r="BF1670" s="22"/>
      <c r="BG1670" s="22"/>
      <c r="BH1670" s="22"/>
      <c r="BI1670" s="22"/>
      <c r="BJ1670" s="8"/>
      <c r="BK1670" s="8"/>
      <c r="BL1670" s="8"/>
      <c r="BM1670" s="8"/>
      <c r="BN1670" s="5"/>
      <c r="BO1670" s="5"/>
      <c r="BP1670" s="8"/>
      <c r="BQ1670" s="8"/>
      <c r="BR1670">
        <v>3.85</v>
      </c>
      <c r="BS1670">
        <v>4.6500000000000004</v>
      </c>
      <c r="BT1670">
        <v>0.39054</v>
      </c>
      <c r="BU1670">
        <v>0.14530000000000001</v>
      </c>
      <c r="BV1670">
        <v>0.15682338211803301</v>
      </c>
      <c r="BW1670">
        <v>0.21878</v>
      </c>
    </row>
    <row r="1671" spans="1:75" ht="16.75" customHeight="1" x14ac:dyDescent="0.2">
      <c r="A1671" t="str">
        <f t="shared" si="1631"/>
        <v>2025020804 DAL</v>
      </c>
      <c r="B1671">
        <v>2025020804</v>
      </c>
      <c r="C1671" s="1">
        <v>46045</v>
      </c>
      <c r="D1671" s="2" t="s">
        <v>9</v>
      </c>
      <c r="E1671" t="s">
        <v>34</v>
      </c>
      <c r="F1671" s="2">
        <v>0</v>
      </c>
      <c r="G1671" s="2">
        <v>2</v>
      </c>
      <c r="H1671" t="s">
        <v>106</v>
      </c>
      <c r="I1671" t="str">
        <f t="shared" si="1275"/>
        <v xml:space="preserve">DAL </v>
      </c>
      <c r="K1671" s="14"/>
      <c r="L1671" s="13">
        <v>0.15</v>
      </c>
      <c r="M1671" s="28">
        <v>0.1</v>
      </c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  <c r="AD1671" s="5"/>
      <c r="AE1671" s="23"/>
      <c r="AF1671" s="23"/>
      <c r="AG1671" s="26"/>
      <c r="AH1671" s="26"/>
      <c r="AI1671" s="53"/>
      <c r="AJ1671" s="6"/>
      <c r="AK1671" s="23"/>
      <c r="AL1671" s="23"/>
      <c r="AM1671" s="23"/>
      <c r="AN1671" s="23"/>
      <c r="AO1671" s="23"/>
      <c r="AP1671" s="23"/>
      <c r="AQ1671" s="23"/>
      <c r="AR1671" s="66">
        <v>0</v>
      </c>
      <c r="AS1671" s="8"/>
      <c r="AT1671" s="19"/>
      <c r="AU1671" s="19"/>
      <c r="AV1671" s="12"/>
      <c r="AW1671" s="12"/>
      <c r="AX1671" s="8"/>
      <c r="AY1671" s="8"/>
      <c r="AZ1671" s="8"/>
      <c r="BA1671" s="8"/>
      <c r="BB1671" s="62"/>
      <c r="BC1671" s="21"/>
      <c r="BD1671" s="21"/>
      <c r="BE1671" s="21"/>
      <c r="BF1671" s="22"/>
      <c r="BG1671" s="22"/>
      <c r="BH1671" s="22"/>
      <c r="BI1671" s="22"/>
      <c r="BJ1671" s="8"/>
      <c r="BK1671" s="8"/>
      <c r="BL1671" s="8"/>
      <c r="BM1671" s="8"/>
      <c r="BN1671" s="5"/>
      <c r="BO1671" s="5"/>
      <c r="BP1671" s="8"/>
      <c r="BQ1671" s="8"/>
      <c r="BR1671">
        <v>3.85</v>
      </c>
      <c r="BS1671">
        <v>4.7</v>
      </c>
      <c r="BT1671">
        <v>0.38568000000000002</v>
      </c>
      <c r="BU1671">
        <v>0.14180000000000001</v>
      </c>
      <c r="BV1671">
        <v>0.152778675630831</v>
      </c>
      <c r="BW1671">
        <v>0.21365999999999999</v>
      </c>
    </row>
    <row r="1672" spans="1:75" ht="16.75" customHeight="1" x14ac:dyDescent="0.2">
      <c r="A1672" t="str">
        <f t="shared" si="1631"/>
        <v>2025020805 PHI</v>
      </c>
      <c r="B1672">
        <v>2025020805</v>
      </c>
      <c r="C1672" s="1">
        <v>46045</v>
      </c>
      <c r="D1672" s="2" t="s">
        <v>6</v>
      </c>
      <c r="E1672" t="s">
        <v>43</v>
      </c>
      <c r="F1672" s="2">
        <v>1</v>
      </c>
      <c r="G1672" s="2">
        <v>1</v>
      </c>
      <c r="H1672" t="s">
        <v>46</v>
      </c>
      <c r="I1672" t="str">
        <f t="shared" si="1275"/>
        <v xml:space="preserve">PHI </v>
      </c>
      <c r="K1672" s="14"/>
      <c r="L1672" s="13">
        <v>0.15</v>
      </c>
      <c r="M1672" s="28">
        <v>0.1</v>
      </c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  <c r="AD1672" s="5"/>
      <c r="AE1672" s="23"/>
      <c r="AF1672" s="23"/>
      <c r="AG1672" s="26"/>
      <c r="AH1672" s="26"/>
      <c r="AI1672" s="53"/>
      <c r="AJ1672" s="6"/>
      <c r="AK1672" s="23"/>
      <c r="AL1672" s="23"/>
      <c r="AM1672" s="23"/>
      <c r="AN1672" s="23"/>
      <c r="AO1672" s="23"/>
      <c r="AP1672" s="23"/>
      <c r="AQ1672" s="23"/>
      <c r="AR1672" s="66">
        <v>0</v>
      </c>
      <c r="AS1672" s="8"/>
      <c r="AT1672" s="19"/>
      <c r="AU1672" s="19"/>
      <c r="AV1672" s="12"/>
      <c r="AW1672" s="12"/>
      <c r="AX1672" s="8"/>
      <c r="AY1672" s="8"/>
      <c r="AZ1672" s="8"/>
      <c r="BA1672" s="8"/>
      <c r="BB1672" s="62"/>
      <c r="BC1672" s="21"/>
      <c r="BD1672" s="21"/>
      <c r="BE1672" s="21"/>
      <c r="BF1672" s="22"/>
      <c r="BG1672" s="22"/>
      <c r="BH1672" s="22"/>
      <c r="BI1672" s="22"/>
      <c r="BJ1672" s="8"/>
      <c r="BK1672" s="8"/>
      <c r="BL1672" s="8"/>
      <c r="BM1672" s="8"/>
      <c r="BN1672" s="5"/>
      <c r="BO1672" s="5"/>
      <c r="BP1672" s="8"/>
      <c r="BQ1672" s="8"/>
      <c r="BR1672">
        <v>3.85</v>
      </c>
      <c r="BS1672">
        <v>4.75</v>
      </c>
      <c r="BT1672">
        <v>0.37885000000000002</v>
      </c>
      <c r="BU1672">
        <v>0.13869000000000001</v>
      </c>
      <c r="BV1672">
        <v>0.14920283150805699</v>
      </c>
      <c r="BW1672">
        <v>0.20915</v>
      </c>
    </row>
    <row r="1673" spans="1:75" ht="16.75" customHeight="1" x14ac:dyDescent="0.2">
      <c r="A1673" t="str">
        <f t="shared" si="1631"/>
        <v>2025020805 COL</v>
      </c>
      <c r="B1673">
        <v>2025020805</v>
      </c>
      <c r="C1673" s="1">
        <v>46045</v>
      </c>
      <c r="D1673" s="2" t="s">
        <v>9</v>
      </c>
      <c r="E1673" t="s">
        <v>24</v>
      </c>
      <c r="F1673" s="2">
        <v>1</v>
      </c>
      <c r="G1673" s="2">
        <v>1</v>
      </c>
      <c r="H1673" t="s">
        <v>47</v>
      </c>
      <c r="I1673" t="str">
        <f t="shared" si="1275"/>
        <v xml:space="preserve">COL </v>
      </c>
      <c r="K1673" s="14"/>
      <c r="L1673" s="13">
        <v>0.15</v>
      </c>
      <c r="M1673" s="28">
        <v>0.1</v>
      </c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  <c r="AD1673" s="5"/>
      <c r="AE1673" s="23"/>
      <c r="AF1673" s="23"/>
      <c r="AG1673" s="26"/>
      <c r="AH1673" s="26"/>
      <c r="AI1673" s="53"/>
      <c r="AJ1673" s="6"/>
      <c r="AK1673" s="23"/>
      <c r="AL1673" s="23"/>
      <c r="AM1673" s="23"/>
      <c r="AN1673" s="23"/>
      <c r="AO1673" s="23"/>
      <c r="AP1673" s="23"/>
      <c r="AQ1673" s="23"/>
      <c r="AR1673" s="66">
        <v>0</v>
      </c>
      <c r="AS1673" s="8"/>
      <c r="AT1673" s="19"/>
      <c r="AU1673" s="19"/>
      <c r="AV1673" s="12"/>
      <c r="AW1673" s="12"/>
      <c r="AX1673" s="8"/>
      <c r="AY1673" s="8"/>
      <c r="AZ1673" s="8"/>
      <c r="BA1673" s="8"/>
      <c r="BB1673" s="62"/>
      <c r="BC1673" s="21"/>
      <c r="BD1673" s="21"/>
      <c r="BE1673" s="21"/>
      <c r="BF1673" s="22"/>
      <c r="BG1673" s="22"/>
      <c r="BH1673" s="22"/>
      <c r="BI1673" s="22"/>
      <c r="BJ1673" s="8"/>
      <c r="BK1673" s="8"/>
      <c r="BL1673" s="8"/>
      <c r="BM1673" s="8"/>
      <c r="BN1673" s="5"/>
      <c r="BO1673" s="5"/>
      <c r="BP1673" s="8"/>
      <c r="BQ1673" s="8"/>
      <c r="BR1673">
        <v>3.85</v>
      </c>
      <c r="BS1673">
        <v>4.8</v>
      </c>
      <c r="BT1673">
        <v>0.37276999999999999</v>
      </c>
      <c r="BU1673">
        <v>0.13453999999999999</v>
      </c>
      <c r="BV1673">
        <v>0.14479589310890301</v>
      </c>
      <c r="BW1673">
        <v>0.20537</v>
      </c>
    </row>
    <row r="1674" spans="1:75" ht="16.75" customHeight="1" x14ac:dyDescent="0.2">
      <c r="A1674" t="str">
        <f t="shared" si="1631"/>
        <v>2025020806 WSH</v>
      </c>
      <c r="B1674">
        <v>2025020806</v>
      </c>
      <c r="C1674" s="1">
        <v>46045</v>
      </c>
      <c r="D1674" s="2" t="s">
        <v>6</v>
      </c>
      <c r="E1674" t="s">
        <v>49</v>
      </c>
      <c r="F1674" s="2">
        <v>1</v>
      </c>
      <c r="G1674" s="2">
        <v>1</v>
      </c>
      <c r="H1674" t="s">
        <v>46</v>
      </c>
      <c r="I1674" t="str">
        <f t="shared" si="1275"/>
        <v xml:space="preserve">WSH </v>
      </c>
      <c r="K1674" s="14"/>
      <c r="L1674" s="13">
        <v>0.15</v>
      </c>
      <c r="M1674" s="28">
        <v>0.1</v>
      </c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  <c r="AD1674" s="5"/>
      <c r="AE1674" s="23"/>
      <c r="AF1674" s="23"/>
      <c r="AG1674" s="26"/>
      <c r="AH1674" s="26"/>
      <c r="AI1674" s="53"/>
      <c r="AJ1674" s="6"/>
      <c r="AK1674" s="23"/>
      <c r="AL1674" s="23"/>
      <c r="AM1674" s="23"/>
      <c r="AN1674" s="23"/>
      <c r="AO1674" s="23"/>
      <c r="AP1674" s="23"/>
      <c r="AQ1674" s="23"/>
      <c r="AR1674" s="66">
        <v>0</v>
      </c>
      <c r="AS1674" s="8"/>
      <c r="AT1674" s="19"/>
      <c r="AU1674" s="19"/>
      <c r="AV1674" s="12"/>
      <c r="AW1674" s="12"/>
      <c r="AX1674" s="8"/>
      <c r="AY1674" s="8"/>
      <c r="AZ1674" s="8"/>
      <c r="BA1674" s="8"/>
      <c r="BB1674" s="62"/>
      <c r="BC1674" s="21"/>
      <c r="BD1674" s="21"/>
      <c r="BE1674" s="21"/>
      <c r="BF1674" s="22"/>
      <c r="BG1674" s="22"/>
      <c r="BH1674" s="22"/>
      <c r="BI1674" s="22"/>
      <c r="BJ1674" s="8"/>
      <c r="BK1674" s="8"/>
      <c r="BL1674" s="8"/>
      <c r="BM1674" s="8"/>
      <c r="BN1674" s="5"/>
      <c r="BO1674" s="5"/>
      <c r="BP1674" s="8"/>
      <c r="BQ1674" s="8"/>
      <c r="BR1674">
        <v>3.85</v>
      </c>
      <c r="BS1674">
        <v>4.8499999999999996</v>
      </c>
      <c r="BT1674">
        <v>0.36840000000000001</v>
      </c>
      <c r="BU1674">
        <v>0.13247</v>
      </c>
      <c r="BV1674">
        <v>0.14243626549681099</v>
      </c>
      <c r="BW1674">
        <v>0.20244000000000001</v>
      </c>
    </row>
    <row r="1675" spans="1:75" ht="16.75" customHeight="1" x14ac:dyDescent="0.2">
      <c r="A1675" t="str">
        <f t="shared" si="1631"/>
        <v>2025020806 CGY</v>
      </c>
      <c r="B1675">
        <v>2025020806</v>
      </c>
      <c r="C1675" s="1">
        <v>46045</v>
      </c>
      <c r="D1675" s="2" t="s">
        <v>9</v>
      </c>
      <c r="E1675" t="s">
        <v>22</v>
      </c>
      <c r="F1675" s="2">
        <v>1</v>
      </c>
      <c r="G1675" s="2">
        <v>1</v>
      </c>
      <c r="H1675" t="s">
        <v>47</v>
      </c>
      <c r="I1675" t="str">
        <f t="shared" si="1275"/>
        <v xml:space="preserve">CGY </v>
      </c>
      <c r="K1675" s="14"/>
      <c r="L1675" s="13">
        <v>0.15</v>
      </c>
      <c r="M1675" s="28">
        <v>0.1</v>
      </c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  <c r="AD1675" s="5"/>
      <c r="AE1675" s="23"/>
      <c r="AF1675" s="23"/>
      <c r="AG1675" s="26"/>
      <c r="AH1675" s="26"/>
      <c r="AI1675" s="53"/>
      <c r="AJ1675" s="6"/>
      <c r="AK1675" s="23"/>
      <c r="AL1675" s="23"/>
      <c r="AM1675" s="23"/>
      <c r="AN1675" s="23"/>
      <c r="AO1675" s="23"/>
      <c r="AP1675" s="23"/>
      <c r="AQ1675" s="23"/>
      <c r="AR1675" s="66">
        <v>0</v>
      </c>
      <c r="AS1675" s="8"/>
      <c r="AT1675" s="19"/>
      <c r="AU1675" s="19"/>
      <c r="AV1675" s="12"/>
      <c r="AW1675" s="12"/>
      <c r="AX1675" s="8"/>
      <c r="AY1675" s="8"/>
      <c r="AZ1675" s="8"/>
      <c r="BA1675" s="8"/>
      <c r="BB1675" s="62"/>
      <c r="BC1675" s="21"/>
      <c r="BD1675" s="21"/>
      <c r="BE1675" s="21"/>
      <c r="BF1675" s="22"/>
      <c r="BG1675" s="22"/>
      <c r="BH1675" s="22"/>
      <c r="BI1675" s="22"/>
      <c r="BJ1675" s="8"/>
      <c r="BK1675" s="8"/>
      <c r="BL1675" s="8"/>
      <c r="BM1675" s="8"/>
      <c r="BN1675" s="5"/>
      <c r="BO1675" s="5"/>
      <c r="BP1675" s="8"/>
      <c r="BQ1675" s="8"/>
      <c r="BR1675">
        <v>3.85</v>
      </c>
      <c r="BS1675">
        <v>4.9000000000000004</v>
      </c>
      <c r="BT1675">
        <v>0.36163000000000001</v>
      </c>
      <c r="BU1675">
        <v>0.12969</v>
      </c>
      <c r="BV1675">
        <v>0.138729622181335</v>
      </c>
      <c r="BW1675">
        <v>0.19485</v>
      </c>
    </row>
    <row r="1676" spans="1:75" ht="16.75" customHeight="1" x14ac:dyDescent="0.2">
      <c r="A1676" t="str">
        <f t="shared" si="1631"/>
        <v>2025020809 ANA</v>
      </c>
      <c r="B1676">
        <v>2025020809</v>
      </c>
      <c r="C1676" s="1">
        <v>46045</v>
      </c>
      <c r="D1676" s="2" t="s">
        <v>6</v>
      </c>
      <c r="E1676" t="s">
        <v>48</v>
      </c>
      <c r="F1676" s="2">
        <v>1</v>
      </c>
      <c r="G1676" s="2">
        <v>1</v>
      </c>
      <c r="H1676" t="s">
        <v>46</v>
      </c>
      <c r="I1676" t="str">
        <f t="shared" si="1275"/>
        <v xml:space="preserve">ANA </v>
      </c>
      <c r="K1676" s="14"/>
      <c r="L1676" s="13">
        <v>0.15</v>
      </c>
      <c r="M1676" s="28">
        <v>0.1</v>
      </c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  <c r="AD1676" s="5"/>
      <c r="AE1676" s="23"/>
      <c r="AF1676" s="23"/>
      <c r="AG1676" s="26"/>
      <c r="AH1676" s="26"/>
      <c r="AI1676" s="53"/>
      <c r="AJ1676" s="6"/>
      <c r="AK1676" s="23"/>
      <c r="AL1676" s="23"/>
      <c r="AM1676" s="23"/>
      <c r="AN1676" s="23"/>
      <c r="AO1676" s="23"/>
      <c r="AP1676" s="23"/>
      <c r="AQ1676" s="23"/>
      <c r="AR1676" s="66">
        <v>0</v>
      </c>
      <c r="AS1676" s="8"/>
      <c r="AT1676" s="19"/>
      <c r="AU1676" s="19"/>
      <c r="AV1676" s="12"/>
      <c r="AW1676" s="12"/>
      <c r="AX1676" s="8"/>
      <c r="AY1676" s="8"/>
      <c r="AZ1676" s="8"/>
      <c r="BA1676" s="8"/>
      <c r="BB1676" s="62"/>
      <c r="BC1676" s="21"/>
      <c r="BD1676" s="21"/>
      <c r="BE1676" s="21"/>
      <c r="BF1676" s="22"/>
      <c r="BG1676" s="22"/>
      <c r="BH1676" s="22"/>
      <c r="BI1676" s="22"/>
      <c r="BJ1676" s="8"/>
      <c r="BK1676" s="8"/>
      <c r="BL1676" s="8"/>
      <c r="BM1676" s="8"/>
      <c r="BN1676" s="5"/>
      <c r="BO1676" s="5"/>
      <c r="BP1676" s="8"/>
      <c r="BQ1676" s="8"/>
      <c r="BR1676">
        <v>3.85</v>
      </c>
      <c r="BS1676">
        <v>4.95</v>
      </c>
      <c r="BT1676">
        <v>0.35796</v>
      </c>
      <c r="BU1676">
        <v>0.12322</v>
      </c>
      <c r="BV1676">
        <v>0.132004927955434</v>
      </c>
      <c r="BW1676">
        <v>0.18976999999999999</v>
      </c>
    </row>
    <row r="1677" spans="1:75" ht="16.75" customHeight="1" x14ac:dyDescent="0.2">
      <c r="A1677" t="str">
        <f t="shared" si="1631"/>
        <v>2025020809 SEA</v>
      </c>
      <c r="B1677">
        <v>2025020809</v>
      </c>
      <c r="C1677" s="1">
        <v>46045</v>
      </c>
      <c r="D1677" s="2" t="s">
        <v>9</v>
      </c>
      <c r="E1677" t="s">
        <v>13</v>
      </c>
      <c r="F1677" s="2">
        <v>1</v>
      </c>
      <c r="G1677" s="2">
        <v>1</v>
      </c>
      <c r="H1677" t="s">
        <v>47</v>
      </c>
      <c r="I1677" t="str">
        <f t="shared" si="1275"/>
        <v xml:space="preserve">SEA </v>
      </c>
      <c r="K1677" s="14"/>
      <c r="L1677" s="13">
        <v>0.15</v>
      </c>
      <c r="M1677" s="28">
        <v>0.1</v>
      </c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  <c r="AD1677" s="5"/>
      <c r="AE1677" s="23"/>
      <c r="AF1677" s="23"/>
      <c r="AG1677" s="26"/>
      <c r="AH1677" s="26"/>
      <c r="AI1677" s="53"/>
      <c r="AJ1677" s="6"/>
      <c r="AK1677" s="23"/>
      <c r="AL1677" s="23"/>
      <c r="AM1677" s="23"/>
      <c r="AN1677" s="23"/>
      <c r="AO1677" s="23"/>
      <c r="AP1677" s="23"/>
      <c r="AQ1677" s="23"/>
      <c r="AR1677" s="66">
        <v>0</v>
      </c>
      <c r="AS1677" s="8"/>
      <c r="AT1677" s="19"/>
      <c r="AU1677" s="19"/>
      <c r="AV1677" s="12"/>
      <c r="AW1677" s="12"/>
      <c r="AX1677" s="8"/>
      <c r="AY1677" s="8"/>
      <c r="AZ1677" s="8"/>
      <c r="BA1677" s="8"/>
      <c r="BB1677" s="62"/>
      <c r="BC1677" s="21"/>
      <c r="BD1677" s="21"/>
      <c r="BE1677" s="21"/>
      <c r="BF1677" s="22"/>
      <c r="BG1677" s="22"/>
      <c r="BH1677" s="22"/>
      <c r="BI1677" s="22"/>
      <c r="BJ1677" s="8"/>
      <c r="BK1677" s="8"/>
      <c r="BL1677" s="8"/>
      <c r="BM1677" s="8"/>
      <c r="BN1677" s="5"/>
      <c r="BO1677" s="5"/>
      <c r="BP1677" s="8"/>
      <c r="BQ1677" s="8"/>
      <c r="BR1677">
        <v>3.85</v>
      </c>
      <c r="BS1677">
        <v>5</v>
      </c>
      <c r="BT1677">
        <v>0.35142000000000001</v>
      </c>
      <c r="BU1677">
        <v>0.12076000000000001</v>
      </c>
      <c r="BV1677">
        <v>0.129178567226126</v>
      </c>
      <c r="BW1677">
        <v>0.18593000000000001</v>
      </c>
    </row>
    <row r="1678" spans="1:75" ht="16.75" customHeight="1" x14ac:dyDescent="0.2">
      <c r="A1678" t="str">
        <f t="shared" si="1631"/>
        <v>2025020807 NJD</v>
      </c>
      <c r="B1678">
        <v>2025020807</v>
      </c>
      <c r="C1678" s="1">
        <v>46045</v>
      </c>
      <c r="D1678" s="2" t="s">
        <v>6</v>
      </c>
      <c r="E1678" t="s">
        <v>4</v>
      </c>
      <c r="F1678" s="2">
        <v>2</v>
      </c>
      <c r="G1678" s="2">
        <v>1</v>
      </c>
      <c r="H1678" t="s">
        <v>44</v>
      </c>
      <c r="I1678" t="str">
        <f t="shared" si="1275"/>
        <v xml:space="preserve">NJD </v>
      </c>
      <c r="K1678" s="14"/>
      <c r="L1678" s="13">
        <v>0.15</v>
      </c>
      <c r="M1678" s="28">
        <v>0.1</v>
      </c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  <c r="AD1678" s="5"/>
      <c r="AE1678" s="23"/>
      <c r="AF1678" s="23"/>
      <c r="AG1678" s="26"/>
      <c r="AH1678" s="26"/>
      <c r="AI1678" s="53"/>
      <c r="AJ1678" s="6"/>
      <c r="AK1678" s="23"/>
      <c r="AL1678" s="23"/>
      <c r="AM1678" s="23"/>
      <c r="AN1678" s="23"/>
      <c r="AO1678" s="23"/>
      <c r="AP1678" s="23"/>
      <c r="AQ1678" s="23"/>
      <c r="AR1678" s="66">
        <v>0</v>
      </c>
      <c r="AS1678" s="8"/>
      <c r="AT1678" s="19"/>
      <c r="AU1678" s="19"/>
      <c r="AV1678" s="12"/>
      <c r="AW1678" s="12"/>
      <c r="AX1678" s="8"/>
      <c r="AY1678" s="8"/>
      <c r="AZ1678" s="8"/>
      <c r="BA1678" s="8"/>
      <c r="BB1678" s="62"/>
      <c r="BC1678" s="21"/>
      <c r="BD1678" s="21"/>
      <c r="BE1678" s="21"/>
      <c r="BF1678" s="22"/>
      <c r="BG1678" s="22"/>
      <c r="BH1678" s="22"/>
      <c r="BI1678" s="22"/>
      <c r="BJ1678" s="8"/>
      <c r="BK1678" s="8"/>
      <c r="BL1678" s="8"/>
      <c r="BM1678" s="8"/>
      <c r="BN1678" s="5"/>
      <c r="BO1678" s="5"/>
      <c r="BP1678" s="8"/>
      <c r="BQ1678" s="8"/>
      <c r="BR1678">
        <v>3.9</v>
      </c>
      <c r="BS1678">
        <v>3.9</v>
      </c>
      <c r="BT1678">
        <v>0.49595</v>
      </c>
      <c r="BU1678">
        <v>0.2051</v>
      </c>
      <c r="BV1678">
        <v>0.224708021999693</v>
      </c>
      <c r="BW1678">
        <v>0.29236000000000001</v>
      </c>
    </row>
    <row r="1679" spans="1:75" ht="16.75" customHeight="1" x14ac:dyDescent="0.2">
      <c r="A1679" t="str">
        <f t="shared" si="1631"/>
        <v>2025020807 VAN</v>
      </c>
      <c r="B1679">
        <v>2025020807</v>
      </c>
      <c r="C1679" s="1">
        <v>46045</v>
      </c>
      <c r="D1679" s="2" t="s">
        <v>9</v>
      </c>
      <c r="E1679" t="s">
        <v>23</v>
      </c>
      <c r="F1679" s="2">
        <v>1</v>
      </c>
      <c r="G1679" s="2">
        <v>2</v>
      </c>
      <c r="H1679" t="s">
        <v>45</v>
      </c>
      <c r="I1679" t="str">
        <f t="shared" si="1275"/>
        <v xml:space="preserve">VAN </v>
      </c>
      <c r="K1679" s="14"/>
      <c r="L1679" s="13">
        <v>0.15</v>
      </c>
      <c r="M1679" s="28">
        <v>0.1</v>
      </c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  <c r="AD1679" s="5"/>
      <c r="AE1679" s="23"/>
      <c r="AF1679" s="23"/>
      <c r="AG1679" s="26"/>
      <c r="AH1679" s="26"/>
      <c r="AI1679" s="53"/>
      <c r="AJ1679" s="6"/>
      <c r="AK1679" s="23"/>
      <c r="AL1679" s="23"/>
      <c r="AM1679" s="23"/>
      <c r="AN1679" s="23"/>
      <c r="AO1679" s="23"/>
      <c r="AP1679" s="23"/>
      <c r="AQ1679" s="23"/>
      <c r="AR1679" s="66">
        <v>0</v>
      </c>
      <c r="AS1679" s="8"/>
      <c r="AT1679" s="19"/>
      <c r="AU1679" s="19"/>
      <c r="AV1679" s="12"/>
      <c r="AW1679" s="12"/>
      <c r="AX1679" s="8"/>
      <c r="AY1679" s="8"/>
      <c r="AZ1679" s="8"/>
      <c r="BA1679" s="8"/>
      <c r="BB1679" s="62"/>
      <c r="BC1679" s="21"/>
      <c r="BD1679" s="21"/>
      <c r="BE1679" s="21"/>
      <c r="BF1679" s="22"/>
      <c r="BG1679" s="22"/>
      <c r="BH1679" s="22"/>
      <c r="BI1679" s="22"/>
      <c r="BJ1679" s="8"/>
      <c r="BK1679" s="8"/>
      <c r="BL1679" s="8"/>
      <c r="BM1679" s="8"/>
      <c r="BN1679" s="5"/>
      <c r="BO1679" s="5"/>
      <c r="BP1679" s="8"/>
      <c r="BQ1679" s="8"/>
      <c r="BR1679">
        <v>3.9</v>
      </c>
      <c r="BS1679">
        <v>3.95</v>
      </c>
      <c r="BT1679">
        <v>0.48771999999999999</v>
      </c>
      <c r="BU1679">
        <v>0.19899</v>
      </c>
      <c r="BV1679">
        <v>0.21811664894608099</v>
      </c>
      <c r="BW1679">
        <v>0.28667999999999999</v>
      </c>
    </row>
    <row r="1680" spans="1:75" ht="16.75" customHeight="1" x14ac:dyDescent="0.2">
      <c r="A1680" t="str">
        <f t="shared" si="1631"/>
        <v>2025020808 NYR</v>
      </c>
      <c r="B1680">
        <v>2025020808</v>
      </c>
      <c r="C1680" s="1">
        <v>46045</v>
      </c>
      <c r="D1680" s="2" t="s">
        <v>6</v>
      </c>
      <c r="E1680" t="s">
        <v>20</v>
      </c>
      <c r="F1680" s="2">
        <v>2</v>
      </c>
      <c r="G1680" s="2">
        <v>2</v>
      </c>
      <c r="H1680" t="s">
        <v>8</v>
      </c>
      <c r="I1680" t="str">
        <f t="shared" si="1275"/>
        <v xml:space="preserve">NYR </v>
      </c>
      <c r="K1680" s="14"/>
      <c r="L1680" s="13">
        <v>0.15</v>
      </c>
      <c r="M1680" s="28">
        <v>0.1</v>
      </c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  <c r="AD1680" s="5"/>
      <c r="AE1680" s="23"/>
      <c r="AF1680" s="23"/>
      <c r="AG1680" s="26"/>
      <c r="AH1680" s="26"/>
      <c r="AI1680" s="53"/>
      <c r="AJ1680" s="6"/>
      <c r="AK1680" s="23"/>
      <c r="AL1680" s="23"/>
      <c r="AM1680" s="23"/>
      <c r="AN1680" s="23"/>
      <c r="AO1680" s="23"/>
      <c r="AP1680" s="23"/>
      <c r="AQ1680" s="23"/>
      <c r="AR1680" s="66">
        <v>0</v>
      </c>
      <c r="AS1680" s="8"/>
      <c r="AT1680" s="19"/>
      <c r="AU1680" s="19"/>
      <c r="AV1680" s="12"/>
      <c r="AW1680" s="12"/>
      <c r="AX1680" s="8"/>
      <c r="AY1680" s="8"/>
      <c r="AZ1680" s="8"/>
      <c r="BA1680" s="8"/>
      <c r="BB1680" s="62"/>
      <c r="BC1680" s="21"/>
      <c r="BD1680" s="21"/>
      <c r="BE1680" s="21"/>
      <c r="BF1680" s="22"/>
      <c r="BG1680" s="22"/>
      <c r="BH1680" s="22"/>
      <c r="BI1680" s="22"/>
      <c r="BJ1680" s="8"/>
      <c r="BK1680" s="8"/>
      <c r="BL1680" s="8"/>
      <c r="BM1680" s="8"/>
      <c r="BN1680" s="5"/>
      <c r="BO1680" s="5"/>
      <c r="BP1680" s="8"/>
      <c r="BQ1680" s="8"/>
      <c r="BR1680">
        <v>3.9</v>
      </c>
      <c r="BS1680">
        <v>4</v>
      </c>
      <c r="BT1680">
        <v>0.48114000000000001</v>
      </c>
      <c r="BU1680">
        <v>0.19547999999999999</v>
      </c>
      <c r="BV1680">
        <v>0.21339213588629499</v>
      </c>
      <c r="BW1680">
        <v>0.27942</v>
      </c>
    </row>
    <row r="1681" spans="1:75" ht="16.75" customHeight="1" x14ac:dyDescent="0.2">
      <c r="A1681" t="str">
        <f t="shared" si="1631"/>
        <v>2025020808 SJS</v>
      </c>
      <c r="B1681">
        <v>2025020808</v>
      </c>
      <c r="C1681" s="1">
        <v>46045</v>
      </c>
      <c r="D1681" s="2" t="s">
        <v>9</v>
      </c>
      <c r="E1681" t="s">
        <v>40</v>
      </c>
      <c r="F1681" s="2">
        <v>2</v>
      </c>
      <c r="G1681" s="2">
        <v>2</v>
      </c>
      <c r="H1681" t="s">
        <v>11</v>
      </c>
      <c r="I1681" t="str">
        <f t="shared" si="1275"/>
        <v xml:space="preserve">SJS </v>
      </c>
      <c r="K1681" s="14"/>
      <c r="L1681" s="13">
        <v>0.15</v>
      </c>
      <c r="M1681" s="28">
        <v>0.1</v>
      </c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  <c r="AD1681" s="5"/>
      <c r="AE1681" s="23"/>
      <c r="AF1681" s="23"/>
      <c r="AG1681" s="26"/>
      <c r="AH1681" s="26"/>
      <c r="AI1681" s="53"/>
      <c r="AJ1681" s="6"/>
      <c r="AK1681" s="23"/>
      <c r="AL1681" s="23"/>
      <c r="AM1681" s="23"/>
      <c r="AN1681" s="23"/>
      <c r="AO1681" s="23"/>
      <c r="AP1681" s="23"/>
      <c r="AQ1681" s="23"/>
      <c r="AR1681" s="66">
        <v>0</v>
      </c>
      <c r="AS1681" s="8"/>
      <c r="AT1681" s="19"/>
      <c r="AU1681" s="19"/>
      <c r="AV1681" s="12"/>
      <c r="AW1681" s="12"/>
      <c r="AX1681" s="8"/>
      <c r="AY1681" s="8"/>
      <c r="AZ1681" s="8"/>
      <c r="BA1681" s="8"/>
      <c r="BB1681" s="62"/>
      <c r="BC1681" s="21"/>
      <c r="BD1681" s="21"/>
      <c r="BE1681" s="21"/>
      <c r="BF1681" s="22"/>
      <c r="BG1681" s="22"/>
      <c r="BH1681" s="22"/>
      <c r="BI1681" s="22"/>
      <c r="BJ1681" s="8"/>
      <c r="BK1681" s="8"/>
      <c r="BL1681" s="8"/>
      <c r="BM1681" s="8"/>
      <c r="BN1681" s="5"/>
      <c r="BO1681" s="5"/>
      <c r="BP1681" s="8"/>
      <c r="BQ1681" s="8"/>
      <c r="BR1681">
        <v>3.9</v>
      </c>
      <c r="BS1681">
        <v>4.05</v>
      </c>
      <c r="BT1681">
        <v>0.47333999999999998</v>
      </c>
      <c r="BU1681">
        <v>0.18934999999999999</v>
      </c>
      <c r="BV1681">
        <v>0.206695921753558</v>
      </c>
      <c r="BW1681">
        <v>0.27327000000000001</v>
      </c>
    </row>
    <row r="1682" spans="1:75" ht="16.75" customHeight="1" x14ac:dyDescent="0.2">
      <c r="A1682" t="str">
        <f t="shared" si="1631"/>
        <v>2025020810 BUF</v>
      </c>
      <c r="B1682">
        <v>2025020810</v>
      </c>
      <c r="C1682" s="1">
        <v>46046</v>
      </c>
      <c r="D1682" s="2" t="s">
        <v>6</v>
      </c>
      <c r="E1682" t="s">
        <v>5</v>
      </c>
      <c r="F1682" s="2">
        <v>1</v>
      </c>
      <c r="G1682" s="2">
        <v>2</v>
      </c>
      <c r="H1682" t="s">
        <v>36</v>
      </c>
      <c r="I1682" t="str">
        <f t="shared" si="1275"/>
        <v xml:space="preserve">BUF </v>
      </c>
      <c r="K1682" s="14"/>
      <c r="L1682" s="13">
        <v>0.15</v>
      </c>
      <c r="M1682" s="28">
        <v>0.1</v>
      </c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23"/>
      <c r="AF1682" s="23"/>
      <c r="AG1682" s="26"/>
      <c r="AH1682" s="26"/>
      <c r="AI1682" s="53"/>
      <c r="AJ1682" s="6"/>
      <c r="AK1682" s="23"/>
      <c r="AL1682" s="23"/>
      <c r="AM1682" s="23"/>
      <c r="AN1682" s="23"/>
      <c r="AO1682" s="23"/>
      <c r="AP1682" s="23"/>
      <c r="AQ1682" s="23"/>
      <c r="AR1682" s="66">
        <v>0</v>
      </c>
      <c r="AS1682" s="8"/>
      <c r="AT1682" s="19"/>
      <c r="AU1682" s="19"/>
      <c r="AV1682" s="12"/>
      <c r="AW1682" s="12"/>
      <c r="AX1682" s="8"/>
      <c r="AY1682" s="8"/>
      <c r="AZ1682" s="8"/>
      <c r="BA1682" s="8"/>
      <c r="BB1682" s="62"/>
      <c r="BC1682" s="21"/>
      <c r="BD1682" s="21"/>
      <c r="BE1682" s="21"/>
      <c r="BF1682" s="22"/>
      <c r="BG1682" s="22"/>
      <c r="BH1682" s="22"/>
      <c r="BI1682" s="22"/>
      <c r="BJ1682" s="8"/>
      <c r="BK1682" s="8"/>
      <c r="BL1682" s="8"/>
      <c r="BM1682" s="8"/>
      <c r="BN1682" s="5"/>
      <c r="BO1682" s="5"/>
      <c r="BP1682" s="8"/>
      <c r="BQ1682" s="8"/>
      <c r="BR1682">
        <v>3.9</v>
      </c>
      <c r="BS1682">
        <v>4.0999999999999996</v>
      </c>
      <c r="BT1682">
        <v>0.4677</v>
      </c>
      <c r="BU1682">
        <v>0.18609000000000001</v>
      </c>
      <c r="BV1682">
        <v>0.20297332082633401</v>
      </c>
      <c r="BW1682">
        <v>0.26927000000000001</v>
      </c>
    </row>
    <row r="1683" spans="1:75" ht="16.75" customHeight="1" x14ac:dyDescent="0.2">
      <c r="A1683" t="str">
        <f t="shared" si="1631"/>
        <v>2025020810 NYI</v>
      </c>
      <c r="B1683">
        <v>2025020810</v>
      </c>
      <c r="C1683" s="1">
        <v>46046</v>
      </c>
      <c r="D1683" s="2" t="s">
        <v>9</v>
      </c>
      <c r="E1683" t="s">
        <v>37</v>
      </c>
      <c r="F1683" s="2">
        <v>2</v>
      </c>
      <c r="G1683" s="2">
        <v>1</v>
      </c>
      <c r="H1683" t="s">
        <v>38</v>
      </c>
      <c r="I1683" t="str">
        <f t="shared" si="1275"/>
        <v xml:space="preserve">NYI </v>
      </c>
      <c r="K1683" s="14"/>
      <c r="L1683" s="13">
        <v>0.15</v>
      </c>
      <c r="M1683" s="28">
        <v>0.1</v>
      </c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23"/>
      <c r="AF1683" s="23"/>
      <c r="AG1683" s="26"/>
      <c r="AH1683" s="26"/>
      <c r="AI1683" s="53"/>
      <c r="AJ1683" s="6"/>
      <c r="AK1683" s="23"/>
      <c r="AL1683" s="23"/>
      <c r="AM1683" s="23"/>
      <c r="AN1683" s="23"/>
      <c r="AO1683" s="23"/>
      <c r="AP1683" s="23"/>
      <c r="AQ1683" s="23"/>
      <c r="AR1683" s="66">
        <v>0</v>
      </c>
      <c r="AS1683" s="8"/>
      <c r="AT1683" s="19"/>
      <c r="AU1683" s="19"/>
      <c r="AV1683" s="12"/>
      <c r="AW1683" s="12"/>
      <c r="AX1683" s="8"/>
      <c r="AY1683" s="8"/>
      <c r="AZ1683" s="8"/>
      <c r="BA1683" s="8"/>
      <c r="BB1683" s="62"/>
      <c r="BC1683" s="21"/>
      <c r="BD1683" s="21"/>
      <c r="BE1683" s="21"/>
      <c r="BF1683" s="22"/>
      <c r="BG1683" s="22"/>
      <c r="BH1683" s="22"/>
      <c r="BI1683" s="22"/>
      <c r="BJ1683" s="8"/>
      <c r="BK1683" s="8"/>
      <c r="BL1683" s="8"/>
      <c r="BM1683" s="8"/>
      <c r="BN1683" s="5"/>
      <c r="BO1683" s="5"/>
      <c r="BP1683" s="8"/>
      <c r="BQ1683" s="8"/>
      <c r="BR1683">
        <v>3.9</v>
      </c>
      <c r="BS1683">
        <v>4.1500000000000004</v>
      </c>
      <c r="BT1683">
        <v>0.46182000000000001</v>
      </c>
      <c r="BU1683">
        <v>0.18165000000000001</v>
      </c>
      <c r="BV1683">
        <v>0.19794913148660701</v>
      </c>
      <c r="BW1683">
        <v>0.26399</v>
      </c>
    </row>
    <row r="1684" spans="1:75" ht="16.75" customHeight="1" x14ac:dyDescent="0.2">
      <c r="A1684" t="str">
        <f t="shared" si="1631"/>
        <v>2025020811 UTA</v>
      </c>
      <c r="B1684">
        <v>2025020811</v>
      </c>
      <c r="C1684" s="1">
        <v>46046</v>
      </c>
      <c r="D1684" s="2" t="s">
        <v>6</v>
      </c>
      <c r="E1684" t="s">
        <v>15</v>
      </c>
      <c r="F1684" s="2">
        <v>2</v>
      </c>
      <c r="G1684" s="2">
        <v>1</v>
      </c>
      <c r="H1684" t="s">
        <v>44</v>
      </c>
      <c r="I1684" t="str">
        <f t="shared" si="1275"/>
        <v xml:space="preserve">UTA </v>
      </c>
      <c r="K1684" s="14"/>
      <c r="L1684" s="13">
        <v>0.15</v>
      </c>
      <c r="M1684" s="28">
        <v>0.1</v>
      </c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23"/>
      <c r="AF1684" s="23"/>
      <c r="AG1684" s="26"/>
      <c r="AH1684" s="26"/>
      <c r="AI1684" s="53"/>
      <c r="AJ1684" s="6"/>
      <c r="AK1684" s="23"/>
      <c r="AL1684" s="23"/>
      <c r="AM1684" s="23"/>
      <c r="AN1684" s="23"/>
      <c r="AO1684" s="23"/>
      <c r="AP1684" s="23"/>
      <c r="AQ1684" s="23"/>
      <c r="AR1684" s="66">
        <v>0</v>
      </c>
      <c r="AS1684" s="8"/>
      <c r="AT1684" s="19"/>
      <c r="AU1684" s="19"/>
      <c r="AV1684" s="12"/>
      <c r="AW1684" s="12"/>
      <c r="AX1684" s="8"/>
      <c r="AY1684" s="8"/>
      <c r="AZ1684" s="8"/>
      <c r="BA1684" s="8"/>
      <c r="BB1684" s="62"/>
      <c r="BC1684" s="21"/>
      <c r="BD1684" s="21"/>
      <c r="BE1684" s="21"/>
      <c r="BF1684" s="22"/>
      <c r="BG1684" s="22"/>
      <c r="BH1684" s="22"/>
      <c r="BI1684" s="22"/>
      <c r="BJ1684" s="8"/>
      <c r="BK1684" s="8"/>
      <c r="BL1684" s="8"/>
      <c r="BM1684" s="8"/>
      <c r="BN1684" s="5"/>
      <c r="BO1684" s="5"/>
      <c r="BP1684" s="8"/>
      <c r="BQ1684" s="8"/>
      <c r="BR1684">
        <v>3.9</v>
      </c>
      <c r="BS1684">
        <v>4.2</v>
      </c>
      <c r="BT1684">
        <v>0.45334000000000002</v>
      </c>
      <c r="BU1684">
        <v>0.17748</v>
      </c>
      <c r="BV1684">
        <v>0.19336282221689499</v>
      </c>
      <c r="BW1684">
        <v>0.25962000000000002</v>
      </c>
    </row>
    <row r="1685" spans="1:75" ht="16.75" customHeight="1" x14ac:dyDescent="0.2">
      <c r="A1685" t="str">
        <f t="shared" si="1631"/>
        <v>2025020811 NSH</v>
      </c>
      <c r="B1685">
        <v>2025020811</v>
      </c>
      <c r="C1685" s="1">
        <v>46046</v>
      </c>
      <c r="D1685" s="2" t="s">
        <v>9</v>
      </c>
      <c r="E1685" t="s">
        <v>35</v>
      </c>
      <c r="F1685" s="2">
        <v>1</v>
      </c>
      <c r="G1685" s="2">
        <v>2</v>
      </c>
      <c r="H1685" t="s">
        <v>45</v>
      </c>
      <c r="I1685" t="str">
        <f t="shared" si="1275"/>
        <v xml:space="preserve">NSH </v>
      </c>
      <c r="K1685" s="14"/>
      <c r="L1685" s="13">
        <v>0.15</v>
      </c>
      <c r="M1685" s="28">
        <v>0.1</v>
      </c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23"/>
      <c r="AF1685" s="23"/>
      <c r="AG1685" s="26"/>
      <c r="AH1685" s="26"/>
      <c r="AI1685" s="53"/>
      <c r="AJ1685" s="6"/>
      <c r="AK1685" s="23"/>
      <c r="AL1685" s="23"/>
      <c r="AM1685" s="23"/>
      <c r="AN1685" s="23"/>
      <c r="AO1685" s="23"/>
      <c r="AP1685" s="23"/>
      <c r="AQ1685" s="23"/>
      <c r="AR1685" s="66">
        <v>0</v>
      </c>
      <c r="AS1685" s="8"/>
      <c r="AT1685" s="19"/>
      <c r="AU1685" s="19"/>
      <c r="AV1685" s="12"/>
      <c r="AW1685" s="12"/>
      <c r="AX1685" s="8"/>
      <c r="AY1685" s="8"/>
      <c r="AZ1685" s="8"/>
      <c r="BA1685" s="8"/>
      <c r="BB1685" s="62"/>
      <c r="BC1685" s="21"/>
      <c r="BD1685" s="21"/>
      <c r="BE1685" s="21"/>
      <c r="BF1685" s="22"/>
      <c r="BG1685" s="22"/>
      <c r="BH1685" s="22"/>
      <c r="BI1685" s="22"/>
      <c r="BJ1685" s="8"/>
      <c r="BK1685" s="8"/>
      <c r="BL1685" s="8"/>
      <c r="BM1685" s="8"/>
      <c r="BN1685" s="5"/>
      <c r="BO1685" s="5"/>
      <c r="BP1685" s="8"/>
      <c r="BQ1685" s="8"/>
      <c r="BR1685">
        <v>3.9</v>
      </c>
      <c r="BS1685">
        <v>4.25</v>
      </c>
      <c r="BT1685">
        <v>0.44727</v>
      </c>
      <c r="BU1685">
        <v>0.17222999999999999</v>
      </c>
      <c r="BV1685">
        <v>0.18709060690658999</v>
      </c>
      <c r="BW1685">
        <v>0.25165999999999999</v>
      </c>
    </row>
    <row r="1686" spans="1:75" ht="16.75" customHeight="1" x14ac:dyDescent="0.2">
      <c r="A1686" t="str">
        <f t="shared" si="1631"/>
        <v>2025020813 CAR</v>
      </c>
      <c r="B1686">
        <v>2025020813</v>
      </c>
      <c r="C1686" s="1">
        <v>46046</v>
      </c>
      <c r="D1686" s="2" t="s">
        <v>6</v>
      </c>
      <c r="E1686" t="s">
        <v>42</v>
      </c>
      <c r="F1686" s="2">
        <v>1</v>
      </c>
      <c r="G1686" s="2">
        <v>1</v>
      </c>
      <c r="H1686" t="s">
        <v>46</v>
      </c>
      <c r="I1686" t="str">
        <f t="shared" si="1275"/>
        <v xml:space="preserve">CAR </v>
      </c>
      <c r="K1686" s="14"/>
      <c r="L1686" s="13">
        <v>0.15</v>
      </c>
      <c r="M1686" s="28">
        <v>0.1</v>
      </c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23"/>
      <c r="AF1686" s="23"/>
      <c r="AG1686" s="26"/>
      <c r="AH1686" s="26"/>
      <c r="AI1686" s="53"/>
      <c r="AJ1686" s="6"/>
      <c r="AK1686" s="23"/>
      <c r="AL1686" s="23"/>
      <c r="AM1686" s="23"/>
      <c r="AN1686" s="23"/>
      <c r="AO1686" s="23"/>
      <c r="AP1686" s="23"/>
      <c r="AQ1686" s="23"/>
      <c r="AR1686" s="66">
        <v>0</v>
      </c>
      <c r="AS1686" s="8"/>
      <c r="AT1686" s="19"/>
      <c r="AU1686" s="19"/>
      <c r="AV1686" s="12"/>
      <c r="AW1686" s="12"/>
      <c r="AX1686" s="8"/>
      <c r="AY1686" s="8"/>
      <c r="AZ1686" s="8"/>
      <c r="BA1686" s="8"/>
      <c r="BB1686" s="62"/>
      <c r="BC1686" s="21"/>
      <c r="BD1686" s="21"/>
      <c r="BE1686" s="21"/>
      <c r="BF1686" s="22"/>
      <c r="BG1686" s="22"/>
      <c r="BH1686" s="22"/>
      <c r="BI1686" s="22"/>
      <c r="BJ1686" s="8"/>
      <c r="BK1686" s="8"/>
      <c r="BL1686" s="8"/>
      <c r="BM1686" s="8"/>
      <c r="BN1686" s="5"/>
      <c r="BO1686" s="5"/>
      <c r="BP1686" s="8"/>
      <c r="BQ1686" s="8"/>
      <c r="BR1686">
        <v>3.9</v>
      </c>
      <c r="BS1686">
        <v>4.3</v>
      </c>
      <c r="BT1686">
        <v>0.44297999999999998</v>
      </c>
      <c r="BU1686">
        <v>0.16864000000000001</v>
      </c>
      <c r="BV1686">
        <v>0.183139124485518</v>
      </c>
      <c r="BW1686">
        <v>0.24781</v>
      </c>
    </row>
    <row r="1687" spans="1:75" ht="16.75" customHeight="1" x14ac:dyDescent="0.2">
      <c r="A1687" t="str">
        <f t="shared" si="1631"/>
        <v>2025020813 OTT</v>
      </c>
      <c r="B1687">
        <v>2025020813</v>
      </c>
      <c r="C1687" s="1">
        <v>46046</v>
      </c>
      <c r="D1687" s="2" t="s">
        <v>9</v>
      </c>
      <c r="E1687" t="s">
        <v>39</v>
      </c>
      <c r="F1687" s="2">
        <v>1</v>
      </c>
      <c r="G1687" s="2">
        <v>1</v>
      </c>
      <c r="H1687" t="s">
        <v>47</v>
      </c>
      <c r="I1687" t="str">
        <f t="shared" si="1275"/>
        <v xml:space="preserve">OTT </v>
      </c>
      <c r="K1687" s="14"/>
      <c r="L1687" s="13">
        <v>0.15</v>
      </c>
      <c r="M1687" s="28">
        <v>0.1</v>
      </c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23"/>
      <c r="AF1687" s="23"/>
      <c r="AG1687" s="26"/>
      <c r="AH1687" s="26"/>
      <c r="AI1687" s="53"/>
      <c r="AJ1687" s="6"/>
      <c r="AK1687" s="23"/>
      <c r="AL1687" s="23"/>
      <c r="AM1687" s="23"/>
      <c r="AN1687" s="23"/>
      <c r="AO1687" s="23"/>
      <c r="AP1687" s="23"/>
      <c r="AQ1687" s="23"/>
      <c r="AR1687" s="66">
        <v>0</v>
      </c>
      <c r="AS1687" s="8"/>
      <c r="AT1687" s="19"/>
      <c r="AU1687" s="19"/>
      <c r="AV1687" s="12"/>
      <c r="AW1687" s="12"/>
      <c r="AX1687" s="8"/>
      <c r="AY1687" s="8"/>
      <c r="AZ1687" s="8"/>
      <c r="BA1687" s="8"/>
      <c r="BB1687" s="62"/>
      <c r="BC1687" s="21"/>
      <c r="BD1687" s="21"/>
      <c r="BE1687" s="21"/>
      <c r="BF1687" s="22"/>
      <c r="BG1687" s="22"/>
      <c r="BH1687" s="22"/>
      <c r="BI1687" s="22"/>
      <c r="BJ1687" s="8"/>
      <c r="BK1687" s="8"/>
      <c r="BL1687" s="8"/>
      <c r="BM1687" s="8"/>
      <c r="BN1687" s="5"/>
      <c r="BO1687" s="5"/>
      <c r="BP1687" s="8"/>
      <c r="BQ1687" s="8"/>
      <c r="BR1687">
        <v>3.9</v>
      </c>
      <c r="BS1687">
        <v>4.3499999999999996</v>
      </c>
      <c r="BT1687">
        <v>0.43270999999999998</v>
      </c>
      <c r="BU1687">
        <v>0.1608</v>
      </c>
      <c r="BV1687">
        <v>0.17475601538896199</v>
      </c>
      <c r="BW1687">
        <v>0.24066000000000001</v>
      </c>
    </row>
    <row r="1688" spans="1:75" ht="16.75" customHeight="1" x14ac:dyDescent="0.2">
      <c r="A1688" t="str">
        <f t="shared" si="1631"/>
        <v>2025020815 DET</v>
      </c>
      <c r="B1688">
        <v>2025020815</v>
      </c>
      <c r="C1688" s="1">
        <v>46046</v>
      </c>
      <c r="D1688" s="2" t="s">
        <v>6</v>
      </c>
      <c r="E1688" t="s">
        <v>30</v>
      </c>
      <c r="F1688" s="2">
        <v>1</v>
      </c>
      <c r="G1688" s="2">
        <v>1</v>
      </c>
      <c r="H1688" t="s">
        <v>46</v>
      </c>
      <c r="I1688" t="str">
        <f t="shared" si="1275"/>
        <v xml:space="preserve">DET </v>
      </c>
      <c r="K1688" s="14"/>
      <c r="L1688" s="13">
        <v>0.15</v>
      </c>
      <c r="M1688" s="28">
        <v>0.1</v>
      </c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23"/>
      <c r="AF1688" s="23"/>
      <c r="AG1688" s="26"/>
      <c r="AH1688" s="26"/>
      <c r="AI1688" s="53"/>
      <c r="AJ1688" s="6"/>
      <c r="AK1688" s="23"/>
      <c r="AL1688" s="23"/>
      <c r="AM1688" s="23"/>
      <c r="AN1688" s="23"/>
      <c r="AO1688" s="23"/>
      <c r="AP1688" s="23"/>
      <c r="AQ1688" s="23"/>
      <c r="AR1688" s="66">
        <v>0</v>
      </c>
      <c r="AS1688" s="8"/>
      <c r="AT1688" s="19"/>
      <c r="AU1688" s="19"/>
      <c r="AV1688" s="12"/>
      <c r="AW1688" s="12"/>
      <c r="AX1688" s="8"/>
      <c r="AY1688" s="8"/>
      <c r="AZ1688" s="8"/>
      <c r="BA1688" s="8"/>
      <c r="BB1688" s="62"/>
      <c r="BC1688" s="21"/>
      <c r="BD1688" s="21"/>
      <c r="BE1688" s="21"/>
      <c r="BF1688" s="22"/>
      <c r="BG1688" s="22"/>
      <c r="BH1688" s="22"/>
      <c r="BI1688" s="22"/>
      <c r="BJ1688" s="8"/>
      <c r="BK1688" s="8"/>
      <c r="BL1688" s="8"/>
      <c r="BM1688" s="8"/>
      <c r="BN1688" s="5"/>
      <c r="BO1688" s="5"/>
      <c r="BP1688" s="8"/>
      <c r="BQ1688" s="8"/>
      <c r="BR1688">
        <v>3.9</v>
      </c>
      <c r="BS1688">
        <v>4.4000000000000004</v>
      </c>
      <c r="BT1688">
        <v>0.42893999999999999</v>
      </c>
      <c r="BU1688">
        <v>0.16120000000000001</v>
      </c>
      <c r="BV1688">
        <v>0.17485058518542601</v>
      </c>
      <c r="BW1688">
        <v>0.23927000000000001</v>
      </c>
    </row>
    <row r="1689" spans="1:75" ht="16.75" customHeight="1" x14ac:dyDescent="0.2">
      <c r="A1689" t="str">
        <f t="shared" si="1631"/>
        <v>2025020815 WPG</v>
      </c>
      <c r="B1689">
        <v>2025020815</v>
      </c>
      <c r="C1689" s="1">
        <v>46046</v>
      </c>
      <c r="D1689" s="2" t="s">
        <v>9</v>
      </c>
      <c r="E1689" t="s">
        <v>16</v>
      </c>
      <c r="F1689" s="2">
        <v>1</v>
      </c>
      <c r="G1689" s="2">
        <v>1</v>
      </c>
      <c r="H1689" t="s">
        <v>47</v>
      </c>
      <c r="I1689" t="str">
        <f t="shared" si="1275"/>
        <v xml:space="preserve">WPG </v>
      </c>
      <c r="K1689" s="14"/>
      <c r="L1689" s="13">
        <v>0.15</v>
      </c>
      <c r="M1689" s="28">
        <v>0.1</v>
      </c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23"/>
      <c r="AF1689" s="23"/>
      <c r="AG1689" s="26"/>
      <c r="AH1689" s="26"/>
      <c r="AI1689" s="53"/>
      <c r="AJ1689" s="6"/>
      <c r="AK1689" s="23"/>
      <c r="AL1689" s="23"/>
      <c r="AM1689" s="23"/>
      <c r="AN1689" s="23"/>
      <c r="AO1689" s="23"/>
      <c r="AP1689" s="23"/>
      <c r="AQ1689" s="23"/>
      <c r="AR1689" s="66">
        <v>0</v>
      </c>
      <c r="AS1689" s="8"/>
      <c r="AT1689" s="19"/>
      <c r="AU1689" s="19"/>
      <c r="AV1689" s="12"/>
      <c r="AW1689" s="12"/>
      <c r="AX1689" s="8"/>
      <c r="AY1689" s="8"/>
      <c r="AZ1689" s="8"/>
      <c r="BA1689" s="8"/>
      <c r="BB1689" s="62"/>
      <c r="BC1689" s="21"/>
      <c r="BD1689" s="21"/>
      <c r="BE1689" s="21"/>
      <c r="BF1689" s="22"/>
      <c r="BG1689" s="22"/>
      <c r="BH1689" s="22"/>
      <c r="BI1689" s="22"/>
      <c r="BJ1689" s="8"/>
      <c r="BK1689" s="8"/>
      <c r="BL1689" s="8"/>
      <c r="BM1689" s="8"/>
      <c r="BN1689" s="5"/>
      <c r="BO1689" s="5"/>
      <c r="BP1689" s="8"/>
      <c r="BQ1689" s="8"/>
      <c r="BR1689">
        <v>3.9</v>
      </c>
      <c r="BS1689">
        <v>4.45</v>
      </c>
      <c r="BT1689">
        <v>0.42385</v>
      </c>
      <c r="BU1689">
        <v>0.15825</v>
      </c>
      <c r="BV1689">
        <v>0.17111252878907399</v>
      </c>
      <c r="BW1689">
        <v>0.23341999999999999</v>
      </c>
    </row>
    <row r="1690" spans="1:75" ht="16.75" customHeight="1" x14ac:dyDescent="0.2">
      <c r="A1690" t="str">
        <f t="shared" si="1631"/>
        <v>2025020812 MTL</v>
      </c>
      <c r="B1690">
        <v>2025020812</v>
      </c>
      <c r="C1690" s="1">
        <v>46046</v>
      </c>
      <c r="D1690" s="2" t="s">
        <v>6</v>
      </c>
      <c r="E1690" t="s">
        <v>19</v>
      </c>
      <c r="F1690" s="2">
        <v>1</v>
      </c>
      <c r="G1690" s="2">
        <v>1</v>
      </c>
      <c r="H1690" t="s">
        <v>46</v>
      </c>
      <c r="I1690" t="str">
        <f t="shared" si="1275"/>
        <v xml:space="preserve">MTL </v>
      </c>
      <c r="K1690" s="14"/>
      <c r="L1690" s="13">
        <v>0.15</v>
      </c>
      <c r="M1690" s="28">
        <v>0.1</v>
      </c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23"/>
      <c r="AF1690" s="23"/>
      <c r="AG1690" s="26"/>
      <c r="AH1690" s="26"/>
      <c r="AI1690" s="53"/>
      <c r="AJ1690" s="6"/>
      <c r="AK1690" s="23"/>
      <c r="AL1690" s="23"/>
      <c r="AM1690" s="23"/>
      <c r="AN1690" s="23"/>
      <c r="AO1690" s="23"/>
      <c r="AP1690" s="23"/>
      <c r="AQ1690" s="23"/>
      <c r="AR1690" s="66">
        <v>0</v>
      </c>
      <c r="AS1690" s="8"/>
      <c r="AT1690" s="19"/>
      <c r="AU1690" s="19"/>
      <c r="AV1690" s="12"/>
      <c r="AW1690" s="12"/>
      <c r="AX1690" s="8"/>
      <c r="AY1690" s="8"/>
      <c r="AZ1690" s="8"/>
      <c r="BA1690" s="8"/>
      <c r="BB1690" s="62"/>
      <c r="BC1690" s="21"/>
      <c r="BD1690" s="21"/>
      <c r="BE1690" s="21"/>
      <c r="BF1690" s="22"/>
      <c r="BG1690" s="22"/>
      <c r="BH1690" s="22"/>
      <c r="BI1690" s="22"/>
      <c r="BJ1690" s="8"/>
      <c r="BK1690" s="8"/>
      <c r="BL1690" s="8"/>
      <c r="BM1690" s="8"/>
      <c r="BN1690" s="5"/>
      <c r="BO1690" s="5"/>
      <c r="BP1690" s="8"/>
      <c r="BQ1690" s="8"/>
      <c r="BR1690">
        <v>3.9</v>
      </c>
      <c r="BS1690">
        <v>4.5</v>
      </c>
      <c r="BT1690">
        <v>0.41575000000000001</v>
      </c>
      <c r="BU1690">
        <v>0.15361</v>
      </c>
      <c r="BV1690">
        <v>0.16618343899430901</v>
      </c>
      <c r="BW1690">
        <v>0.22927</v>
      </c>
    </row>
    <row r="1691" spans="1:75" ht="16.75" customHeight="1" x14ac:dyDescent="0.2">
      <c r="A1691" t="str">
        <f t="shared" si="1631"/>
        <v>2025020812 BOS</v>
      </c>
      <c r="B1691">
        <v>2025020812</v>
      </c>
      <c r="C1691" s="1">
        <v>46046</v>
      </c>
      <c r="D1691" s="2" t="s">
        <v>9</v>
      </c>
      <c r="E1691" t="s">
        <v>7</v>
      </c>
      <c r="F1691" s="2">
        <v>1</v>
      </c>
      <c r="G1691" s="2">
        <v>1</v>
      </c>
      <c r="H1691" t="s">
        <v>47</v>
      </c>
      <c r="I1691" t="str">
        <f t="shared" si="1275"/>
        <v xml:space="preserve">BOS </v>
      </c>
      <c r="K1691" s="14"/>
      <c r="L1691" s="13">
        <v>0.15</v>
      </c>
      <c r="M1691" s="28">
        <v>0.1</v>
      </c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23"/>
      <c r="AF1691" s="23"/>
      <c r="AG1691" s="26"/>
      <c r="AH1691" s="26"/>
      <c r="AI1691" s="53"/>
      <c r="AJ1691" s="6"/>
      <c r="AK1691" s="23"/>
      <c r="AL1691" s="23"/>
      <c r="AM1691" s="23"/>
      <c r="AN1691" s="23"/>
      <c r="AO1691" s="23"/>
      <c r="AP1691" s="23"/>
      <c r="AQ1691" s="23"/>
      <c r="AR1691" s="66">
        <v>0</v>
      </c>
      <c r="AS1691" s="8"/>
      <c r="AT1691" s="19"/>
      <c r="AU1691" s="19"/>
      <c r="AV1691" s="12"/>
      <c r="AW1691" s="12"/>
      <c r="AX1691" s="8"/>
      <c r="AY1691" s="8"/>
      <c r="AZ1691" s="8"/>
      <c r="BA1691" s="8"/>
      <c r="BB1691" s="62"/>
      <c r="BC1691" s="21"/>
      <c r="BD1691" s="21"/>
      <c r="BE1691" s="21"/>
      <c r="BF1691" s="22"/>
      <c r="BG1691" s="22"/>
      <c r="BH1691" s="22"/>
      <c r="BI1691" s="22"/>
      <c r="BJ1691" s="8"/>
      <c r="BK1691" s="8"/>
      <c r="BL1691" s="8"/>
      <c r="BM1691" s="8"/>
      <c r="BN1691" s="5"/>
      <c r="BO1691" s="5"/>
      <c r="BP1691" s="8"/>
      <c r="BQ1691" s="8"/>
      <c r="BR1691">
        <v>3.9</v>
      </c>
      <c r="BS1691">
        <v>4.55</v>
      </c>
      <c r="BT1691">
        <v>0.40936</v>
      </c>
      <c r="BU1691">
        <v>0.1484</v>
      </c>
      <c r="BV1691">
        <v>0.16017787947801801</v>
      </c>
      <c r="BW1691">
        <v>0.22192999999999999</v>
      </c>
    </row>
    <row r="1692" spans="1:75" ht="16.75" customHeight="1" x14ac:dyDescent="0.2">
      <c r="A1692" t="str">
        <f t="shared" si="1631"/>
        <v>2025020814 TBL</v>
      </c>
      <c r="B1692">
        <v>2025020814</v>
      </c>
      <c r="C1692" s="1">
        <v>46046</v>
      </c>
      <c r="D1692" s="2" t="s">
        <v>6</v>
      </c>
      <c r="E1692" t="s">
        <v>41</v>
      </c>
      <c r="F1692" s="2">
        <v>0</v>
      </c>
      <c r="G1692" s="2">
        <v>1</v>
      </c>
      <c r="H1692" t="s">
        <v>26</v>
      </c>
      <c r="I1692" t="str">
        <f t="shared" si="1275"/>
        <v xml:space="preserve">TBL </v>
      </c>
      <c r="K1692" s="14"/>
      <c r="L1692" s="13">
        <v>0.15</v>
      </c>
      <c r="M1692" s="28">
        <v>0.1</v>
      </c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23"/>
      <c r="AF1692" s="23"/>
      <c r="AG1692" s="26"/>
      <c r="AH1692" s="26"/>
      <c r="AI1692" s="53"/>
      <c r="AJ1692" s="6"/>
      <c r="AK1692" s="23"/>
      <c r="AL1692" s="23"/>
      <c r="AM1692" s="23"/>
      <c r="AN1692" s="23"/>
      <c r="AO1692" s="23"/>
      <c r="AP1692" s="23"/>
      <c r="AQ1692" s="23"/>
      <c r="AR1692" s="66">
        <v>0</v>
      </c>
      <c r="AS1692" s="8"/>
      <c r="AT1692" s="19"/>
      <c r="AU1692" s="19"/>
      <c r="AV1692" s="12"/>
      <c r="AW1692" s="12"/>
      <c r="AX1692" s="8"/>
      <c r="AY1692" s="8"/>
      <c r="AZ1692" s="8"/>
      <c r="BA1692" s="8"/>
      <c r="BB1692" s="62"/>
      <c r="BC1692" s="21"/>
      <c r="BD1692" s="21"/>
      <c r="BE1692" s="21"/>
      <c r="BF1692" s="22"/>
      <c r="BG1692" s="22"/>
      <c r="BH1692" s="22"/>
      <c r="BI1692" s="22"/>
      <c r="BJ1692" s="8"/>
      <c r="BK1692" s="8"/>
      <c r="BL1692" s="8"/>
      <c r="BM1692" s="8"/>
      <c r="BN1692" s="5"/>
      <c r="BO1692" s="5"/>
      <c r="BP1692" s="8"/>
      <c r="BQ1692" s="8"/>
      <c r="BR1692">
        <v>3.9</v>
      </c>
      <c r="BS1692">
        <v>4.5999999999999996</v>
      </c>
      <c r="BT1692">
        <v>0.40232000000000001</v>
      </c>
      <c r="BU1692">
        <v>0.14632000000000001</v>
      </c>
      <c r="BV1692">
        <v>0.15770300273759899</v>
      </c>
      <c r="BW1692">
        <v>0.2185</v>
      </c>
    </row>
    <row r="1693" spans="1:75" ht="16.75" customHeight="1" x14ac:dyDescent="0.2">
      <c r="A1693" t="str">
        <f t="shared" si="1631"/>
        <v>2025020814 CBJ</v>
      </c>
      <c r="B1693">
        <v>2025020814</v>
      </c>
      <c r="C1693" s="1">
        <v>46046</v>
      </c>
      <c r="D1693" s="2" t="s">
        <v>9</v>
      </c>
      <c r="E1693" t="s">
        <v>32</v>
      </c>
      <c r="F1693" s="2">
        <v>1</v>
      </c>
      <c r="G1693" s="2">
        <v>0</v>
      </c>
      <c r="H1693" t="s">
        <v>27</v>
      </c>
      <c r="I1693" t="str">
        <f t="shared" si="1275"/>
        <v xml:space="preserve">CBJ </v>
      </c>
      <c r="K1693" s="14"/>
      <c r="L1693" s="13">
        <v>0.15</v>
      </c>
      <c r="M1693" s="28">
        <v>0.1</v>
      </c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23"/>
      <c r="AF1693" s="23"/>
      <c r="AG1693" s="26"/>
      <c r="AH1693" s="26"/>
      <c r="AI1693" s="53"/>
      <c r="AJ1693" s="6"/>
      <c r="AK1693" s="23"/>
      <c r="AL1693" s="23"/>
      <c r="AM1693" s="23"/>
      <c r="AN1693" s="23"/>
      <c r="AO1693" s="23"/>
      <c r="AP1693" s="23"/>
      <c r="AQ1693" s="23"/>
      <c r="AR1693" s="66">
        <v>0</v>
      </c>
      <c r="AS1693" s="8"/>
      <c r="AT1693" s="19"/>
      <c r="AU1693" s="19"/>
      <c r="AV1693" s="12"/>
      <c r="AW1693" s="12"/>
      <c r="AX1693" s="8"/>
      <c r="AY1693" s="8"/>
      <c r="AZ1693" s="8"/>
      <c r="BA1693" s="8"/>
      <c r="BB1693" s="62"/>
      <c r="BC1693" s="21"/>
      <c r="BD1693" s="21"/>
      <c r="BE1693" s="21"/>
      <c r="BF1693" s="22"/>
      <c r="BG1693" s="22"/>
      <c r="BH1693" s="22"/>
      <c r="BI1693" s="22"/>
      <c r="BJ1693" s="8"/>
      <c r="BK1693" s="8"/>
      <c r="BL1693" s="8"/>
      <c r="BM1693" s="8"/>
      <c r="BN1693" s="5"/>
      <c r="BO1693" s="5"/>
      <c r="BP1693" s="8"/>
      <c r="BQ1693" s="8"/>
      <c r="BR1693">
        <v>3.9</v>
      </c>
      <c r="BS1693">
        <v>4.6500000000000004</v>
      </c>
      <c r="BT1693">
        <v>0.39989000000000002</v>
      </c>
      <c r="BU1693">
        <v>0.13938999999999999</v>
      </c>
      <c r="BV1693">
        <v>0.15030191934440301</v>
      </c>
      <c r="BW1693">
        <v>0.21199000000000001</v>
      </c>
    </row>
    <row r="1694" spans="1:75" ht="16.75" customHeight="1" x14ac:dyDescent="0.2">
      <c r="A1694" t="str">
        <f t="shared" si="1631"/>
        <v>2025020816 LAK</v>
      </c>
      <c r="B1694">
        <v>2025020816</v>
      </c>
      <c r="C1694" s="1">
        <v>46046</v>
      </c>
      <c r="D1694" s="2" t="s">
        <v>6</v>
      </c>
      <c r="E1694" t="s">
        <v>28</v>
      </c>
      <c r="F1694" s="2">
        <v>2</v>
      </c>
      <c r="G1694" s="2">
        <v>0</v>
      </c>
      <c r="H1694" t="s">
        <v>107</v>
      </c>
      <c r="I1694" t="str">
        <f t="shared" si="1275"/>
        <v xml:space="preserve">LAK </v>
      </c>
      <c r="K1694" s="14"/>
      <c r="L1694" s="13">
        <v>0.15</v>
      </c>
      <c r="M1694" s="28">
        <v>0.1</v>
      </c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23"/>
      <c r="AF1694" s="23"/>
      <c r="AG1694" s="26"/>
      <c r="AH1694" s="26"/>
      <c r="AI1694" s="53"/>
      <c r="AJ1694" s="6"/>
      <c r="AK1694" s="23"/>
      <c r="AL1694" s="23"/>
      <c r="AM1694" s="23"/>
      <c r="AN1694" s="23"/>
      <c r="AO1694" s="23"/>
      <c r="AP1694" s="23"/>
      <c r="AQ1694" s="23"/>
      <c r="AR1694" s="66">
        <v>0</v>
      </c>
      <c r="AS1694" s="8"/>
      <c r="AT1694" s="19"/>
      <c r="AU1694" s="19"/>
      <c r="AV1694" s="12"/>
      <c r="AW1694" s="12"/>
      <c r="AX1694" s="8"/>
      <c r="AY1694" s="8"/>
      <c r="AZ1694" s="8"/>
      <c r="BA1694" s="8"/>
      <c r="BB1694" s="62"/>
      <c r="BC1694" s="21"/>
      <c r="BD1694" s="21"/>
      <c r="BE1694" s="21"/>
      <c r="BF1694" s="22"/>
      <c r="BG1694" s="22"/>
      <c r="BH1694" s="22"/>
      <c r="BI1694" s="22"/>
      <c r="BJ1694" s="8"/>
      <c r="BK1694" s="8"/>
      <c r="BL1694" s="8"/>
      <c r="BM1694" s="8"/>
      <c r="BN1694" s="5"/>
      <c r="BO1694" s="5"/>
      <c r="BP1694" s="8"/>
      <c r="BQ1694" s="8"/>
      <c r="BR1694">
        <v>3.9</v>
      </c>
      <c r="BS1694">
        <v>4.7</v>
      </c>
      <c r="BT1694">
        <v>0.39151999999999998</v>
      </c>
      <c r="BU1694">
        <v>0.13861999999999999</v>
      </c>
      <c r="BV1694">
        <v>0.14916924931129399</v>
      </c>
      <c r="BW1694">
        <v>0.20934</v>
      </c>
    </row>
    <row r="1695" spans="1:75" ht="16.75" customHeight="1" x14ac:dyDescent="0.2">
      <c r="A1695" t="str">
        <f t="shared" si="1631"/>
        <v>2025020816 STL</v>
      </c>
      <c r="B1695">
        <v>2025020816</v>
      </c>
      <c r="C1695" s="1">
        <v>46046</v>
      </c>
      <c r="D1695" s="2" t="s">
        <v>9</v>
      </c>
      <c r="E1695" t="s">
        <v>12</v>
      </c>
      <c r="F1695" s="2">
        <v>0</v>
      </c>
      <c r="G1695" s="2">
        <v>2</v>
      </c>
      <c r="H1695" t="s">
        <v>106</v>
      </c>
      <c r="I1695" t="str">
        <f t="shared" si="1275"/>
        <v xml:space="preserve">STL </v>
      </c>
      <c r="K1695" s="14"/>
      <c r="L1695" s="13">
        <v>0.15</v>
      </c>
      <c r="M1695" s="28">
        <v>0.1</v>
      </c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23"/>
      <c r="AF1695" s="23"/>
      <c r="AG1695" s="26"/>
      <c r="AH1695" s="26"/>
      <c r="AI1695" s="53"/>
      <c r="AJ1695" s="6"/>
      <c r="AK1695" s="23"/>
      <c r="AL1695" s="23"/>
      <c r="AM1695" s="23"/>
      <c r="AN1695" s="23"/>
      <c r="AO1695" s="23"/>
      <c r="AP1695" s="23"/>
      <c r="AQ1695" s="23"/>
      <c r="AR1695" s="66">
        <v>0</v>
      </c>
      <c r="AS1695" s="8"/>
      <c r="AT1695" s="19"/>
      <c r="AU1695" s="19"/>
      <c r="AV1695" s="12"/>
      <c r="AW1695" s="12"/>
      <c r="AX1695" s="8"/>
      <c r="AY1695" s="8"/>
      <c r="AZ1695" s="8"/>
      <c r="BA1695" s="8"/>
      <c r="BB1695" s="62"/>
      <c r="BC1695" s="21"/>
      <c r="BD1695" s="21"/>
      <c r="BE1695" s="21"/>
      <c r="BF1695" s="22"/>
      <c r="BG1695" s="22"/>
      <c r="BH1695" s="22"/>
      <c r="BI1695" s="22"/>
      <c r="BJ1695" s="8"/>
      <c r="BK1695" s="8"/>
      <c r="BL1695" s="8"/>
      <c r="BM1695" s="8"/>
      <c r="BN1695" s="5"/>
      <c r="BO1695" s="5"/>
      <c r="BP1695" s="8"/>
      <c r="BQ1695" s="8"/>
      <c r="BR1695">
        <v>3.9</v>
      </c>
      <c r="BS1695">
        <v>4.75</v>
      </c>
      <c r="BT1695">
        <v>0.38768000000000002</v>
      </c>
      <c r="BU1695">
        <v>0.13525999999999999</v>
      </c>
      <c r="BV1695">
        <v>0.14519262765808899</v>
      </c>
      <c r="BW1695">
        <v>0.20366999999999999</v>
      </c>
    </row>
    <row r="1696" spans="1:75" ht="16.75" customHeight="1" x14ac:dyDescent="0.2">
      <c r="A1696" t="str">
        <f t="shared" si="1631"/>
        <v>2025020817 FLA</v>
      </c>
      <c r="B1696">
        <v>2025020817</v>
      </c>
      <c r="C1696" s="1">
        <v>46046</v>
      </c>
      <c r="D1696" s="2" t="s">
        <v>6</v>
      </c>
      <c r="E1696" t="s">
        <v>10</v>
      </c>
      <c r="F1696" s="2">
        <v>1</v>
      </c>
      <c r="G1696" s="2">
        <v>1</v>
      </c>
      <c r="H1696" t="s">
        <v>46</v>
      </c>
      <c r="I1696" t="str">
        <f t="shared" si="1275"/>
        <v xml:space="preserve">FLA </v>
      </c>
      <c r="K1696" s="14"/>
      <c r="L1696" s="13">
        <v>0.15</v>
      </c>
      <c r="M1696" s="28">
        <v>0.1</v>
      </c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23"/>
      <c r="AF1696" s="23"/>
      <c r="AG1696" s="26"/>
      <c r="AH1696" s="26"/>
      <c r="AI1696" s="53"/>
      <c r="AJ1696" s="6"/>
      <c r="AK1696" s="23"/>
      <c r="AL1696" s="23"/>
      <c r="AM1696" s="23"/>
      <c r="AN1696" s="23"/>
      <c r="AO1696" s="23"/>
      <c r="AP1696" s="23"/>
      <c r="AQ1696" s="23"/>
      <c r="AR1696" s="66">
        <v>0</v>
      </c>
      <c r="AS1696" s="8"/>
      <c r="AT1696" s="19"/>
      <c r="AU1696" s="19"/>
      <c r="AV1696" s="12"/>
      <c r="AW1696" s="12"/>
      <c r="AX1696" s="8"/>
      <c r="AY1696" s="8"/>
      <c r="AZ1696" s="8"/>
      <c r="BA1696" s="8"/>
      <c r="BB1696" s="62"/>
      <c r="BC1696" s="21"/>
      <c r="BD1696" s="21"/>
      <c r="BE1696" s="21"/>
      <c r="BF1696" s="22"/>
      <c r="BG1696" s="22"/>
      <c r="BH1696" s="22"/>
      <c r="BI1696" s="22"/>
      <c r="BJ1696" s="8"/>
      <c r="BK1696" s="8"/>
      <c r="BL1696" s="8"/>
      <c r="BM1696" s="8"/>
      <c r="BN1696" s="5"/>
      <c r="BO1696" s="5"/>
      <c r="BP1696" s="8"/>
      <c r="BQ1696" s="8"/>
      <c r="BR1696">
        <v>3.9</v>
      </c>
      <c r="BS1696">
        <v>4.8</v>
      </c>
      <c r="BT1696">
        <v>0.37929000000000002</v>
      </c>
      <c r="BU1696">
        <v>0.13256999999999999</v>
      </c>
      <c r="BV1696">
        <v>0.14239833293948301</v>
      </c>
      <c r="BW1696">
        <v>0.20158999999999999</v>
      </c>
    </row>
    <row r="1697" spans="1:75" ht="16.75" customHeight="1" x14ac:dyDescent="0.2">
      <c r="A1697" t="str">
        <f t="shared" si="1631"/>
        <v>2025020817 MIN</v>
      </c>
      <c r="B1697">
        <v>2025020817</v>
      </c>
      <c r="C1697" s="1">
        <v>46046</v>
      </c>
      <c r="D1697" s="2" t="s">
        <v>9</v>
      </c>
      <c r="E1697" t="s">
        <v>33</v>
      </c>
      <c r="F1697" s="2">
        <v>1</v>
      </c>
      <c r="G1697" s="2">
        <v>1</v>
      </c>
      <c r="H1697" t="s">
        <v>47</v>
      </c>
      <c r="I1697" t="str">
        <f t="shared" si="1275"/>
        <v xml:space="preserve">MIN </v>
      </c>
      <c r="K1697" s="14"/>
      <c r="L1697" s="13">
        <v>0.15</v>
      </c>
      <c r="M1697" s="28">
        <v>0.1</v>
      </c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23"/>
      <c r="AF1697" s="23"/>
      <c r="AG1697" s="26"/>
      <c r="AH1697" s="26"/>
      <c r="AI1697" s="53"/>
      <c r="AJ1697" s="6"/>
      <c r="AK1697" s="23"/>
      <c r="AL1697" s="23"/>
      <c r="AM1697" s="23"/>
      <c r="AN1697" s="23"/>
      <c r="AO1697" s="23"/>
      <c r="AP1697" s="23"/>
      <c r="AQ1697" s="23"/>
      <c r="AR1697" s="66">
        <v>0</v>
      </c>
      <c r="AS1697" s="8"/>
      <c r="AT1697" s="19"/>
      <c r="AU1697" s="19"/>
      <c r="AV1697" s="12"/>
      <c r="AW1697" s="12"/>
      <c r="AX1697" s="8"/>
      <c r="AY1697" s="8"/>
      <c r="AZ1697" s="8"/>
      <c r="BA1697" s="8"/>
      <c r="BB1697" s="62"/>
      <c r="BC1697" s="21"/>
      <c r="BD1697" s="21"/>
      <c r="BE1697" s="21"/>
      <c r="BF1697" s="22"/>
      <c r="BG1697" s="22"/>
      <c r="BH1697" s="22"/>
      <c r="BI1697" s="22"/>
      <c r="BJ1697" s="8"/>
      <c r="BK1697" s="8"/>
      <c r="BL1697" s="8"/>
      <c r="BM1697" s="8"/>
      <c r="BN1697" s="5"/>
      <c r="BO1697" s="5"/>
      <c r="BP1697" s="8"/>
      <c r="BQ1697" s="8"/>
      <c r="BR1697">
        <v>3.9</v>
      </c>
      <c r="BS1697">
        <v>4.8499999999999996</v>
      </c>
      <c r="BT1697">
        <v>0.37252999999999997</v>
      </c>
      <c r="BU1697">
        <v>0.12759999999999999</v>
      </c>
      <c r="BV1697">
        <v>0.136798318967365</v>
      </c>
      <c r="BW1697">
        <v>0.19484000000000001</v>
      </c>
    </row>
    <row r="1698" spans="1:75" ht="16.75" customHeight="1" x14ac:dyDescent="0.2">
      <c r="A1698" t="str">
        <f t="shared" si="1631"/>
        <v>2025020818 WSH</v>
      </c>
      <c r="B1698">
        <v>2025020818</v>
      </c>
      <c r="C1698" s="1">
        <v>46046</v>
      </c>
      <c r="D1698" s="2" t="s">
        <v>6</v>
      </c>
      <c r="E1698" t="s">
        <v>49</v>
      </c>
      <c r="F1698" s="2">
        <v>0</v>
      </c>
      <c r="G1698" s="2">
        <v>1</v>
      </c>
      <c r="H1698" t="s">
        <v>26</v>
      </c>
      <c r="I1698" t="str">
        <f t="shared" si="1275"/>
        <v xml:space="preserve">WSH </v>
      </c>
      <c r="K1698" s="14"/>
      <c r="L1698" s="13">
        <v>0.15</v>
      </c>
      <c r="M1698" s="28">
        <v>0.1</v>
      </c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23"/>
      <c r="AF1698" s="23"/>
      <c r="AG1698" s="26"/>
      <c r="AH1698" s="26"/>
      <c r="AI1698" s="53"/>
      <c r="AJ1698" s="6"/>
      <c r="AK1698" s="23"/>
      <c r="AL1698" s="23"/>
      <c r="AM1698" s="23"/>
      <c r="AN1698" s="23"/>
      <c r="AO1698" s="23"/>
      <c r="AP1698" s="23"/>
      <c r="AQ1698" s="23"/>
      <c r="AR1698" s="66">
        <v>0</v>
      </c>
      <c r="AS1698" s="8"/>
      <c r="AT1698" s="19"/>
      <c r="AU1698" s="19"/>
      <c r="AV1698" s="12"/>
      <c r="AW1698" s="12"/>
      <c r="AX1698" s="8"/>
      <c r="AY1698" s="8"/>
      <c r="AZ1698" s="8"/>
      <c r="BA1698" s="8"/>
      <c r="BB1698" s="62"/>
      <c r="BC1698" s="21"/>
      <c r="BD1698" s="21"/>
      <c r="BE1698" s="21"/>
      <c r="BF1698" s="22"/>
      <c r="BG1698" s="22"/>
      <c r="BH1698" s="22"/>
      <c r="BI1698" s="22"/>
      <c r="BJ1698" s="8"/>
      <c r="BK1698" s="8"/>
      <c r="BL1698" s="8"/>
      <c r="BM1698" s="8"/>
      <c r="BN1698" s="5"/>
      <c r="BO1698" s="5"/>
      <c r="BP1698" s="8"/>
      <c r="BQ1698" s="8"/>
      <c r="BR1698">
        <v>3.9</v>
      </c>
      <c r="BS1698">
        <v>4.9000000000000004</v>
      </c>
      <c r="BT1698">
        <v>0.36819000000000002</v>
      </c>
      <c r="BU1698">
        <v>0.12590000000000001</v>
      </c>
      <c r="BV1698">
        <v>0.13500471819507501</v>
      </c>
      <c r="BW1698">
        <v>0.19334000000000001</v>
      </c>
    </row>
    <row r="1699" spans="1:75" ht="16.75" customHeight="1" x14ac:dyDescent="0.2">
      <c r="A1699" t="str">
        <f t="shared" si="1631"/>
        <v>2025020818 EDM</v>
      </c>
      <c r="B1699">
        <v>2025020818</v>
      </c>
      <c r="C1699" s="1">
        <v>46046</v>
      </c>
      <c r="D1699" s="2" t="s">
        <v>9</v>
      </c>
      <c r="E1699" t="s">
        <v>17</v>
      </c>
      <c r="F1699" s="2">
        <v>1</v>
      </c>
      <c r="G1699" s="2">
        <v>0</v>
      </c>
      <c r="H1699" t="s">
        <v>27</v>
      </c>
      <c r="I1699" t="str">
        <f t="shared" si="1275"/>
        <v xml:space="preserve">EDM </v>
      </c>
      <c r="K1699" s="14"/>
      <c r="L1699" s="13">
        <v>0.15</v>
      </c>
      <c r="M1699" s="28">
        <v>0.1</v>
      </c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23"/>
      <c r="AF1699" s="23"/>
      <c r="AG1699" s="26"/>
      <c r="AH1699" s="26"/>
      <c r="AI1699" s="53"/>
      <c r="AJ1699" s="6"/>
      <c r="AK1699" s="23"/>
      <c r="AL1699" s="23"/>
      <c r="AM1699" s="23"/>
      <c r="AN1699" s="23"/>
      <c r="AO1699" s="23"/>
      <c r="AP1699" s="23"/>
      <c r="AQ1699" s="23"/>
      <c r="AR1699" s="66">
        <v>0</v>
      </c>
      <c r="AS1699" s="8"/>
      <c r="AT1699" s="19"/>
      <c r="AU1699" s="19"/>
      <c r="AV1699" s="12"/>
      <c r="AW1699" s="12"/>
      <c r="AX1699" s="8"/>
      <c r="AY1699" s="8"/>
      <c r="AZ1699" s="8"/>
      <c r="BA1699" s="8"/>
      <c r="BB1699" s="62"/>
      <c r="BC1699" s="21"/>
      <c r="BD1699" s="21"/>
      <c r="BE1699" s="21"/>
      <c r="BF1699" s="22"/>
      <c r="BG1699" s="22"/>
      <c r="BH1699" s="22"/>
      <c r="BI1699" s="22"/>
      <c r="BJ1699" s="8"/>
      <c r="BK1699" s="8"/>
      <c r="BL1699" s="8"/>
      <c r="BM1699" s="8"/>
      <c r="BN1699" s="5"/>
      <c r="BO1699" s="5"/>
      <c r="BP1699" s="8"/>
      <c r="BQ1699" s="8"/>
      <c r="BR1699">
        <v>3.9</v>
      </c>
      <c r="BS1699">
        <v>4.95</v>
      </c>
      <c r="BT1699">
        <v>0.36331000000000002</v>
      </c>
      <c r="BU1699">
        <v>0.12134</v>
      </c>
      <c r="BV1699">
        <v>0.129965832289022</v>
      </c>
      <c r="BW1699">
        <v>0.18770999999999999</v>
      </c>
    </row>
    <row r="1700" spans="1:75" ht="16.75" customHeight="1" x14ac:dyDescent="0.2">
      <c r="A1700" t="str">
        <f t="shared" si="1631"/>
        <v>2025020819 COL</v>
      </c>
      <c r="B1700">
        <v>2025020819</v>
      </c>
      <c r="C1700" s="1">
        <v>46047</v>
      </c>
      <c r="D1700" s="2" t="s">
        <v>6</v>
      </c>
      <c r="E1700" t="s">
        <v>24</v>
      </c>
      <c r="F1700" s="2">
        <v>1</v>
      </c>
      <c r="G1700" s="2">
        <v>1</v>
      </c>
      <c r="H1700" t="s">
        <v>46</v>
      </c>
      <c r="I1700" t="str">
        <f t="shared" si="1275"/>
        <v xml:space="preserve">COL </v>
      </c>
      <c r="K1700" s="14"/>
      <c r="L1700" s="13">
        <v>0.15</v>
      </c>
      <c r="M1700" s="28">
        <v>0.1</v>
      </c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23"/>
      <c r="AF1700" s="23"/>
      <c r="AG1700" s="26"/>
      <c r="AH1700" s="26"/>
      <c r="AI1700" s="53"/>
      <c r="AJ1700" s="6"/>
      <c r="AK1700" s="23"/>
      <c r="AL1700" s="23"/>
      <c r="AM1700" s="23"/>
      <c r="AN1700" s="23"/>
      <c r="AO1700" s="23"/>
      <c r="AP1700" s="23"/>
      <c r="AQ1700" s="23"/>
      <c r="AR1700" s="66">
        <v>0</v>
      </c>
      <c r="AS1700" s="8"/>
      <c r="AT1700" s="19"/>
      <c r="AU1700" s="19"/>
      <c r="AV1700" s="12"/>
      <c r="AW1700" s="12"/>
      <c r="AX1700" s="8"/>
      <c r="AY1700" s="8"/>
      <c r="AZ1700" s="8"/>
      <c r="BA1700" s="8"/>
      <c r="BB1700" s="62"/>
      <c r="BC1700" s="21"/>
      <c r="BD1700" s="21"/>
      <c r="BE1700" s="21"/>
      <c r="BF1700" s="22"/>
      <c r="BG1700" s="22"/>
      <c r="BH1700" s="22"/>
      <c r="BI1700" s="22"/>
      <c r="BJ1700" s="8"/>
      <c r="BK1700" s="8"/>
      <c r="BL1700" s="8"/>
      <c r="BM1700" s="8"/>
      <c r="BN1700" s="5"/>
      <c r="BO1700" s="5"/>
      <c r="BP1700" s="8"/>
      <c r="BQ1700" s="8"/>
      <c r="BR1700">
        <v>3.9</v>
      </c>
      <c r="BS1700">
        <v>5</v>
      </c>
      <c r="BT1700">
        <v>0.35599999999999998</v>
      </c>
      <c r="BU1700">
        <v>0.11752</v>
      </c>
      <c r="BV1700">
        <v>0.12561729054877299</v>
      </c>
      <c r="BW1700">
        <v>0.18198</v>
      </c>
    </row>
    <row r="1701" spans="1:75" ht="16.75" customHeight="1" x14ac:dyDescent="0.2">
      <c r="A1701" t="str">
        <f t="shared" si="1631"/>
        <v>2025020819 TOR</v>
      </c>
      <c r="B1701">
        <v>2025020819</v>
      </c>
      <c r="C1701" s="1">
        <v>46047</v>
      </c>
      <c r="D1701" s="2" t="s">
        <v>9</v>
      </c>
      <c r="E1701" t="s">
        <v>18</v>
      </c>
      <c r="F1701" s="2">
        <v>1</v>
      </c>
      <c r="G1701" s="2">
        <v>1</v>
      </c>
      <c r="H1701" t="s">
        <v>47</v>
      </c>
      <c r="I1701" t="str">
        <f t="shared" si="1275"/>
        <v xml:space="preserve">TOR </v>
      </c>
      <c r="K1701" s="14"/>
      <c r="L1701" s="13">
        <v>0.15</v>
      </c>
      <c r="M1701" s="28">
        <v>0.1</v>
      </c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23"/>
      <c r="AF1701" s="23"/>
      <c r="AG1701" s="26"/>
      <c r="AH1701" s="26"/>
      <c r="AI1701" s="53"/>
      <c r="AJ1701" s="6"/>
      <c r="AK1701" s="23"/>
      <c r="AL1701" s="23"/>
      <c r="AM1701" s="23"/>
      <c r="AN1701" s="23"/>
      <c r="AO1701" s="23"/>
      <c r="AP1701" s="23"/>
      <c r="AQ1701" s="23"/>
      <c r="AR1701" s="66">
        <v>0</v>
      </c>
      <c r="AS1701" s="8"/>
      <c r="AT1701" s="19"/>
      <c r="AU1701" s="19"/>
      <c r="AV1701" s="12"/>
      <c r="AW1701" s="12"/>
      <c r="AX1701" s="8"/>
      <c r="AY1701" s="8"/>
      <c r="AZ1701" s="8"/>
      <c r="BA1701" s="8"/>
      <c r="BB1701" s="62"/>
      <c r="BC1701" s="21"/>
      <c r="BD1701" s="21"/>
      <c r="BE1701" s="21"/>
      <c r="BF1701" s="22"/>
      <c r="BG1701" s="22"/>
      <c r="BH1701" s="22"/>
      <c r="BI1701" s="22"/>
      <c r="BJ1701" s="8"/>
      <c r="BK1701" s="8"/>
      <c r="BL1701" s="8"/>
      <c r="BM1701" s="8"/>
      <c r="BN1701" s="5"/>
      <c r="BO1701" s="5"/>
      <c r="BP1701" s="8"/>
      <c r="BQ1701" s="8"/>
      <c r="BR1701">
        <v>3.95</v>
      </c>
      <c r="BS1701">
        <v>3.95</v>
      </c>
      <c r="BT1701">
        <v>0.49469999999999997</v>
      </c>
      <c r="BU1701">
        <v>0.19370999999999999</v>
      </c>
      <c r="BV1701">
        <v>0.212126853413346</v>
      </c>
      <c r="BW1701">
        <v>0.28053</v>
      </c>
    </row>
    <row r="1702" spans="1:75" ht="16.75" customHeight="1" x14ac:dyDescent="0.2">
      <c r="A1702" t="str">
        <f t="shared" si="1631"/>
        <v>2025020820 NJD</v>
      </c>
      <c r="B1702">
        <v>2025020820</v>
      </c>
      <c r="C1702" s="1">
        <v>46047</v>
      </c>
      <c r="D1702" s="2" t="s">
        <v>6</v>
      </c>
      <c r="E1702" t="s">
        <v>4</v>
      </c>
      <c r="F1702" s="2">
        <v>1</v>
      </c>
      <c r="G1702" s="2">
        <v>1</v>
      </c>
      <c r="H1702" t="s">
        <v>46</v>
      </c>
      <c r="I1702" t="str">
        <f t="shared" si="1275"/>
        <v xml:space="preserve">NJD </v>
      </c>
      <c r="K1702" s="14"/>
      <c r="L1702" s="13">
        <v>0.15</v>
      </c>
      <c r="M1702" s="28">
        <v>0.1</v>
      </c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23"/>
      <c r="AF1702" s="23"/>
      <c r="AG1702" s="26"/>
      <c r="AH1702" s="26"/>
      <c r="AI1702" s="53"/>
      <c r="AJ1702" s="6"/>
      <c r="AK1702" s="23"/>
      <c r="AL1702" s="23"/>
      <c r="AM1702" s="23"/>
      <c r="AN1702" s="23"/>
      <c r="AO1702" s="23"/>
      <c r="AP1702" s="23"/>
      <c r="AQ1702" s="23"/>
      <c r="AR1702" s="66">
        <v>0</v>
      </c>
      <c r="AS1702" s="8"/>
      <c r="AT1702" s="19"/>
      <c r="AU1702" s="19"/>
      <c r="AV1702" s="12"/>
      <c r="AW1702" s="12"/>
      <c r="AX1702" s="8"/>
      <c r="AY1702" s="8"/>
      <c r="AZ1702" s="8"/>
      <c r="BA1702" s="8"/>
      <c r="BB1702" s="62"/>
      <c r="BC1702" s="21"/>
      <c r="BD1702" s="21"/>
      <c r="BE1702" s="21"/>
      <c r="BF1702" s="22"/>
      <c r="BG1702" s="22"/>
      <c r="BH1702" s="22"/>
      <c r="BI1702" s="22"/>
      <c r="BJ1702" s="8"/>
      <c r="BK1702" s="8"/>
      <c r="BL1702" s="8"/>
      <c r="BM1702" s="8"/>
      <c r="BN1702" s="5"/>
      <c r="BO1702" s="5"/>
      <c r="BP1702" s="8"/>
      <c r="BQ1702" s="8"/>
      <c r="BR1702">
        <v>3.95</v>
      </c>
      <c r="BS1702">
        <v>4</v>
      </c>
      <c r="BT1702">
        <v>0.48729</v>
      </c>
      <c r="BU1702">
        <v>0.18997</v>
      </c>
      <c r="BV1702">
        <v>0.20708336966948601</v>
      </c>
      <c r="BW1702">
        <v>0.27261000000000002</v>
      </c>
    </row>
    <row r="1703" spans="1:75" ht="16.75" customHeight="1" x14ac:dyDescent="0.2">
      <c r="A1703" t="str">
        <f t="shared" si="1631"/>
        <v>2025020820 SEA</v>
      </c>
      <c r="B1703">
        <v>2025020820</v>
      </c>
      <c r="C1703" s="1">
        <v>46047</v>
      </c>
      <c r="D1703" s="2" t="s">
        <v>9</v>
      </c>
      <c r="E1703" t="s">
        <v>13</v>
      </c>
      <c r="F1703" s="2">
        <v>1</v>
      </c>
      <c r="G1703" s="2">
        <v>1</v>
      </c>
      <c r="H1703" t="s">
        <v>47</v>
      </c>
      <c r="I1703" t="str">
        <f t="shared" si="1275"/>
        <v xml:space="preserve">SEA </v>
      </c>
      <c r="K1703" s="14"/>
      <c r="L1703" s="13">
        <v>0.15</v>
      </c>
      <c r="M1703" s="28">
        <v>0.1</v>
      </c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23"/>
      <c r="AF1703" s="23"/>
      <c r="AG1703" s="26"/>
      <c r="AH1703" s="26"/>
      <c r="AI1703" s="53"/>
      <c r="AJ1703" s="6"/>
      <c r="AK1703" s="23"/>
      <c r="AL1703" s="23"/>
      <c r="AM1703" s="23"/>
      <c r="AN1703" s="23"/>
      <c r="AO1703" s="23"/>
      <c r="AP1703" s="23"/>
      <c r="AQ1703" s="23"/>
      <c r="AR1703" s="66">
        <v>0</v>
      </c>
      <c r="AS1703" s="8"/>
      <c r="AT1703" s="19"/>
      <c r="AU1703" s="19"/>
      <c r="AV1703" s="12"/>
      <c r="AW1703" s="12"/>
      <c r="AX1703" s="8"/>
      <c r="AY1703" s="8"/>
      <c r="AZ1703" s="8"/>
      <c r="BA1703" s="8"/>
      <c r="BB1703" s="62"/>
      <c r="BC1703" s="21"/>
      <c r="BD1703" s="21"/>
      <c r="BE1703" s="21"/>
      <c r="BF1703" s="22"/>
      <c r="BG1703" s="22"/>
      <c r="BH1703" s="22"/>
      <c r="BI1703" s="22"/>
      <c r="BJ1703" s="8"/>
      <c r="BK1703" s="8"/>
      <c r="BL1703" s="8"/>
      <c r="BM1703" s="8"/>
      <c r="BN1703" s="5"/>
      <c r="BO1703" s="5"/>
      <c r="BP1703" s="8"/>
      <c r="BQ1703" s="8"/>
      <c r="BR1703">
        <v>3.95</v>
      </c>
      <c r="BS1703">
        <v>4.05</v>
      </c>
      <c r="BT1703">
        <v>0.48435</v>
      </c>
      <c r="BU1703">
        <v>0.18618000000000001</v>
      </c>
      <c r="BV1703">
        <v>0.203293223559214</v>
      </c>
      <c r="BW1703">
        <v>0.27035999999999999</v>
      </c>
    </row>
    <row r="1704" spans="1:75" ht="16.75" customHeight="1" x14ac:dyDescent="0.2">
      <c r="A1704" t="str">
        <f t="shared" si="1631"/>
        <v>2025020821 VGK</v>
      </c>
      <c r="B1704">
        <v>2025020821</v>
      </c>
      <c r="C1704" s="1">
        <v>46047</v>
      </c>
      <c r="D1704" s="2" t="s">
        <v>6</v>
      </c>
      <c r="E1704" t="s">
        <v>25</v>
      </c>
      <c r="F1704" s="2">
        <v>1</v>
      </c>
      <c r="G1704" s="2">
        <v>0</v>
      </c>
      <c r="H1704" t="s">
        <v>52</v>
      </c>
      <c r="I1704" t="str">
        <f t="shared" si="1275"/>
        <v xml:space="preserve">VGK </v>
      </c>
      <c r="K1704" s="14"/>
      <c r="L1704" s="13">
        <v>0.15</v>
      </c>
      <c r="M1704" s="28">
        <v>0.1</v>
      </c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23"/>
      <c r="AF1704" s="23"/>
      <c r="AG1704" s="26"/>
      <c r="AH1704" s="26"/>
      <c r="AI1704" s="53"/>
      <c r="AJ1704" s="6"/>
      <c r="AK1704" s="23"/>
      <c r="AL1704" s="23"/>
      <c r="AM1704" s="23"/>
      <c r="AN1704" s="23"/>
      <c r="AO1704" s="23"/>
      <c r="AP1704" s="23"/>
      <c r="AQ1704" s="23"/>
      <c r="AR1704" s="66">
        <v>0</v>
      </c>
      <c r="AS1704" s="8"/>
      <c r="AT1704" s="19"/>
      <c r="AU1704" s="19"/>
      <c r="AV1704" s="12"/>
      <c r="AW1704" s="12"/>
      <c r="AX1704" s="8"/>
      <c r="AY1704" s="8"/>
      <c r="AZ1704" s="8"/>
      <c r="BA1704" s="8"/>
      <c r="BB1704" s="62"/>
      <c r="BC1704" s="21"/>
      <c r="BD1704" s="21"/>
      <c r="BE1704" s="21"/>
      <c r="BF1704" s="22"/>
      <c r="BG1704" s="22"/>
      <c r="BH1704" s="22"/>
      <c r="BI1704" s="22"/>
      <c r="BJ1704" s="8"/>
      <c r="BK1704" s="8"/>
      <c r="BL1704" s="8"/>
      <c r="BM1704" s="8"/>
      <c r="BN1704" s="5"/>
      <c r="BO1704" s="5"/>
      <c r="BP1704" s="8"/>
      <c r="BQ1704" s="8"/>
      <c r="BR1704">
        <v>3.95</v>
      </c>
      <c r="BS1704">
        <v>4.0999999999999996</v>
      </c>
      <c r="BT1704">
        <v>0.47799999999999998</v>
      </c>
      <c r="BU1704">
        <v>0.18132999999999999</v>
      </c>
      <c r="BV1704">
        <v>0.197749108476831</v>
      </c>
      <c r="BW1704">
        <v>0.26435999999999998</v>
      </c>
    </row>
    <row r="1705" spans="1:75" ht="16.75" customHeight="1" x14ac:dyDescent="0.2">
      <c r="A1705" t="str">
        <f t="shared" si="1631"/>
        <v>2025020821 OTT</v>
      </c>
      <c r="B1705">
        <v>2025020821</v>
      </c>
      <c r="C1705" s="1">
        <v>46047</v>
      </c>
      <c r="D1705" s="2" t="s">
        <v>9</v>
      </c>
      <c r="E1705" t="s">
        <v>39</v>
      </c>
      <c r="F1705" s="2">
        <v>0</v>
      </c>
      <c r="G1705" s="2">
        <v>1</v>
      </c>
      <c r="H1705" t="s">
        <v>53</v>
      </c>
      <c r="I1705" t="str">
        <f t="shared" si="1275"/>
        <v xml:space="preserve">OTT </v>
      </c>
      <c r="K1705" s="14"/>
      <c r="L1705" s="13">
        <v>0.15</v>
      </c>
      <c r="M1705" s="28">
        <v>0.1</v>
      </c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23"/>
      <c r="AF1705" s="23"/>
      <c r="AG1705" s="26"/>
      <c r="AH1705" s="26"/>
      <c r="AI1705" s="53"/>
      <c r="AJ1705" s="6"/>
      <c r="AK1705" s="23"/>
      <c r="AL1705" s="23"/>
      <c r="AM1705" s="23"/>
      <c r="AN1705" s="23"/>
      <c r="AO1705" s="23"/>
      <c r="AP1705" s="23"/>
      <c r="AQ1705" s="23"/>
      <c r="AR1705" s="66">
        <v>0</v>
      </c>
      <c r="AS1705" s="8"/>
      <c r="AT1705" s="19"/>
      <c r="AU1705" s="19"/>
      <c r="AV1705" s="12"/>
      <c r="AW1705" s="12"/>
      <c r="AX1705" s="8"/>
      <c r="AY1705" s="8"/>
      <c r="AZ1705" s="8"/>
      <c r="BA1705" s="8"/>
      <c r="BB1705" s="62"/>
      <c r="BC1705" s="21"/>
      <c r="BD1705" s="21"/>
      <c r="BE1705" s="21"/>
      <c r="BF1705" s="22"/>
      <c r="BG1705" s="22"/>
      <c r="BH1705" s="22"/>
      <c r="BI1705" s="22"/>
      <c r="BJ1705" s="8"/>
      <c r="BK1705" s="8"/>
      <c r="BL1705" s="8"/>
      <c r="BM1705" s="8"/>
      <c r="BN1705" s="5"/>
      <c r="BO1705" s="5"/>
      <c r="BP1705" s="8"/>
      <c r="BQ1705" s="8"/>
      <c r="BR1705">
        <v>3.95</v>
      </c>
      <c r="BS1705">
        <v>4.1500000000000004</v>
      </c>
      <c r="BT1705">
        <v>0.46768999999999999</v>
      </c>
      <c r="BU1705">
        <v>0.17823</v>
      </c>
      <c r="BV1705">
        <v>0.19399817136886099</v>
      </c>
      <c r="BW1705">
        <v>0.25951000000000002</v>
      </c>
    </row>
    <row r="1706" spans="1:75" ht="16.75" customHeight="1" x14ac:dyDescent="0.2">
      <c r="A1706" t="str">
        <f t="shared" si="1631"/>
        <v>2025020822 PIT</v>
      </c>
      <c r="B1706">
        <v>2025020822</v>
      </c>
      <c r="C1706" s="1">
        <v>46047</v>
      </c>
      <c r="D1706" s="2" t="s">
        <v>6</v>
      </c>
      <c r="E1706" t="s">
        <v>21</v>
      </c>
      <c r="F1706" s="2">
        <v>2</v>
      </c>
      <c r="G1706" s="2">
        <v>1</v>
      </c>
      <c r="H1706" t="s">
        <v>44</v>
      </c>
      <c r="I1706" t="str">
        <f t="shared" si="1275"/>
        <v xml:space="preserve">PIT </v>
      </c>
      <c r="K1706" s="14"/>
      <c r="L1706" s="13">
        <v>0.15</v>
      </c>
      <c r="M1706" s="28">
        <v>0.1</v>
      </c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23"/>
      <c r="AF1706" s="23"/>
      <c r="AG1706" s="26"/>
      <c r="AH1706" s="26"/>
      <c r="AI1706" s="53"/>
      <c r="AJ1706" s="6"/>
      <c r="AK1706" s="23"/>
      <c r="AL1706" s="23"/>
      <c r="AM1706" s="23"/>
      <c r="AN1706" s="23"/>
      <c r="AO1706" s="23"/>
      <c r="AP1706" s="23"/>
      <c r="AQ1706" s="23"/>
      <c r="AR1706" s="66">
        <v>0</v>
      </c>
      <c r="AS1706" s="8"/>
      <c r="AT1706" s="19"/>
      <c r="AU1706" s="19"/>
      <c r="AV1706" s="12"/>
      <c r="AW1706" s="12"/>
      <c r="AX1706" s="8"/>
      <c r="AY1706" s="8"/>
      <c r="AZ1706" s="8"/>
      <c r="BA1706" s="8"/>
      <c r="BB1706" s="62"/>
      <c r="BC1706" s="21"/>
      <c r="BD1706" s="21"/>
      <c r="BE1706" s="21"/>
      <c r="BF1706" s="22"/>
      <c r="BG1706" s="22"/>
      <c r="BH1706" s="22"/>
      <c r="BI1706" s="22"/>
      <c r="BJ1706" s="8"/>
      <c r="BK1706" s="8"/>
      <c r="BL1706" s="8"/>
      <c r="BM1706" s="8"/>
      <c r="BN1706" s="5"/>
      <c r="BO1706" s="5"/>
      <c r="BP1706" s="8"/>
      <c r="BQ1706" s="8"/>
      <c r="BR1706">
        <v>3.95</v>
      </c>
      <c r="BS1706">
        <v>4.2</v>
      </c>
      <c r="BT1706">
        <v>0.45967999999999998</v>
      </c>
      <c r="BU1706">
        <v>0.17262</v>
      </c>
      <c r="BV1706">
        <v>0.187597809076682</v>
      </c>
      <c r="BW1706">
        <v>0.25246000000000002</v>
      </c>
    </row>
    <row r="1707" spans="1:75" ht="16.75" customHeight="1" x14ac:dyDescent="0.2">
      <c r="A1707" t="str">
        <f t="shared" si="1631"/>
        <v>2025020822 VAN</v>
      </c>
      <c r="B1707">
        <v>2025020822</v>
      </c>
      <c r="C1707" s="1">
        <v>46047</v>
      </c>
      <c r="D1707" s="2" t="s">
        <v>9</v>
      </c>
      <c r="E1707" t="s">
        <v>23</v>
      </c>
      <c r="F1707" s="2">
        <v>1</v>
      </c>
      <c r="G1707" s="2">
        <v>2</v>
      </c>
      <c r="H1707" t="s">
        <v>45</v>
      </c>
      <c r="I1707" t="str">
        <f t="shared" ref="I1707:I1770" si="1664">E1707&amp;" "&amp;J1707</f>
        <v xml:space="preserve">VAN </v>
      </c>
      <c r="K1707" s="14"/>
      <c r="L1707" s="13">
        <v>0.15</v>
      </c>
      <c r="M1707" s="28">
        <v>0.1</v>
      </c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23"/>
      <c r="AF1707" s="23"/>
      <c r="AG1707" s="26"/>
      <c r="AH1707" s="26"/>
      <c r="AI1707" s="53"/>
      <c r="AJ1707" s="6"/>
      <c r="AK1707" s="23"/>
      <c r="AL1707" s="23"/>
      <c r="AM1707" s="23"/>
      <c r="AN1707" s="23"/>
      <c r="AO1707" s="23"/>
      <c r="AP1707" s="23"/>
      <c r="AQ1707" s="23"/>
      <c r="AR1707" s="66">
        <v>0</v>
      </c>
      <c r="AS1707" s="8"/>
      <c r="AT1707" s="19"/>
      <c r="AU1707" s="19"/>
      <c r="AV1707" s="12"/>
      <c r="AW1707" s="12"/>
      <c r="AX1707" s="8"/>
      <c r="AY1707" s="8"/>
      <c r="AZ1707" s="8"/>
      <c r="BA1707" s="8"/>
      <c r="BB1707" s="62"/>
      <c r="BC1707" s="21"/>
      <c r="BD1707" s="21"/>
      <c r="BE1707" s="21"/>
      <c r="BF1707" s="22"/>
      <c r="BG1707" s="22"/>
      <c r="BH1707" s="22"/>
      <c r="BI1707" s="22"/>
      <c r="BJ1707" s="8"/>
      <c r="BK1707" s="8"/>
      <c r="BL1707" s="8"/>
      <c r="BM1707" s="8"/>
      <c r="BN1707" s="5"/>
      <c r="BO1707" s="5"/>
      <c r="BP1707" s="8"/>
      <c r="BQ1707" s="8"/>
      <c r="BR1707">
        <v>3.95</v>
      </c>
      <c r="BS1707">
        <v>4.25</v>
      </c>
      <c r="BT1707">
        <v>0.45434000000000002</v>
      </c>
      <c r="BU1707">
        <v>0.16844999999999999</v>
      </c>
      <c r="BV1707">
        <v>0.18288909396883901</v>
      </c>
      <c r="BW1707">
        <v>0.24740000000000001</v>
      </c>
    </row>
    <row r="1708" spans="1:75" ht="16.75" customHeight="1" x14ac:dyDescent="0.2">
      <c r="A1708" t="str">
        <f t="shared" si="1631"/>
        <v>2025020823 FLA</v>
      </c>
      <c r="B1708">
        <v>2025020823</v>
      </c>
      <c r="C1708" s="1">
        <v>46047</v>
      </c>
      <c r="D1708" s="2" t="s">
        <v>6</v>
      </c>
      <c r="E1708" t="s">
        <v>10</v>
      </c>
      <c r="F1708" s="2">
        <v>0</v>
      </c>
      <c r="G1708" s="2">
        <v>1</v>
      </c>
      <c r="H1708" t="s">
        <v>26</v>
      </c>
      <c r="I1708" t="str">
        <f t="shared" si="1664"/>
        <v xml:space="preserve">FLA </v>
      </c>
      <c r="K1708" s="14"/>
      <c r="L1708" s="13">
        <v>0.15</v>
      </c>
      <c r="M1708" s="28">
        <v>0.1</v>
      </c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23"/>
      <c r="AF1708" s="23"/>
      <c r="AG1708" s="26"/>
      <c r="AH1708" s="26"/>
      <c r="AI1708" s="53"/>
      <c r="AJ1708" s="6"/>
      <c r="AK1708" s="23"/>
      <c r="AL1708" s="23"/>
      <c r="AM1708" s="23"/>
      <c r="AN1708" s="23"/>
      <c r="AO1708" s="23"/>
      <c r="AP1708" s="23"/>
      <c r="AQ1708" s="23"/>
      <c r="AR1708" s="66">
        <v>0</v>
      </c>
      <c r="AS1708" s="8"/>
      <c r="AT1708" s="19"/>
      <c r="AU1708" s="19"/>
      <c r="AV1708" s="12"/>
      <c r="AW1708" s="12"/>
      <c r="AX1708" s="8"/>
      <c r="AY1708" s="8"/>
      <c r="AZ1708" s="8"/>
      <c r="BA1708" s="8"/>
      <c r="BB1708" s="62"/>
      <c r="BC1708" s="21"/>
      <c r="BD1708" s="21"/>
      <c r="BE1708" s="21"/>
      <c r="BF1708" s="22"/>
      <c r="BG1708" s="22"/>
      <c r="BH1708" s="22"/>
      <c r="BI1708" s="22"/>
      <c r="BJ1708" s="8"/>
      <c r="BK1708" s="8"/>
      <c r="BL1708" s="8"/>
      <c r="BM1708" s="8"/>
      <c r="BN1708" s="5"/>
      <c r="BO1708" s="5"/>
      <c r="BP1708" s="8"/>
      <c r="BQ1708" s="8"/>
      <c r="BR1708">
        <v>3.95</v>
      </c>
      <c r="BS1708">
        <v>4.3</v>
      </c>
      <c r="BT1708">
        <v>0.44979000000000002</v>
      </c>
      <c r="BU1708">
        <v>0.16508</v>
      </c>
      <c r="BV1708">
        <v>0.17900478199108599</v>
      </c>
      <c r="BW1708">
        <v>0.24287</v>
      </c>
    </row>
    <row r="1709" spans="1:75" ht="16.75" customHeight="1" x14ac:dyDescent="0.2">
      <c r="A1709" t="str">
        <f t="shared" si="1631"/>
        <v>2025020823 CHI</v>
      </c>
      <c r="B1709">
        <v>2025020823</v>
      </c>
      <c r="C1709" s="1">
        <v>46047</v>
      </c>
      <c r="D1709" s="2" t="s">
        <v>9</v>
      </c>
      <c r="E1709" t="s">
        <v>14</v>
      </c>
      <c r="F1709" s="2">
        <v>1</v>
      </c>
      <c r="G1709" s="2">
        <v>0</v>
      </c>
      <c r="H1709" t="s">
        <v>27</v>
      </c>
      <c r="I1709" t="str">
        <f t="shared" si="1664"/>
        <v xml:space="preserve">CHI </v>
      </c>
      <c r="K1709" s="14"/>
      <c r="L1709" s="13">
        <v>0.15</v>
      </c>
      <c r="M1709" s="28">
        <v>0.1</v>
      </c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23"/>
      <c r="AF1709" s="23"/>
      <c r="AG1709" s="26"/>
      <c r="AH1709" s="26"/>
      <c r="AI1709" s="53"/>
      <c r="AJ1709" s="6"/>
      <c r="AK1709" s="23"/>
      <c r="AL1709" s="23"/>
      <c r="AM1709" s="23"/>
      <c r="AN1709" s="23"/>
      <c r="AO1709" s="23"/>
      <c r="AP1709" s="23"/>
      <c r="AQ1709" s="23"/>
      <c r="AR1709" s="66">
        <v>0</v>
      </c>
      <c r="AS1709" s="8"/>
      <c r="AT1709" s="19"/>
      <c r="AU1709" s="19"/>
      <c r="AV1709" s="12"/>
      <c r="AW1709" s="12"/>
      <c r="AX1709" s="8"/>
      <c r="AY1709" s="8"/>
      <c r="AZ1709" s="8"/>
      <c r="BA1709" s="8"/>
      <c r="BB1709" s="62"/>
      <c r="BC1709" s="21"/>
      <c r="BD1709" s="21"/>
      <c r="BE1709" s="21"/>
      <c r="BF1709" s="22"/>
      <c r="BG1709" s="22"/>
      <c r="BH1709" s="22"/>
      <c r="BI1709" s="22"/>
      <c r="BJ1709" s="8"/>
      <c r="BK1709" s="8"/>
      <c r="BL1709" s="8"/>
      <c r="BM1709" s="8"/>
      <c r="BN1709" s="5"/>
      <c r="BO1709" s="5"/>
      <c r="BP1709" s="8"/>
      <c r="BQ1709" s="8"/>
      <c r="BR1709">
        <v>3.95</v>
      </c>
      <c r="BS1709">
        <v>4.3499999999999996</v>
      </c>
      <c r="BT1709">
        <v>0.44359999999999999</v>
      </c>
      <c r="BU1709">
        <v>0.15970999999999999</v>
      </c>
      <c r="BV1709">
        <v>0.172872513151343</v>
      </c>
      <c r="BW1709">
        <v>0.23585</v>
      </c>
    </row>
    <row r="1710" spans="1:75" ht="16.75" customHeight="1" x14ac:dyDescent="0.2">
      <c r="A1710" t="str">
        <f t="shared" si="1631"/>
        <v>2025020824 ANA</v>
      </c>
      <c r="B1710">
        <v>2025020824</v>
      </c>
      <c r="C1710" s="1">
        <v>46047</v>
      </c>
      <c r="D1710" s="2" t="s">
        <v>6</v>
      </c>
      <c r="E1710" t="s">
        <v>48</v>
      </c>
      <c r="F1710" s="2">
        <v>1</v>
      </c>
      <c r="G1710" s="2">
        <v>1</v>
      </c>
      <c r="H1710" t="s">
        <v>46</v>
      </c>
      <c r="I1710" t="str">
        <f t="shared" si="1664"/>
        <v xml:space="preserve">ANA </v>
      </c>
      <c r="K1710" s="14"/>
      <c r="L1710" s="13">
        <v>0.15</v>
      </c>
      <c r="M1710" s="28">
        <v>0.1</v>
      </c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23"/>
      <c r="AF1710" s="23"/>
      <c r="AG1710" s="26"/>
      <c r="AH1710" s="26"/>
      <c r="AI1710" s="53"/>
      <c r="AJ1710" s="6"/>
      <c r="AK1710" s="23"/>
      <c r="AL1710" s="23"/>
      <c r="AM1710" s="23"/>
      <c r="AN1710" s="23"/>
      <c r="AO1710" s="23"/>
      <c r="AP1710" s="23"/>
      <c r="AQ1710" s="23"/>
      <c r="AR1710" s="66">
        <v>0</v>
      </c>
      <c r="AS1710" s="8"/>
      <c r="AT1710" s="19"/>
      <c r="AU1710" s="19"/>
      <c r="AV1710" s="12"/>
      <c r="AW1710" s="12"/>
      <c r="AX1710" s="8"/>
      <c r="AY1710" s="8"/>
      <c r="AZ1710" s="8"/>
      <c r="BA1710" s="8"/>
      <c r="BB1710" s="62"/>
      <c r="BC1710" s="21"/>
      <c r="BD1710" s="21"/>
      <c r="BE1710" s="21"/>
      <c r="BF1710" s="22"/>
      <c r="BG1710" s="22"/>
      <c r="BH1710" s="22"/>
      <c r="BI1710" s="22"/>
      <c r="BJ1710" s="8"/>
      <c r="BK1710" s="8"/>
      <c r="BL1710" s="8"/>
      <c r="BM1710" s="8"/>
      <c r="BN1710" s="5"/>
      <c r="BO1710" s="5"/>
      <c r="BP1710" s="8"/>
      <c r="BQ1710" s="8"/>
      <c r="BR1710">
        <v>3.95</v>
      </c>
      <c r="BS1710">
        <v>4.4000000000000004</v>
      </c>
      <c r="BT1710">
        <v>0.43654999999999999</v>
      </c>
      <c r="BU1710">
        <v>0.15540999999999999</v>
      </c>
      <c r="BV1710">
        <v>0.16807258884346599</v>
      </c>
      <c r="BW1710">
        <v>0.23075000000000001</v>
      </c>
    </row>
    <row r="1711" spans="1:75" ht="16.75" customHeight="1" x14ac:dyDescent="0.2">
      <c r="A1711" t="str">
        <f t="shared" si="1631"/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si="1664"/>
        <v xml:space="preserve">CGY </v>
      </c>
      <c r="K1711" s="14"/>
      <c r="L1711" s="13">
        <v>0.15</v>
      </c>
      <c r="M1711" s="28">
        <v>0.1</v>
      </c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23"/>
      <c r="AF1711" s="23"/>
      <c r="AG1711" s="26"/>
      <c r="AH1711" s="26"/>
      <c r="AI1711" s="53"/>
      <c r="AJ1711" s="6"/>
      <c r="AK1711" s="23"/>
      <c r="AL1711" s="23"/>
      <c r="AM1711" s="23"/>
      <c r="AN1711" s="23"/>
      <c r="AO1711" s="23"/>
      <c r="AP1711" s="23"/>
      <c r="AQ1711" s="23"/>
      <c r="AR1711" s="66">
        <v>0</v>
      </c>
      <c r="AS1711" s="8"/>
      <c r="AT1711" s="19"/>
      <c r="AU1711" s="19"/>
      <c r="AV1711" s="12"/>
      <c r="AW1711" s="12"/>
      <c r="AX1711" s="8"/>
      <c r="AY1711" s="8"/>
      <c r="AZ1711" s="8"/>
      <c r="BA1711" s="8"/>
      <c r="BB1711" s="62"/>
      <c r="BC1711" s="21"/>
      <c r="BD1711" s="21"/>
      <c r="BE1711" s="21"/>
      <c r="BF1711" s="22"/>
      <c r="BG1711" s="22"/>
      <c r="BH1711" s="22"/>
      <c r="BI1711" s="22"/>
      <c r="BJ1711" s="8"/>
      <c r="BK1711" s="8"/>
      <c r="BL1711" s="8"/>
      <c r="BM1711" s="8"/>
      <c r="BN1711" s="5"/>
      <c r="BO1711" s="5"/>
      <c r="BP1711" s="8"/>
      <c r="BQ1711" s="8"/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631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1664"/>
        <v xml:space="preserve">BOS </v>
      </c>
      <c r="K1712" s="14"/>
      <c r="L1712" s="13">
        <v>0.15</v>
      </c>
      <c r="M1712" s="28">
        <v>0.1</v>
      </c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23"/>
      <c r="AF1712" s="23"/>
      <c r="AG1712" s="26"/>
      <c r="AH1712" s="26"/>
      <c r="AI1712" s="53"/>
      <c r="AJ1712" s="6"/>
      <c r="AK1712" s="23"/>
      <c r="AL1712" s="23"/>
      <c r="AM1712" s="23"/>
      <c r="AN1712" s="23"/>
      <c r="AO1712" s="23"/>
      <c r="AP1712" s="23"/>
      <c r="AQ1712" s="23"/>
      <c r="AR1712" s="66">
        <v>0</v>
      </c>
      <c r="AS1712" s="8"/>
      <c r="AT1712" s="19"/>
      <c r="AU1712" s="19"/>
      <c r="AV1712" s="12"/>
      <c r="AW1712" s="12"/>
      <c r="AX1712" s="8"/>
      <c r="AY1712" s="8"/>
      <c r="AZ1712" s="8"/>
      <c r="BA1712" s="8"/>
      <c r="BB1712" s="62"/>
      <c r="BC1712" s="21"/>
      <c r="BD1712" s="21"/>
      <c r="BE1712" s="21"/>
      <c r="BF1712" s="22"/>
      <c r="BG1712" s="22"/>
      <c r="BH1712" s="22"/>
      <c r="BI1712" s="22"/>
      <c r="BJ1712" s="8"/>
      <c r="BK1712" s="8"/>
      <c r="BL1712" s="8"/>
      <c r="BM1712" s="8"/>
      <c r="BN1712" s="5"/>
      <c r="BO1712" s="5"/>
      <c r="BP1712" s="8"/>
      <c r="BQ1712" s="8"/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631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1664"/>
        <v xml:space="preserve">NYR </v>
      </c>
      <c r="K1713" s="14"/>
      <c r="L1713" s="13">
        <v>0.15</v>
      </c>
      <c r="M1713" s="28">
        <v>0.1</v>
      </c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23"/>
      <c r="AF1713" s="23"/>
      <c r="AG1713" s="26"/>
      <c r="AH1713" s="26"/>
      <c r="AI1713" s="53"/>
      <c r="AJ1713" s="6"/>
      <c r="AK1713" s="23"/>
      <c r="AL1713" s="23"/>
      <c r="AM1713" s="23"/>
      <c r="AN1713" s="23"/>
      <c r="AO1713" s="23"/>
      <c r="AP1713" s="23"/>
      <c r="AQ1713" s="23"/>
      <c r="AR1713" s="66">
        <v>0</v>
      </c>
      <c r="AS1713" s="8"/>
      <c r="AT1713" s="19"/>
      <c r="AU1713" s="19"/>
      <c r="AV1713" s="12"/>
      <c r="AW1713" s="12"/>
      <c r="AX1713" s="8"/>
      <c r="AY1713" s="8"/>
      <c r="AZ1713" s="8"/>
      <c r="BA1713" s="8"/>
      <c r="BB1713" s="62"/>
      <c r="BC1713" s="21"/>
      <c r="BD1713" s="21"/>
      <c r="BE1713" s="21"/>
      <c r="BF1713" s="22"/>
      <c r="BG1713" s="22"/>
      <c r="BH1713" s="22"/>
      <c r="BI1713" s="22"/>
      <c r="BJ1713" s="8"/>
      <c r="BK1713" s="8"/>
      <c r="BL1713" s="8"/>
      <c r="BM1713" s="8"/>
      <c r="BN1713" s="5"/>
      <c r="BO1713" s="5"/>
      <c r="BP1713" s="8"/>
      <c r="BQ1713" s="8"/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631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1664"/>
        <v xml:space="preserve">LAK </v>
      </c>
      <c r="K1714" s="14"/>
      <c r="L1714" s="13">
        <v>0.15</v>
      </c>
      <c r="M1714" s="28">
        <v>0.1</v>
      </c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23"/>
      <c r="AF1714" s="23"/>
      <c r="AG1714" s="26"/>
      <c r="AH1714" s="26"/>
      <c r="AI1714" s="53"/>
      <c r="AJ1714" s="6"/>
      <c r="AK1714" s="23"/>
      <c r="AL1714" s="23"/>
      <c r="AM1714" s="23"/>
      <c r="AN1714" s="23"/>
      <c r="AO1714" s="23"/>
      <c r="AP1714" s="23"/>
      <c r="AQ1714" s="23"/>
      <c r="AR1714" s="66">
        <v>0</v>
      </c>
      <c r="AS1714" s="8"/>
      <c r="AT1714" s="19"/>
      <c r="AU1714" s="19"/>
      <c r="AV1714" s="12"/>
      <c r="AW1714" s="12"/>
      <c r="AX1714" s="8"/>
      <c r="AY1714" s="8"/>
      <c r="AZ1714" s="8"/>
      <c r="BA1714" s="8"/>
      <c r="BB1714" s="62"/>
      <c r="BC1714" s="21"/>
      <c r="BD1714" s="21"/>
      <c r="BE1714" s="21"/>
      <c r="BF1714" s="22"/>
      <c r="BG1714" s="22"/>
      <c r="BH1714" s="22"/>
      <c r="BI1714" s="22"/>
      <c r="BJ1714" s="8"/>
      <c r="BK1714" s="8"/>
      <c r="BL1714" s="8"/>
      <c r="BM1714" s="8"/>
      <c r="BN1714" s="5"/>
      <c r="BO1714" s="5"/>
      <c r="BP1714" s="8"/>
      <c r="BQ1714" s="8"/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631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1664"/>
        <v xml:space="preserve">CBJ </v>
      </c>
      <c r="K1715" s="14"/>
      <c r="L1715" s="13">
        <v>0.15</v>
      </c>
      <c r="M1715" s="28">
        <v>0.1</v>
      </c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23"/>
      <c r="AF1715" s="23"/>
      <c r="AG1715" s="26"/>
      <c r="AH1715" s="26"/>
      <c r="AI1715" s="53"/>
      <c r="AJ1715" s="6"/>
      <c r="AK1715" s="23"/>
      <c r="AL1715" s="23"/>
      <c r="AM1715" s="23"/>
      <c r="AN1715" s="23"/>
      <c r="AO1715" s="23"/>
      <c r="AP1715" s="23"/>
      <c r="AQ1715" s="23"/>
      <c r="AR1715" s="66">
        <v>0</v>
      </c>
      <c r="AS1715" s="8"/>
      <c r="AT1715" s="19"/>
      <c r="AU1715" s="19"/>
      <c r="AV1715" s="12"/>
      <c r="AW1715" s="12"/>
      <c r="AX1715" s="8"/>
      <c r="AY1715" s="8"/>
      <c r="AZ1715" s="8"/>
      <c r="BA1715" s="8"/>
      <c r="BB1715" s="62"/>
      <c r="BC1715" s="21"/>
      <c r="BD1715" s="21"/>
      <c r="BE1715" s="21"/>
      <c r="BF1715" s="22"/>
      <c r="BG1715" s="22"/>
      <c r="BH1715" s="22"/>
      <c r="BI1715" s="22"/>
      <c r="BJ1715" s="8"/>
      <c r="BK1715" s="8"/>
      <c r="BL1715" s="8"/>
      <c r="BM1715" s="8"/>
      <c r="BN1715" s="5"/>
      <c r="BO1715" s="5"/>
      <c r="BP1715" s="8"/>
      <c r="BQ1715" s="8"/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631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1664"/>
        <v xml:space="preserve">NYI </v>
      </c>
      <c r="K1716" s="14"/>
      <c r="L1716" s="13">
        <v>0.15</v>
      </c>
      <c r="M1716" s="28">
        <v>0.1</v>
      </c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23"/>
      <c r="AF1716" s="23"/>
      <c r="AG1716" s="26"/>
      <c r="AH1716" s="26"/>
      <c r="AI1716" s="53"/>
      <c r="AJ1716" s="6"/>
      <c r="AK1716" s="23"/>
      <c r="AL1716" s="23"/>
      <c r="AM1716" s="23"/>
      <c r="AN1716" s="23"/>
      <c r="AO1716" s="23"/>
      <c r="AP1716" s="23"/>
      <c r="AQ1716" s="23"/>
      <c r="AR1716" s="66">
        <v>0</v>
      </c>
      <c r="AS1716" s="8"/>
      <c r="AT1716" s="19"/>
      <c r="AU1716" s="19"/>
      <c r="AV1716" s="12"/>
      <c r="AW1716" s="12"/>
      <c r="AX1716" s="8"/>
      <c r="AY1716" s="8"/>
      <c r="AZ1716" s="8"/>
      <c r="BA1716" s="8"/>
      <c r="BB1716" s="62"/>
      <c r="BC1716" s="21"/>
      <c r="BD1716" s="21"/>
      <c r="BE1716" s="21"/>
      <c r="BF1716" s="22"/>
      <c r="BG1716" s="22"/>
      <c r="BH1716" s="22"/>
      <c r="BI1716" s="22"/>
      <c r="BJ1716" s="8"/>
      <c r="BK1716" s="8"/>
      <c r="BL1716" s="8"/>
      <c r="BM1716" s="8"/>
      <c r="BN1716" s="5"/>
      <c r="BO1716" s="5"/>
      <c r="BP1716" s="8"/>
      <c r="BQ1716" s="8"/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631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1664"/>
        <v xml:space="preserve">PHI </v>
      </c>
      <c r="K1717" s="14"/>
      <c r="L1717" s="13">
        <v>0.15</v>
      </c>
      <c r="M1717" s="28">
        <v>0.1</v>
      </c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23"/>
      <c r="AF1717" s="23"/>
      <c r="AG1717" s="26"/>
      <c r="AH1717" s="26"/>
      <c r="AI1717" s="53"/>
      <c r="AJ1717" s="6"/>
      <c r="AK1717" s="23"/>
      <c r="AL1717" s="23"/>
      <c r="AM1717" s="23"/>
      <c r="AN1717" s="23"/>
      <c r="AO1717" s="23"/>
      <c r="AP1717" s="23"/>
      <c r="AQ1717" s="23"/>
      <c r="AR1717" s="66">
        <v>0</v>
      </c>
      <c r="AS1717" s="8"/>
      <c r="AT1717" s="19"/>
      <c r="AU1717" s="19"/>
      <c r="AV1717" s="12"/>
      <c r="AW1717" s="12"/>
      <c r="AX1717" s="8"/>
      <c r="AY1717" s="8"/>
      <c r="AZ1717" s="8"/>
      <c r="BA1717" s="8"/>
      <c r="BB1717" s="62"/>
      <c r="BC1717" s="21"/>
      <c r="BD1717" s="21"/>
      <c r="BE1717" s="21"/>
      <c r="BF1717" s="22"/>
      <c r="BG1717" s="22"/>
      <c r="BH1717" s="22"/>
      <c r="BI1717" s="22"/>
      <c r="BJ1717" s="8"/>
      <c r="BK1717" s="8"/>
      <c r="BL1717" s="8"/>
      <c r="BM1717" s="8"/>
      <c r="BN1717" s="5"/>
      <c r="BO1717" s="5"/>
      <c r="BP1717" s="8"/>
      <c r="BQ1717" s="8"/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631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1664"/>
        <v xml:space="preserve">UTA </v>
      </c>
      <c r="K1718" s="14"/>
      <c r="L1718" s="13">
        <v>0.15</v>
      </c>
      <c r="M1718" s="28">
        <v>0.1</v>
      </c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23"/>
      <c r="AF1718" s="23"/>
      <c r="AG1718" s="26"/>
      <c r="AH1718" s="26"/>
      <c r="AI1718" s="53"/>
      <c r="AJ1718" s="6"/>
      <c r="AK1718" s="23"/>
      <c r="AL1718" s="23"/>
      <c r="AM1718" s="23"/>
      <c r="AN1718" s="23"/>
      <c r="AO1718" s="23"/>
      <c r="AP1718" s="23"/>
      <c r="AQ1718" s="23"/>
      <c r="AR1718" s="66">
        <v>0</v>
      </c>
      <c r="AS1718" s="8"/>
      <c r="AT1718" s="19"/>
      <c r="AU1718" s="19"/>
      <c r="AV1718" s="12"/>
      <c r="AW1718" s="12"/>
      <c r="AX1718" s="8"/>
      <c r="AY1718" s="8"/>
      <c r="AZ1718" s="8"/>
      <c r="BA1718" s="8"/>
      <c r="BB1718" s="62"/>
      <c r="BC1718" s="21"/>
      <c r="BD1718" s="21"/>
      <c r="BE1718" s="21"/>
      <c r="BF1718" s="22"/>
      <c r="BG1718" s="22"/>
      <c r="BH1718" s="22"/>
      <c r="BI1718" s="22"/>
      <c r="BJ1718" s="8"/>
      <c r="BK1718" s="8"/>
      <c r="BL1718" s="8"/>
      <c r="BM1718" s="8"/>
      <c r="BN1718" s="5"/>
      <c r="BO1718" s="5"/>
      <c r="BP1718" s="8"/>
      <c r="BQ1718" s="8"/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631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1664"/>
        <v xml:space="preserve">TBL </v>
      </c>
      <c r="K1719" s="14"/>
      <c r="L1719" s="13">
        <v>0.15</v>
      </c>
      <c r="M1719" s="28">
        <v>0.1</v>
      </c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23"/>
      <c r="AF1719" s="23"/>
      <c r="AG1719" s="26"/>
      <c r="AH1719" s="26"/>
      <c r="AI1719" s="53"/>
      <c r="AJ1719" s="6"/>
      <c r="AK1719" s="23"/>
      <c r="AL1719" s="23"/>
      <c r="AM1719" s="23"/>
      <c r="AN1719" s="23"/>
      <c r="AO1719" s="23"/>
      <c r="AP1719" s="23"/>
      <c r="AQ1719" s="23"/>
      <c r="AR1719" s="66">
        <v>0</v>
      </c>
      <c r="AS1719" s="8"/>
      <c r="AT1719" s="19"/>
      <c r="AU1719" s="19"/>
      <c r="AV1719" s="12"/>
      <c r="AW1719" s="12"/>
      <c r="AX1719" s="8"/>
      <c r="AY1719" s="8"/>
      <c r="AZ1719" s="8"/>
      <c r="BA1719" s="8"/>
      <c r="BB1719" s="62"/>
      <c r="BC1719" s="21"/>
      <c r="BD1719" s="21"/>
      <c r="BE1719" s="21"/>
      <c r="BF1719" s="22"/>
      <c r="BG1719" s="22"/>
      <c r="BH1719" s="22"/>
      <c r="BI1719" s="22"/>
      <c r="BJ1719" s="8"/>
      <c r="BK1719" s="8"/>
      <c r="BL1719" s="8"/>
      <c r="BM1719" s="8"/>
      <c r="BN1719" s="5"/>
      <c r="BO1719" s="5"/>
      <c r="BP1719" s="8"/>
      <c r="BQ1719" s="8"/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631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1664"/>
        <v xml:space="preserve">ANA </v>
      </c>
      <c r="K1720" s="14"/>
      <c r="L1720" s="13">
        <v>0.15</v>
      </c>
      <c r="M1720" s="28">
        <v>0.1</v>
      </c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23"/>
      <c r="AF1720" s="23"/>
      <c r="AG1720" s="26"/>
      <c r="AH1720" s="26"/>
      <c r="AI1720" s="53"/>
      <c r="AJ1720" s="6"/>
      <c r="AK1720" s="23"/>
      <c r="AL1720" s="23"/>
      <c r="AM1720" s="23"/>
      <c r="AN1720" s="23"/>
      <c r="AO1720" s="23"/>
      <c r="AP1720" s="23"/>
      <c r="AQ1720" s="23"/>
      <c r="AR1720" s="66">
        <v>0</v>
      </c>
      <c r="AS1720" s="8"/>
      <c r="AT1720" s="19"/>
      <c r="AU1720" s="19"/>
      <c r="AV1720" s="12"/>
      <c r="AW1720" s="12"/>
      <c r="AX1720" s="8"/>
      <c r="AY1720" s="8"/>
      <c r="AZ1720" s="8"/>
      <c r="BA1720" s="8"/>
      <c r="BB1720" s="62"/>
      <c r="BC1720" s="21"/>
      <c r="BD1720" s="21"/>
      <c r="BE1720" s="21"/>
      <c r="BF1720" s="22"/>
      <c r="BG1720" s="22"/>
      <c r="BH1720" s="22"/>
      <c r="BI1720" s="22"/>
      <c r="BJ1720" s="8"/>
      <c r="BK1720" s="8"/>
      <c r="BL1720" s="8"/>
      <c r="BM1720" s="8"/>
      <c r="BN1720" s="5"/>
      <c r="BO1720" s="5"/>
      <c r="BP1720" s="8"/>
      <c r="BQ1720" s="8"/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631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si="1664"/>
        <v xml:space="preserve">EDM </v>
      </c>
      <c r="K1721" s="14"/>
      <c r="L1721" s="13">
        <v>0.15</v>
      </c>
      <c r="M1721" s="28">
        <v>0.1</v>
      </c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23"/>
      <c r="AF1721" s="23"/>
      <c r="AG1721" s="26"/>
      <c r="AH1721" s="26"/>
      <c r="AI1721" s="53"/>
      <c r="AJ1721" s="6"/>
      <c r="AK1721" s="23"/>
      <c r="AL1721" s="23"/>
      <c r="AM1721" s="23"/>
      <c r="AN1721" s="23"/>
      <c r="AO1721" s="23"/>
      <c r="AP1721" s="23"/>
      <c r="AQ1721" s="23"/>
      <c r="AR1721" s="66">
        <v>0</v>
      </c>
      <c r="AS1721" s="8"/>
      <c r="AT1721" s="19"/>
      <c r="AU1721" s="19"/>
      <c r="AV1721" s="12"/>
      <c r="AW1721" s="12"/>
      <c r="AX1721" s="8"/>
      <c r="AY1721" s="8"/>
      <c r="AZ1721" s="8"/>
      <c r="BA1721" s="8"/>
      <c r="BB1721" s="62"/>
      <c r="BC1721" s="21"/>
      <c r="BD1721" s="21"/>
      <c r="BE1721" s="21"/>
      <c r="BF1721" s="22"/>
      <c r="BG1721" s="22"/>
      <c r="BH1721" s="22"/>
      <c r="BI1721" s="22"/>
      <c r="BJ1721" s="8"/>
      <c r="BK1721" s="8"/>
      <c r="BL1721" s="8"/>
      <c r="BM1721" s="8"/>
      <c r="BN1721" s="5"/>
      <c r="BO1721" s="5"/>
      <c r="BP1721" s="8"/>
      <c r="BQ1721" s="8"/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631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1664"/>
        <v xml:space="preserve">BUF </v>
      </c>
      <c r="K1722" s="14"/>
      <c r="L1722" s="13">
        <v>0.15</v>
      </c>
      <c r="M1722" s="28">
        <v>0.1</v>
      </c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23"/>
      <c r="AF1722" s="23"/>
      <c r="AG1722" s="26"/>
      <c r="AH1722" s="26"/>
      <c r="AI1722" s="53"/>
      <c r="AJ1722" s="6"/>
      <c r="AK1722" s="23"/>
      <c r="AL1722" s="23"/>
      <c r="AM1722" s="23"/>
      <c r="AN1722" s="23"/>
      <c r="AO1722" s="23"/>
      <c r="AP1722" s="23"/>
      <c r="AQ1722" s="23"/>
      <c r="AR1722" s="66">
        <v>0</v>
      </c>
      <c r="AS1722" s="8"/>
      <c r="AT1722" s="19"/>
      <c r="AU1722" s="19"/>
      <c r="AV1722" s="12"/>
      <c r="AW1722" s="12"/>
      <c r="AX1722" s="8"/>
      <c r="AY1722" s="8"/>
      <c r="AZ1722" s="8"/>
      <c r="BA1722" s="8"/>
      <c r="BB1722" s="62"/>
      <c r="BC1722" s="21"/>
      <c r="BD1722" s="21"/>
      <c r="BE1722" s="21"/>
      <c r="BF1722" s="22"/>
      <c r="BG1722" s="22"/>
      <c r="BH1722" s="22"/>
      <c r="BI1722" s="22"/>
      <c r="BJ1722" s="8"/>
      <c r="BK1722" s="8"/>
      <c r="BL1722" s="8"/>
      <c r="BM1722" s="8"/>
      <c r="BN1722" s="5"/>
      <c r="BO1722" s="5"/>
      <c r="BP1722" s="8"/>
      <c r="BQ1722" s="8"/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631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1664"/>
        <v xml:space="preserve">TOR </v>
      </c>
      <c r="K1723" s="14"/>
      <c r="L1723" s="13">
        <v>0.15</v>
      </c>
      <c r="M1723" s="28">
        <v>0.1</v>
      </c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23"/>
      <c r="AF1723" s="23"/>
      <c r="AG1723" s="26"/>
      <c r="AH1723" s="26"/>
      <c r="AI1723" s="53"/>
      <c r="AJ1723" s="6"/>
      <c r="AK1723" s="23"/>
      <c r="AL1723" s="23"/>
      <c r="AM1723" s="23"/>
      <c r="AN1723" s="23"/>
      <c r="AO1723" s="23"/>
      <c r="AP1723" s="23"/>
      <c r="AQ1723" s="23"/>
      <c r="AR1723" s="66">
        <v>0</v>
      </c>
      <c r="AS1723" s="8"/>
      <c r="AT1723" s="19"/>
      <c r="AU1723" s="19"/>
      <c r="AV1723" s="12"/>
      <c r="AW1723" s="12"/>
      <c r="AX1723" s="8"/>
      <c r="AY1723" s="8"/>
      <c r="AZ1723" s="8"/>
      <c r="BA1723" s="8"/>
      <c r="BB1723" s="62"/>
      <c r="BC1723" s="21"/>
      <c r="BD1723" s="21"/>
      <c r="BE1723" s="21"/>
      <c r="BF1723" s="22"/>
      <c r="BG1723" s="22"/>
      <c r="BH1723" s="22"/>
      <c r="BI1723" s="22"/>
      <c r="BJ1723" s="8"/>
      <c r="BK1723" s="8"/>
      <c r="BL1723" s="8"/>
      <c r="BM1723" s="8"/>
      <c r="BN1723" s="5"/>
      <c r="BO1723" s="5"/>
      <c r="BP1723" s="8"/>
      <c r="BQ1723" s="8"/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631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29</v>
      </c>
      <c r="I1724" t="str">
        <f t="shared" si="1664"/>
        <v xml:space="preserve">LAK </v>
      </c>
      <c r="K1724" s="14"/>
      <c r="L1724" s="13">
        <v>0.15</v>
      </c>
      <c r="M1724" s="28">
        <v>0.1</v>
      </c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23"/>
      <c r="AF1724" s="23"/>
      <c r="AG1724" s="26"/>
      <c r="AH1724" s="26"/>
      <c r="AI1724" s="53"/>
      <c r="AJ1724" s="6"/>
      <c r="AK1724" s="23"/>
      <c r="AL1724" s="23"/>
      <c r="AM1724" s="23"/>
      <c r="AN1724" s="23"/>
      <c r="AO1724" s="23"/>
      <c r="AP1724" s="23"/>
      <c r="AQ1724" s="23"/>
      <c r="AR1724" s="66">
        <v>0</v>
      </c>
      <c r="AS1724" s="8"/>
      <c r="AT1724" s="19"/>
      <c r="AU1724" s="19"/>
      <c r="AV1724" s="12"/>
      <c r="AW1724" s="12"/>
      <c r="AX1724" s="8"/>
      <c r="AY1724" s="8"/>
      <c r="AZ1724" s="8"/>
      <c r="BA1724" s="8"/>
      <c r="BB1724" s="62"/>
      <c r="BC1724" s="21"/>
      <c r="BD1724" s="21"/>
      <c r="BE1724" s="21"/>
      <c r="BF1724" s="22"/>
      <c r="BG1724" s="22"/>
      <c r="BH1724" s="22"/>
      <c r="BI1724" s="22"/>
      <c r="BJ1724" s="8"/>
      <c r="BK1724" s="8"/>
      <c r="BL1724" s="8"/>
      <c r="BM1724" s="8"/>
      <c r="BN1724" s="5"/>
      <c r="BO1724" s="5"/>
      <c r="BP1724" s="8"/>
      <c r="BQ1724" s="8"/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631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31</v>
      </c>
      <c r="I1725" t="str">
        <f t="shared" si="1664"/>
        <v xml:space="preserve">DET </v>
      </c>
      <c r="K1725" s="14"/>
      <c r="L1725" s="13">
        <v>0.15</v>
      </c>
      <c r="M1725" s="28">
        <v>0.1</v>
      </c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23"/>
      <c r="AF1725" s="23"/>
      <c r="AG1725" s="26"/>
      <c r="AH1725" s="26"/>
      <c r="AI1725" s="53"/>
      <c r="AJ1725" s="6"/>
      <c r="AK1725" s="23"/>
      <c r="AL1725" s="23"/>
      <c r="AM1725" s="23"/>
      <c r="AN1725" s="23"/>
      <c r="AO1725" s="23"/>
      <c r="AP1725" s="23"/>
      <c r="AQ1725" s="23"/>
      <c r="AR1725" s="66">
        <v>0</v>
      </c>
      <c r="AS1725" s="8"/>
      <c r="AT1725" s="19"/>
      <c r="AU1725" s="19"/>
      <c r="AV1725" s="12"/>
      <c r="AW1725" s="12"/>
      <c r="AX1725" s="8"/>
      <c r="AY1725" s="8"/>
      <c r="AZ1725" s="8"/>
      <c r="BA1725" s="8"/>
      <c r="BB1725" s="62"/>
      <c r="BC1725" s="21"/>
      <c r="BD1725" s="21"/>
      <c r="BE1725" s="21"/>
      <c r="BF1725" s="22"/>
      <c r="BG1725" s="22"/>
      <c r="BH1725" s="22"/>
      <c r="BI1725" s="22"/>
      <c r="BJ1725" s="8"/>
      <c r="BK1725" s="8"/>
      <c r="BL1725" s="8"/>
      <c r="BM1725" s="8"/>
      <c r="BN1725" s="5"/>
      <c r="BO1725" s="5"/>
      <c r="BP1725" s="8"/>
      <c r="BQ1725" s="8"/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631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1664"/>
        <v xml:space="preserve">NSH </v>
      </c>
      <c r="K1726" s="14"/>
      <c r="L1726" s="13">
        <v>0.15</v>
      </c>
      <c r="M1726" s="28">
        <v>0.1</v>
      </c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23"/>
      <c r="AF1726" s="23"/>
      <c r="AG1726" s="26"/>
      <c r="AH1726" s="26"/>
      <c r="AI1726" s="53"/>
      <c r="AJ1726" s="6"/>
      <c r="AK1726" s="23"/>
      <c r="AL1726" s="23"/>
      <c r="AM1726" s="23"/>
      <c r="AN1726" s="23"/>
      <c r="AO1726" s="23"/>
      <c r="AP1726" s="23"/>
      <c r="AQ1726" s="23"/>
      <c r="AR1726" s="66">
        <v>0</v>
      </c>
      <c r="AS1726" s="8"/>
      <c r="AT1726" s="19"/>
      <c r="AU1726" s="19"/>
      <c r="AV1726" s="12"/>
      <c r="AW1726" s="12"/>
      <c r="AX1726" s="8"/>
      <c r="AY1726" s="8"/>
      <c r="AZ1726" s="8"/>
      <c r="BA1726" s="8"/>
      <c r="BB1726" s="62"/>
      <c r="BC1726" s="21"/>
      <c r="BD1726" s="21"/>
      <c r="BE1726" s="21"/>
      <c r="BF1726" s="22"/>
      <c r="BG1726" s="22"/>
      <c r="BH1726" s="22"/>
      <c r="BI1726" s="22"/>
      <c r="BJ1726" s="8"/>
      <c r="BK1726" s="8"/>
      <c r="BL1726" s="8"/>
      <c r="BM1726" s="8"/>
      <c r="BN1726" s="5"/>
      <c r="BO1726" s="5"/>
      <c r="BP1726" s="8"/>
      <c r="BQ1726" s="8"/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631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1664"/>
        <v xml:space="preserve">BOS </v>
      </c>
      <c r="K1727" s="14"/>
      <c r="L1727" s="13">
        <v>0.15</v>
      </c>
      <c r="M1727" s="28">
        <v>0.1</v>
      </c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23"/>
      <c r="AF1727" s="23"/>
      <c r="AG1727" s="26"/>
      <c r="AH1727" s="26"/>
      <c r="AI1727" s="53"/>
      <c r="AJ1727" s="6"/>
      <c r="AK1727" s="23"/>
      <c r="AL1727" s="23"/>
      <c r="AM1727" s="23"/>
      <c r="AN1727" s="23"/>
      <c r="AO1727" s="23"/>
      <c r="AP1727" s="23"/>
      <c r="AQ1727" s="23"/>
      <c r="AR1727" s="66">
        <v>0</v>
      </c>
      <c r="AS1727" s="8"/>
      <c r="AT1727" s="19"/>
      <c r="AU1727" s="19"/>
      <c r="AV1727" s="12"/>
      <c r="AW1727" s="12"/>
      <c r="AX1727" s="8"/>
      <c r="AY1727" s="8"/>
      <c r="AZ1727" s="8"/>
      <c r="BA1727" s="8"/>
      <c r="BB1727" s="62"/>
      <c r="BC1727" s="21"/>
      <c r="BD1727" s="21"/>
      <c r="BE1727" s="21"/>
      <c r="BF1727" s="22"/>
      <c r="BG1727" s="22"/>
      <c r="BH1727" s="22"/>
      <c r="BI1727" s="22"/>
      <c r="BJ1727" s="8"/>
      <c r="BK1727" s="8"/>
      <c r="BL1727" s="8"/>
      <c r="BM1727" s="8"/>
      <c r="BN1727" s="5"/>
      <c r="BO1727" s="5"/>
      <c r="BP1727" s="8"/>
      <c r="BQ1727" s="8"/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1665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1664"/>
        <v xml:space="preserve">UTA </v>
      </c>
      <c r="K1728" s="14"/>
      <c r="L1728" s="13">
        <v>0.15</v>
      </c>
      <c r="M1728" s="28">
        <v>0.1</v>
      </c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23"/>
      <c r="AF1728" s="23"/>
      <c r="AG1728" s="26"/>
      <c r="AH1728" s="26"/>
      <c r="AI1728" s="53"/>
      <c r="AJ1728" s="6"/>
      <c r="AK1728" s="23"/>
      <c r="AL1728" s="23"/>
      <c r="AM1728" s="23"/>
      <c r="AN1728" s="23"/>
      <c r="AO1728" s="23"/>
      <c r="AP1728" s="23"/>
      <c r="AQ1728" s="23"/>
      <c r="AR1728" s="66">
        <v>0</v>
      </c>
      <c r="AS1728" s="8"/>
      <c r="AT1728" s="19"/>
      <c r="AU1728" s="19"/>
      <c r="AV1728" s="12"/>
      <c r="AW1728" s="12"/>
      <c r="AX1728" s="8"/>
      <c r="AY1728" s="8"/>
      <c r="AZ1728" s="8"/>
      <c r="BA1728" s="8"/>
      <c r="BB1728" s="62"/>
      <c r="BC1728" s="21"/>
      <c r="BD1728" s="21"/>
      <c r="BE1728" s="21"/>
      <c r="BF1728" s="22"/>
      <c r="BG1728" s="22"/>
      <c r="BH1728" s="22"/>
      <c r="BI1728" s="22"/>
      <c r="BJ1728" s="8"/>
      <c r="BK1728" s="8"/>
      <c r="BL1728" s="8"/>
      <c r="BM1728" s="8"/>
      <c r="BN1728" s="5"/>
      <c r="BO1728" s="5"/>
      <c r="BP1728" s="8"/>
      <c r="BQ1728" s="8"/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1665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1664"/>
        <v xml:space="preserve">FLA </v>
      </c>
      <c r="K1729" s="14"/>
      <c r="L1729" s="13">
        <v>0.15</v>
      </c>
      <c r="M1729" s="28">
        <v>0.1</v>
      </c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23"/>
      <c r="AF1729" s="23"/>
      <c r="AG1729" s="26"/>
      <c r="AH1729" s="26"/>
      <c r="AI1729" s="53"/>
      <c r="AJ1729" s="6"/>
      <c r="AK1729" s="23"/>
      <c r="AL1729" s="23"/>
      <c r="AM1729" s="23"/>
      <c r="AN1729" s="23"/>
      <c r="AO1729" s="23"/>
      <c r="AP1729" s="23"/>
      <c r="AQ1729" s="23"/>
      <c r="AR1729" s="66">
        <v>0</v>
      </c>
      <c r="AS1729" s="8"/>
      <c r="AT1729" s="19"/>
      <c r="AU1729" s="19"/>
      <c r="AV1729" s="12"/>
      <c r="AW1729" s="12"/>
      <c r="AX1729" s="8"/>
      <c r="AY1729" s="8"/>
      <c r="AZ1729" s="8"/>
      <c r="BA1729" s="8"/>
      <c r="BB1729" s="62"/>
      <c r="BC1729" s="21"/>
      <c r="BD1729" s="21"/>
      <c r="BE1729" s="21"/>
      <c r="BF1729" s="22"/>
      <c r="BG1729" s="22"/>
      <c r="BH1729" s="22"/>
      <c r="BI1729" s="22"/>
      <c r="BJ1729" s="8"/>
      <c r="BK1729" s="8"/>
      <c r="BL1729" s="8"/>
      <c r="BM1729" s="8"/>
      <c r="BN1729" s="5"/>
      <c r="BO1729" s="5"/>
      <c r="BP1729" s="8"/>
      <c r="BQ1729" s="8"/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1665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1664"/>
        <v xml:space="preserve">VGK </v>
      </c>
      <c r="K1730" s="14"/>
      <c r="L1730" s="13">
        <v>0.15</v>
      </c>
      <c r="M1730" s="28">
        <v>0.1</v>
      </c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23"/>
      <c r="AF1730" s="23"/>
      <c r="AG1730" s="26"/>
      <c r="AH1730" s="26"/>
      <c r="AI1730" s="53"/>
      <c r="AJ1730" s="6"/>
      <c r="AK1730" s="23"/>
      <c r="AL1730" s="23"/>
      <c r="AM1730" s="23"/>
      <c r="AN1730" s="23"/>
      <c r="AO1730" s="23"/>
      <c r="AP1730" s="23"/>
      <c r="AQ1730" s="23"/>
      <c r="AR1730" s="66">
        <v>0</v>
      </c>
      <c r="AS1730" s="8"/>
      <c r="AT1730" s="19"/>
      <c r="AU1730" s="19"/>
      <c r="AV1730" s="12"/>
      <c r="AW1730" s="12"/>
      <c r="AX1730" s="8"/>
      <c r="AY1730" s="8"/>
      <c r="AZ1730" s="8"/>
      <c r="BA1730" s="8"/>
      <c r="BB1730" s="62"/>
      <c r="BC1730" s="21"/>
      <c r="BD1730" s="21"/>
      <c r="BE1730" s="21"/>
      <c r="BF1730" s="22"/>
      <c r="BG1730" s="22"/>
      <c r="BH1730" s="22"/>
      <c r="BI1730" s="22"/>
      <c r="BJ1730" s="8"/>
      <c r="BK1730" s="8"/>
      <c r="BL1730" s="8"/>
      <c r="BM1730" s="8"/>
      <c r="BN1730" s="5"/>
      <c r="BO1730" s="5"/>
      <c r="BP1730" s="8"/>
      <c r="BQ1730" s="8"/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1665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1664"/>
        <v xml:space="preserve">MTL </v>
      </c>
      <c r="K1731" s="14"/>
      <c r="L1731" s="13">
        <v>0.15</v>
      </c>
      <c r="M1731" s="28">
        <v>0.1</v>
      </c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23"/>
      <c r="AF1731" s="23"/>
      <c r="AG1731" s="26"/>
      <c r="AH1731" s="26"/>
      <c r="AI1731" s="53"/>
      <c r="AJ1731" s="6"/>
      <c r="AK1731" s="23"/>
      <c r="AL1731" s="23"/>
      <c r="AM1731" s="23"/>
      <c r="AN1731" s="23"/>
      <c r="AO1731" s="23"/>
      <c r="AP1731" s="23"/>
      <c r="AQ1731" s="23"/>
      <c r="AR1731" s="66">
        <v>0</v>
      </c>
      <c r="AS1731" s="8"/>
      <c r="AT1731" s="19"/>
      <c r="AU1731" s="19"/>
      <c r="AV1731" s="12"/>
      <c r="AW1731" s="12"/>
      <c r="AX1731" s="8"/>
      <c r="AY1731" s="8"/>
      <c r="AZ1731" s="8"/>
      <c r="BA1731" s="8"/>
      <c r="BB1731" s="62"/>
      <c r="BC1731" s="21"/>
      <c r="BD1731" s="21"/>
      <c r="BE1731" s="21"/>
      <c r="BF1731" s="22"/>
      <c r="BG1731" s="22"/>
      <c r="BH1731" s="22"/>
      <c r="BI1731" s="22"/>
      <c r="BJ1731" s="8"/>
      <c r="BK1731" s="8"/>
      <c r="BL1731" s="8"/>
      <c r="BM1731" s="8"/>
      <c r="BN1731" s="5"/>
      <c r="BO1731" s="5"/>
      <c r="BP1731" s="8"/>
      <c r="BQ1731" s="8"/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1665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1664"/>
        <v xml:space="preserve">WPG </v>
      </c>
      <c r="K1732" s="14"/>
      <c r="L1732" s="13">
        <v>0.15</v>
      </c>
      <c r="M1732" s="28">
        <v>0.1</v>
      </c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23"/>
      <c r="AF1732" s="23"/>
      <c r="AG1732" s="26"/>
      <c r="AH1732" s="26"/>
      <c r="AI1732" s="53"/>
      <c r="AJ1732" s="6"/>
      <c r="AK1732" s="23"/>
      <c r="AL1732" s="23"/>
      <c r="AM1732" s="23"/>
      <c r="AN1732" s="23"/>
      <c r="AO1732" s="23"/>
      <c r="AP1732" s="23"/>
      <c r="AQ1732" s="23"/>
      <c r="AR1732" s="66">
        <v>0</v>
      </c>
      <c r="AS1732" s="8"/>
      <c r="AT1732" s="19"/>
      <c r="AU1732" s="19"/>
      <c r="AV1732" s="12"/>
      <c r="AW1732" s="12"/>
      <c r="AX1732" s="8"/>
      <c r="AY1732" s="8"/>
      <c r="AZ1732" s="8"/>
      <c r="BA1732" s="8"/>
      <c r="BB1732" s="62"/>
      <c r="BC1732" s="21"/>
      <c r="BD1732" s="21"/>
      <c r="BE1732" s="21"/>
      <c r="BF1732" s="22"/>
      <c r="BG1732" s="22"/>
      <c r="BH1732" s="22"/>
      <c r="BI1732" s="22"/>
      <c r="BJ1732" s="8"/>
      <c r="BK1732" s="8"/>
      <c r="BL1732" s="8"/>
      <c r="BM1732" s="8"/>
      <c r="BN1732" s="5"/>
      <c r="BO1732" s="5"/>
      <c r="BP1732" s="8"/>
      <c r="BQ1732" s="8"/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1665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1664"/>
        <v xml:space="preserve">NJD </v>
      </c>
      <c r="K1733" s="14"/>
      <c r="L1733" s="13">
        <v>0.15</v>
      </c>
      <c r="M1733" s="28">
        <v>0.1</v>
      </c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23"/>
      <c r="AF1733" s="23"/>
      <c r="AG1733" s="26"/>
      <c r="AH1733" s="26"/>
      <c r="AI1733" s="53"/>
      <c r="AJ1733" s="6"/>
      <c r="AK1733" s="23"/>
      <c r="AL1733" s="23"/>
      <c r="AM1733" s="23"/>
      <c r="AN1733" s="23"/>
      <c r="AO1733" s="23"/>
      <c r="AP1733" s="23"/>
      <c r="AQ1733" s="23"/>
      <c r="AR1733" s="66">
        <v>0</v>
      </c>
      <c r="AS1733" s="8"/>
      <c r="AT1733" s="19"/>
      <c r="AU1733" s="19"/>
      <c r="AV1733" s="12"/>
      <c r="AW1733" s="12"/>
      <c r="AX1733" s="8"/>
      <c r="AY1733" s="8"/>
      <c r="AZ1733" s="8"/>
      <c r="BA1733" s="8"/>
      <c r="BB1733" s="62"/>
      <c r="BC1733" s="21"/>
      <c r="BD1733" s="21"/>
      <c r="BE1733" s="21"/>
      <c r="BF1733" s="22"/>
      <c r="BG1733" s="22"/>
      <c r="BH1733" s="22"/>
      <c r="BI1733" s="22"/>
      <c r="BJ1733" s="8"/>
      <c r="BK1733" s="8"/>
      <c r="BL1733" s="8"/>
      <c r="BM1733" s="8"/>
      <c r="BN1733" s="5"/>
      <c r="BO1733" s="5"/>
      <c r="BP1733" s="8"/>
      <c r="BQ1733" s="8"/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1665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1664"/>
        <v xml:space="preserve">CHI </v>
      </c>
      <c r="K1734" s="14"/>
      <c r="L1734" s="13">
        <v>0.15</v>
      </c>
      <c r="M1734" s="28">
        <v>0.1</v>
      </c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23"/>
      <c r="AF1734" s="23"/>
      <c r="AG1734" s="26"/>
      <c r="AH1734" s="26"/>
      <c r="AI1734" s="53"/>
      <c r="AJ1734" s="6"/>
      <c r="AK1734" s="23"/>
      <c r="AL1734" s="23"/>
      <c r="AM1734" s="23"/>
      <c r="AN1734" s="23"/>
      <c r="AO1734" s="23"/>
      <c r="AP1734" s="23"/>
      <c r="AQ1734" s="23"/>
      <c r="AR1734" s="66">
        <v>0</v>
      </c>
      <c r="AS1734" s="8"/>
      <c r="AT1734" s="19"/>
      <c r="AU1734" s="19"/>
      <c r="AV1734" s="12"/>
      <c r="AW1734" s="12"/>
      <c r="AX1734" s="8"/>
      <c r="AY1734" s="8"/>
      <c r="AZ1734" s="8"/>
      <c r="BA1734" s="8"/>
      <c r="BB1734" s="62"/>
      <c r="BC1734" s="21"/>
      <c r="BD1734" s="21"/>
      <c r="BE1734" s="21"/>
      <c r="BF1734" s="22"/>
      <c r="BG1734" s="22"/>
      <c r="BH1734" s="22"/>
      <c r="BI1734" s="22"/>
      <c r="BJ1734" s="8"/>
      <c r="BK1734" s="8"/>
      <c r="BL1734" s="8"/>
      <c r="BM1734" s="8"/>
      <c r="BN1734" s="5"/>
      <c r="BO1734" s="5"/>
      <c r="BP1734" s="8"/>
      <c r="BQ1734" s="8"/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1665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1664"/>
        <v xml:space="preserve">MIN </v>
      </c>
      <c r="K1735" s="14"/>
      <c r="L1735" s="13">
        <v>0.15</v>
      </c>
      <c r="M1735" s="28">
        <v>0.1</v>
      </c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23"/>
      <c r="AF1735" s="23"/>
      <c r="AG1735" s="26"/>
      <c r="AH1735" s="26"/>
      <c r="AI1735" s="53"/>
      <c r="AJ1735" s="6"/>
      <c r="AK1735" s="23"/>
      <c r="AL1735" s="23"/>
      <c r="AM1735" s="23"/>
      <c r="AN1735" s="23"/>
      <c r="AO1735" s="23"/>
      <c r="AP1735" s="23"/>
      <c r="AQ1735" s="23"/>
      <c r="AR1735" s="66">
        <v>0</v>
      </c>
      <c r="AS1735" s="8"/>
      <c r="AT1735" s="19"/>
      <c r="AU1735" s="19"/>
      <c r="AV1735" s="12"/>
      <c r="AW1735" s="12"/>
      <c r="AX1735" s="8"/>
      <c r="AY1735" s="8"/>
      <c r="AZ1735" s="8"/>
      <c r="BA1735" s="8"/>
      <c r="BB1735" s="62"/>
      <c r="BC1735" s="21"/>
      <c r="BD1735" s="21"/>
      <c r="BE1735" s="21"/>
      <c r="BF1735" s="22"/>
      <c r="BG1735" s="22"/>
      <c r="BH1735" s="22"/>
      <c r="BI1735" s="22"/>
      <c r="BJ1735" s="8"/>
      <c r="BK1735" s="8"/>
      <c r="BL1735" s="8"/>
      <c r="BM1735" s="8"/>
      <c r="BN1735" s="5"/>
      <c r="BO1735" s="5"/>
      <c r="BP1735" s="8"/>
      <c r="BQ1735" s="8"/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1665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1664"/>
        <v xml:space="preserve">DAL </v>
      </c>
      <c r="K1736" s="14"/>
      <c r="L1736" s="13">
        <v>0.15</v>
      </c>
      <c r="M1736" s="28">
        <v>0.1</v>
      </c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23"/>
      <c r="AF1736" s="23"/>
      <c r="AG1736" s="26"/>
      <c r="AH1736" s="26"/>
      <c r="AI1736" s="53"/>
      <c r="AJ1736" s="6"/>
      <c r="AK1736" s="23"/>
      <c r="AL1736" s="23"/>
      <c r="AM1736" s="23"/>
      <c r="AN1736" s="23"/>
      <c r="AO1736" s="23"/>
      <c r="AP1736" s="23"/>
      <c r="AQ1736" s="23"/>
      <c r="AR1736" s="66">
        <v>0</v>
      </c>
      <c r="AS1736" s="8"/>
      <c r="AT1736" s="19"/>
      <c r="AU1736" s="19"/>
      <c r="AV1736" s="12"/>
      <c r="AW1736" s="12"/>
      <c r="AX1736" s="8"/>
      <c r="AY1736" s="8"/>
      <c r="AZ1736" s="8"/>
      <c r="BA1736" s="8"/>
      <c r="BB1736" s="62"/>
      <c r="BC1736" s="21"/>
      <c r="BD1736" s="21"/>
      <c r="BE1736" s="21"/>
      <c r="BF1736" s="22"/>
      <c r="BG1736" s="22"/>
      <c r="BH1736" s="22"/>
      <c r="BI1736" s="22"/>
      <c r="BJ1736" s="8"/>
      <c r="BK1736" s="8"/>
      <c r="BL1736" s="8"/>
      <c r="BM1736" s="8"/>
      <c r="BN1736" s="5"/>
      <c r="BO1736" s="5"/>
      <c r="BP1736" s="8"/>
      <c r="BQ1736" s="8"/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1665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1664"/>
        <v xml:space="preserve">STL </v>
      </c>
      <c r="K1737" s="14"/>
      <c r="L1737" s="13">
        <v>0.15</v>
      </c>
      <c r="M1737" s="28">
        <v>0.1</v>
      </c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23"/>
      <c r="AF1737" s="23"/>
      <c r="AG1737" s="26"/>
      <c r="AH1737" s="26"/>
      <c r="AI1737" s="53"/>
      <c r="AJ1737" s="6"/>
      <c r="AK1737" s="23"/>
      <c r="AL1737" s="23"/>
      <c r="AM1737" s="23"/>
      <c r="AN1737" s="23"/>
      <c r="AO1737" s="23"/>
      <c r="AP1737" s="23"/>
      <c r="AQ1737" s="23"/>
      <c r="AR1737" s="66">
        <v>0</v>
      </c>
      <c r="AS1737" s="8"/>
      <c r="AT1737" s="19"/>
      <c r="AU1737" s="19"/>
      <c r="AV1737" s="12"/>
      <c r="AW1737" s="12"/>
      <c r="AX1737" s="8"/>
      <c r="AY1737" s="8"/>
      <c r="AZ1737" s="8"/>
      <c r="BA1737" s="8"/>
      <c r="BB1737" s="62"/>
      <c r="BC1737" s="21"/>
      <c r="BD1737" s="21"/>
      <c r="BE1737" s="21"/>
      <c r="BF1737" s="22"/>
      <c r="BG1737" s="22"/>
      <c r="BH1737" s="22"/>
      <c r="BI1737" s="22"/>
      <c r="BJ1737" s="8"/>
      <c r="BK1737" s="8"/>
      <c r="BL1737" s="8"/>
      <c r="BM1737" s="8"/>
      <c r="BN1737" s="5"/>
      <c r="BO1737" s="5"/>
      <c r="BP1737" s="8"/>
      <c r="BQ1737" s="8"/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1665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1664"/>
        <v xml:space="preserve">SJS </v>
      </c>
      <c r="K1738" s="14"/>
      <c r="L1738" s="13">
        <v>0.15</v>
      </c>
      <c r="M1738" s="28">
        <v>0.1</v>
      </c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23"/>
      <c r="AF1738" s="23"/>
      <c r="AG1738" s="26"/>
      <c r="AH1738" s="26"/>
      <c r="AI1738" s="53"/>
      <c r="AJ1738" s="6"/>
      <c r="AK1738" s="23"/>
      <c r="AL1738" s="23"/>
      <c r="AM1738" s="23"/>
      <c r="AN1738" s="23"/>
      <c r="AO1738" s="23"/>
      <c r="AP1738" s="23"/>
      <c r="AQ1738" s="23"/>
      <c r="AR1738" s="66">
        <v>0</v>
      </c>
      <c r="AS1738" s="8"/>
      <c r="AT1738" s="19"/>
      <c r="AU1738" s="19"/>
      <c r="AV1738" s="12"/>
      <c r="AW1738" s="12"/>
      <c r="AX1738" s="8"/>
      <c r="AY1738" s="8"/>
      <c r="AZ1738" s="8"/>
      <c r="BA1738" s="8"/>
      <c r="BB1738" s="62"/>
      <c r="BC1738" s="21"/>
      <c r="BD1738" s="21"/>
      <c r="BE1738" s="21"/>
      <c r="BF1738" s="22"/>
      <c r="BG1738" s="22"/>
      <c r="BH1738" s="22"/>
      <c r="BI1738" s="22"/>
      <c r="BJ1738" s="8"/>
      <c r="BK1738" s="8"/>
      <c r="BL1738" s="8"/>
      <c r="BM1738" s="8"/>
      <c r="BN1738" s="5"/>
      <c r="BO1738" s="5"/>
      <c r="BP1738" s="8"/>
      <c r="BQ1738" s="8"/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1665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1664"/>
        <v xml:space="preserve">VAN </v>
      </c>
      <c r="K1739" s="14"/>
      <c r="L1739" s="13">
        <v>0.15</v>
      </c>
      <c r="M1739" s="28">
        <v>0.1</v>
      </c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23"/>
      <c r="AF1739" s="23"/>
      <c r="AG1739" s="26"/>
      <c r="AH1739" s="26"/>
      <c r="AI1739" s="53"/>
      <c r="AJ1739" s="6"/>
      <c r="AK1739" s="23"/>
      <c r="AL1739" s="23"/>
      <c r="AM1739" s="23"/>
      <c r="AN1739" s="23"/>
      <c r="AO1739" s="23"/>
      <c r="AP1739" s="23"/>
      <c r="AQ1739" s="23"/>
      <c r="AR1739" s="66">
        <v>0</v>
      </c>
      <c r="AS1739" s="8"/>
      <c r="AT1739" s="19"/>
      <c r="AU1739" s="19"/>
      <c r="AV1739" s="12"/>
      <c r="AW1739" s="12"/>
      <c r="AX1739" s="8"/>
      <c r="AY1739" s="8"/>
      <c r="AZ1739" s="8"/>
      <c r="BA1739" s="8"/>
      <c r="BB1739" s="62"/>
      <c r="BC1739" s="21"/>
      <c r="BD1739" s="21"/>
      <c r="BE1739" s="21"/>
      <c r="BF1739" s="22"/>
      <c r="BG1739" s="22"/>
      <c r="BH1739" s="22"/>
      <c r="BI1739" s="22"/>
      <c r="BJ1739" s="8"/>
      <c r="BK1739" s="8"/>
      <c r="BL1739" s="8"/>
      <c r="BM1739" s="8"/>
      <c r="BN1739" s="5"/>
      <c r="BO1739" s="5"/>
      <c r="BP1739" s="8"/>
      <c r="BQ1739" s="8"/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1665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1664"/>
        <v xml:space="preserve">WSH </v>
      </c>
      <c r="K1740" s="14"/>
      <c r="L1740" s="13">
        <v>0.15</v>
      </c>
      <c r="M1740" s="28">
        <v>0.1</v>
      </c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23"/>
      <c r="AF1740" s="23"/>
      <c r="AG1740" s="26"/>
      <c r="AH1740" s="26"/>
      <c r="AI1740" s="53"/>
      <c r="AJ1740" s="6"/>
      <c r="AK1740" s="23"/>
      <c r="AL1740" s="23"/>
      <c r="AM1740" s="23"/>
      <c r="AN1740" s="23"/>
      <c r="AO1740" s="23"/>
      <c r="AP1740" s="23"/>
      <c r="AQ1740" s="23"/>
      <c r="AR1740" s="66">
        <v>0</v>
      </c>
      <c r="AS1740" s="8"/>
      <c r="AT1740" s="19"/>
      <c r="AU1740" s="19"/>
      <c r="AV1740" s="12"/>
      <c r="AW1740" s="12"/>
      <c r="AX1740" s="8"/>
      <c r="AY1740" s="8"/>
      <c r="AZ1740" s="8"/>
      <c r="BA1740" s="8"/>
      <c r="BB1740" s="62"/>
      <c r="BC1740" s="21"/>
      <c r="BD1740" s="21"/>
      <c r="BE1740" s="21"/>
      <c r="BF1740" s="22"/>
      <c r="BG1740" s="22"/>
      <c r="BH1740" s="22"/>
      <c r="BI1740" s="22"/>
      <c r="BJ1740" s="8"/>
      <c r="BK1740" s="8"/>
      <c r="BL1740" s="8"/>
      <c r="BM1740" s="8"/>
      <c r="BN1740" s="5"/>
      <c r="BO1740" s="5"/>
      <c r="BP1740" s="8"/>
      <c r="BQ1740" s="8"/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1665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1664"/>
        <v xml:space="preserve">SEA </v>
      </c>
      <c r="K1741" s="14"/>
      <c r="L1741" s="13">
        <v>0.15</v>
      </c>
      <c r="M1741" s="28">
        <v>0.1</v>
      </c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23"/>
      <c r="AF1741" s="23"/>
      <c r="AG1741" s="26"/>
      <c r="AH1741" s="26"/>
      <c r="AI1741" s="53"/>
      <c r="AJ1741" s="6"/>
      <c r="AK1741" s="23"/>
      <c r="AL1741" s="23"/>
      <c r="AM1741" s="23"/>
      <c r="AN1741" s="23"/>
      <c r="AO1741" s="23"/>
      <c r="AP1741" s="23"/>
      <c r="AQ1741" s="23"/>
      <c r="AR1741" s="66">
        <v>0</v>
      </c>
      <c r="AS1741" s="8"/>
      <c r="AT1741" s="19"/>
      <c r="AU1741" s="19"/>
      <c r="AV1741" s="12"/>
      <c r="AW1741" s="12"/>
      <c r="AX1741" s="8"/>
      <c r="AY1741" s="8"/>
      <c r="AZ1741" s="8"/>
      <c r="BA1741" s="8"/>
      <c r="BB1741" s="62"/>
      <c r="BC1741" s="21"/>
      <c r="BD1741" s="21"/>
      <c r="BE1741" s="21"/>
      <c r="BF1741" s="22"/>
      <c r="BG1741" s="22"/>
      <c r="BH1741" s="22"/>
      <c r="BI1741" s="22"/>
      <c r="BJ1741" s="8"/>
      <c r="BK1741" s="8"/>
      <c r="BL1741" s="8"/>
      <c r="BM1741" s="8"/>
      <c r="BN1741" s="5"/>
      <c r="BO1741" s="5"/>
      <c r="BP1741" s="8"/>
      <c r="BQ1741" s="8"/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1665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46</v>
      </c>
      <c r="I1742" t="str">
        <f t="shared" si="1664"/>
        <v xml:space="preserve">PHI </v>
      </c>
      <c r="K1742" s="14"/>
      <c r="L1742" s="13">
        <v>0.15</v>
      </c>
      <c r="M1742" s="28">
        <v>0.1</v>
      </c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23"/>
      <c r="AF1742" s="23"/>
      <c r="AG1742" s="26"/>
      <c r="AH1742" s="26"/>
      <c r="AI1742" s="53"/>
      <c r="AJ1742" s="6"/>
      <c r="AK1742" s="23"/>
      <c r="AL1742" s="23"/>
      <c r="AM1742" s="23"/>
      <c r="AN1742" s="23"/>
      <c r="AO1742" s="23"/>
      <c r="AP1742" s="23"/>
      <c r="AQ1742" s="23"/>
      <c r="AR1742" s="66">
        <v>0</v>
      </c>
      <c r="AS1742" s="8"/>
      <c r="AT1742" s="19"/>
      <c r="AU1742" s="19"/>
      <c r="AV1742" s="12"/>
      <c r="AW1742" s="12"/>
      <c r="AX1742" s="8"/>
      <c r="AY1742" s="8"/>
      <c r="AZ1742" s="8"/>
      <c r="BA1742" s="8"/>
      <c r="BB1742" s="62"/>
      <c r="BC1742" s="21"/>
      <c r="BD1742" s="21"/>
      <c r="BE1742" s="21"/>
      <c r="BF1742" s="22"/>
      <c r="BG1742" s="22"/>
      <c r="BH1742" s="22"/>
      <c r="BI1742" s="22"/>
      <c r="BJ1742" s="8"/>
      <c r="BK1742" s="8"/>
      <c r="BL1742" s="8"/>
      <c r="BM1742" s="8"/>
      <c r="BN1742" s="5"/>
      <c r="BO1742" s="5"/>
      <c r="BP1742" s="8"/>
      <c r="BQ1742" s="8"/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1665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47</v>
      </c>
      <c r="I1743" t="str">
        <f t="shared" si="1664"/>
        <v xml:space="preserve">CBJ </v>
      </c>
      <c r="K1743" s="14"/>
      <c r="L1743" s="13">
        <v>0.15</v>
      </c>
      <c r="M1743" s="28">
        <v>0.1</v>
      </c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23"/>
      <c r="AF1743" s="23"/>
      <c r="AG1743" s="26"/>
      <c r="AH1743" s="26"/>
      <c r="AI1743" s="53"/>
      <c r="AJ1743" s="6"/>
      <c r="AK1743" s="23"/>
      <c r="AL1743" s="23"/>
      <c r="AM1743" s="23"/>
      <c r="AN1743" s="23"/>
      <c r="AO1743" s="23"/>
      <c r="AP1743" s="23"/>
      <c r="AQ1743" s="23"/>
      <c r="AR1743" s="66">
        <v>0</v>
      </c>
      <c r="AS1743" s="8"/>
      <c r="AT1743" s="19"/>
      <c r="AU1743" s="19"/>
      <c r="AV1743" s="12"/>
      <c r="AW1743" s="12"/>
      <c r="AX1743" s="8"/>
      <c r="AY1743" s="8"/>
      <c r="AZ1743" s="8"/>
      <c r="BA1743" s="8"/>
      <c r="BB1743" s="62"/>
      <c r="BC1743" s="21"/>
      <c r="BD1743" s="21"/>
      <c r="BE1743" s="21"/>
      <c r="BF1743" s="22"/>
      <c r="BG1743" s="22"/>
      <c r="BH1743" s="22"/>
      <c r="BI1743" s="22"/>
      <c r="BJ1743" s="8"/>
      <c r="BK1743" s="8"/>
      <c r="BL1743" s="8"/>
      <c r="BM1743" s="8"/>
      <c r="BN1743" s="5"/>
      <c r="BO1743" s="5"/>
      <c r="BP1743" s="8"/>
      <c r="BQ1743" s="8"/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1665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1664"/>
        <v xml:space="preserve">COL </v>
      </c>
      <c r="K1744" s="14"/>
      <c r="L1744" s="13">
        <v>0.15</v>
      </c>
      <c r="M1744" s="28">
        <v>0.1</v>
      </c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23"/>
      <c r="AF1744" s="23"/>
      <c r="AG1744" s="26"/>
      <c r="AH1744" s="26"/>
      <c r="AI1744" s="53"/>
      <c r="AJ1744" s="6"/>
      <c r="AK1744" s="23"/>
      <c r="AL1744" s="23"/>
      <c r="AM1744" s="23"/>
      <c r="AN1744" s="23"/>
      <c r="AO1744" s="23"/>
      <c r="AP1744" s="23"/>
      <c r="AQ1744" s="23"/>
      <c r="AR1744" s="66">
        <v>0</v>
      </c>
      <c r="AS1744" s="8"/>
      <c r="AT1744" s="19"/>
      <c r="AU1744" s="19"/>
      <c r="AV1744" s="12"/>
      <c r="AW1744" s="12"/>
      <c r="AX1744" s="8"/>
      <c r="AY1744" s="8"/>
      <c r="AZ1744" s="8"/>
      <c r="BA1744" s="8"/>
      <c r="BB1744" s="62"/>
      <c r="BC1744" s="21"/>
      <c r="BD1744" s="21"/>
      <c r="BE1744" s="21"/>
      <c r="BF1744" s="22"/>
      <c r="BG1744" s="22"/>
      <c r="BH1744" s="22"/>
      <c r="BI1744" s="22"/>
      <c r="BJ1744" s="8"/>
      <c r="BK1744" s="8"/>
      <c r="BL1744" s="8"/>
      <c r="BM1744" s="8"/>
      <c r="BN1744" s="5"/>
      <c r="BO1744" s="5"/>
      <c r="BP1744" s="8"/>
      <c r="BQ1744" s="8"/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1665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1664"/>
        <v xml:space="preserve">OTT </v>
      </c>
      <c r="K1745" s="14"/>
      <c r="L1745" s="13">
        <v>0.15</v>
      </c>
      <c r="M1745" s="28">
        <v>0.1</v>
      </c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23"/>
      <c r="AF1745" s="23"/>
      <c r="AG1745" s="26"/>
      <c r="AH1745" s="26"/>
      <c r="AI1745" s="53"/>
      <c r="AJ1745" s="6"/>
      <c r="AK1745" s="23"/>
      <c r="AL1745" s="23"/>
      <c r="AM1745" s="23"/>
      <c r="AN1745" s="23"/>
      <c r="AO1745" s="23"/>
      <c r="AP1745" s="23"/>
      <c r="AQ1745" s="23"/>
      <c r="AR1745" s="66">
        <v>0</v>
      </c>
      <c r="AS1745" s="8"/>
      <c r="AT1745" s="19"/>
      <c r="AU1745" s="19"/>
      <c r="AV1745" s="12"/>
      <c r="AW1745" s="12"/>
      <c r="AX1745" s="8"/>
      <c r="AY1745" s="8"/>
      <c r="AZ1745" s="8"/>
      <c r="BA1745" s="8"/>
      <c r="BB1745" s="62"/>
      <c r="BC1745" s="21"/>
      <c r="BD1745" s="21"/>
      <c r="BE1745" s="21"/>
      <c r="BF1745" s="22"/>
      <c r="BG1745" s="22"/>
      <c r="BH1745" s="22"/>
      <c r="BI1745" s="22"/>
      <c r="BJ1745" s="8"/>
      <c r="BK1745" s="8"/>
      <c r="BL1745" s="8"/>
      <c r="BM1745" s="8"/>
      <c r="BN1745" s="5"/>
      <c r="BO1745" s="5"/>
      <c r="BP1745" s="8"/>
      <c r="BQ1745" s="8"/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1665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1664"/>
        <v xml:space="preserve">NYR </v>
      </c>
      <c r="K1746" s="14"/>
      <c r="L1746" s="13">
        <v>0.15</v>
      </c>
      <c r="M1746" s="28">
        <v>0.1</v>
      </c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23"/>
      <c r="AF1746" s="23"/>
      <c r="AG1746" s="26"/>
      <c r="AH1746" s="26"/>
      <c r="AI1746" s="53"/>
      <c r="AJ1746" s="6"/>
      <c r="AK1746" s="23"/>
      <c r="AL1746" s="23"/>
      <c r="AM1746" s="23"/>
      <c r="AN1746" s="23"/>
      <c r="AO1746" s="23"/>
      <c r="AP1746" s="23"/>
      <c r="AQ1746" s="23"/>
      <c r="AR1746" s="66">
        <v>0</v>
      </c>
      <c r="AS1746" s="8"/>
      <c r="AT1746" s="19"/>
      <c r="AU1746" s="19"/>
      <c r="AV1746" s="12"/>
      <c r="AW1746" s="12"/>
      <c r="AX1746" s="8"/>
      <c r="AY1746" s="8"/>
      <c r="AZ1746" s="8"/>
      <c r="BA1746" s="8"/>
      <c r="BB1746" s="62"/>
      <c r="BC1746" s="21"/>
      <c r="BD1746" s="21"/>
      <c r="BE1746" s="21"/>
      <c r="BF1746" s="22"/>
      <c r="BG1746" s="22"/>
      <c r="BH1746" s="22"/>
      <c r="BI1746" s="22"/>
      <c r="BJ1746" s="8"/>
      <c r="BK1746" s="8"/>
      <c r="BL1746" s="8"/>
      <c r="BM1746" s="8"/>
      <c r="BN1746" s="5"/>
      <c r="BO1746" s="5"/>
      <c r="BP1746" s="8"/>
      <c r="BQ1746" s="8"/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1665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1664"/>
        <v xml:space="preserve">NYI </v>
      </c>
      <c r="K1747" s="14"/>
      <c r="L1747" s="13">
        <v>0.15</v>
      </c>
      <c r="M1747" s="28">
        <v>0.1</v>
      </c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23"/>
      <c r="AF1747" s="23"/>
      <c r="AG1747" s="26"/>
      <c r="AH1747" s="26"/>
      <c r="AI1747" s="53"/>
      <c r="AJ1747" s="6"/>
      <c r="AK1747" s="23"/>
      <c r="AL1747" s="23"/>
      <c r="AM1747" s="23"/>
      <c r="AN1747" s="23"/>
      <c r="AO1747" s="23"/>
      <c r="AP1747" s="23"/>
      <c r="AQ1747" s="23"/>
      <c r="AR1747" s="66">
        <v>0</v>
      </c>
      <c r="AS1747" s="8"/>
      <c r="AT1747" s="19"/>
      <c r="AU1747" s="19"/>
      <c r="AV1747" s="12"/>
      <c r="AW1747" s="12"/>
      <c r="AX1747" s="8"/>
      <c r="AY1747" s="8"/>
      <c r="AZ1747" s="8"/>
      <c r="BA1747" s="8"/>
      <c r="BB1747" s="62"/>
      <c r="BC1747" s="21"/>
      <c r="BD1747" s="21"/>
      <c r="BE1747" s="21"/>
      <c r="BF1747" s="22"/>
      <c r="BG1747" s="22"/>
      <c r="BH1747" s="22"/>
      <c r="BI1747" s="22"/>
      <c r="BJ1747" s="8"/>
      <c r="BK1747" s="8"/>
      <c r="BL1747" s="8"/>
      <c r="BM1747" s="8"/>
      <c r="BN1747" s="5"/>
      <c r="BO1747" s="5"/>
      <c r="BP1747" s="8"/>
      <c r="BQ1747" s="8"/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1665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1664"/>
        <v xml:space="preserve">CHI </v>
      </c>
      <c r="K1748" s="14"/>
      <c r="L1748" s="13">
        <v>0.15</v>
      </c>
      <c r="M1748" s="28">
        <v>0.1</v>
      </c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23"/>
      <c r="AF1748" s="23"/>
      <c r="AG1748" s="26"/>
      <c r="AH1748" s="26"/>
      <c r="AI1748" s="53"/>
      <c r="AJ1748" s="6"/>
      <c r="AK1748" s="23"/>
      <c r="AL1748" s="23"/>
      <c r="AM1748" s="23"/>
      <c r="AN1748" s="23"/>
      <c r="AO1748" s="23"/>
      <c r="AP1748" s="23"/>
      <c r="AQ1748" s="23"/>
      <c r="AR1748" s="66">
        <v>0</v>
      </c>
      <c r="AS1748" s="8"/>
      <c r="AT1748" s="19"/>
      <c r="AU1748" s="19"/>
      <c r="AV1748" s="12"/>
      <c r="AW1748" s="12"/>
      <c r="AX1748" s="8"/>
      <c r="AY1748" s="8"/>
      <c r="AZ1748" s="8"/>
      <c r="BA1748" s="8"/>
      <c r="BB1748" s="62"/>
      <c r="BC1748" s="21"/>
      <c r="BD1748" s="21"/>
      <c r="BE1748" s="21"/>
      <c r="BF1748" s="22"/>
      <c r="BG1748" s="22"/>
      <c r="BH1748" s="22"/>
      <c r="BI1748" s="22"/>
      <c r="BJ1748" s="8"/>
      <c r="BK1748" s="8"/>
      <c r="BL1748" s="8"/>
      <c r="BM1748" s="8"/>
      <c r="BN1748" s="5"/>
      <c r="BO1748" s="5"/>
      <c r="BP1748" s="8"/>
      <c r="BQ1748" s="8"/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1665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1664"/>
        <v xml:space="preserve">PIT </v>
      </c>
      <c r="K1749" s="14"/>
      <c r="L1749" s="13">
        <v>0.15</v>
      </c>
      <c r="M1749" s="28">
        <v>0.1</v>
      </c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23"/>
      <c r="AF1749" s="23"/>
      <c r="AG1749" s="26"/>
      <c r="AH1749" s="26"/>
      <c r="AI1749" s="53"/>
      <c r="AJ1749" s="6"/>
      <c r="AK1749" s="23"/>
      <c r="AL1749" s="23"/>
      <c r="AM1749" s="23"/>
      <c r="AN1749" s="23"/>
      <c r="AO1749" s="23"/>
      <c r="AP1749" s="23"/>
      <c r="AQ1749" s="23"/>
      <c r="AR1749" s="66">
        <v>0</v>
      </c>
      <c r="AS1749" s="8"/>
      <c r="AT1749" s="19"/>
      <c r="AU1749" s="19"/>
      <c r="AV1749" s="12"/>
      <c r="AW1749" s="12"/>
      <c r="AX1749" s="8"/>
      <c r="AY1749" s="8"/>
      <c r="AZ1749" s="8"/>
      <c r="BA1749" s="8"/>
      <c r="BB1749" s="62"/>
      <c r="BC1749" s="21"/>
      <c r="BD1749" s="21"/>
      <c r="BE1749" s="21"/>
      <c r="BF1749" s="22"/>
      <c r="BG1749" s="22"/>
      <c r="BH1749" s="22"/>
      <c r="BI1749" s="22"/>
      <c r="BJ1749" s="8"/>
      <c r="BK1749" s="8"/>
      <c r="BL1749" s="8"/>
      <c r="BM1749" s="8"/>
      <c r="BN1749" s="5"/>
      <c r="BO1749" s="5"/>
      <c r="BP1749" s="8"/>
      <c r="BQ1749" s="8"/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1665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1664"/>
        <v xml:space="preserve">COL </v>
      </c>
      <c r="K1750" s="14"/>
      <c r="L1750" s="13">
        <v>0.15</v>
      </c>
      <c r="M1750" s="28">
        <v>0.1</v>
      </c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23"/>
      <c r="AF1750" s="23"/>
      <c r="AG1750" s="26"/>
      <c r="AH1750" s="26"/>
      <c r="AI1750" s="53"/>
      <c r="AJ1750" s="6"/>
      <c r="AK1750" s="23"/>
      <c r="AL1750" s="23"/>
      <c r="AM1750" s="23"/>
      <c r="AN1750" s="23"/>
      <c r="AO1750" s="23"/>
      <c r="AP1750" s="23"/>
      <c r="AQ1750" s="23"/>
      <c r="AR1750" s="66">
        <v>0</v>
      </c>
      <c r="AS1750" s="8"/>
      <c r="AT1750" s="19"/>
      <c r="AU1750" s="19"/>
      <c r="AV1750" s="12"/>
      <c r="AW1750" s="12"/>
      <c r="AX1750" s="8"/>
      <c r="AY1750" s="8"/>
      <c r="AZ1750" s="8"/>
      <c r="BA1750" s="8"/>
      <c r="BB1750" s="62"/>
      <c r="BC1750" s="21"/>
      <c r="BD1750" s="21"/>
      <c r="BE1750" s="21"/>
      <c r="BF1750" s="22"/>
      <c r="BG1750" s="22"/>
      <c r="BH1750" s="22"/>
      <c r="BI1750" s="22"/>
      <c r="BJ1750" s="8"/>
      <c r="BK1750" s="8"/>
      <c r="BL1750" s="8"/>
      <c r="BM1750" s="8"/>
      <c r="BN1750" s="5"/>
      <c r="BO1750" s="5"/>
      <c r="BP1750" s="8"/>
      <c r="BQ1750" s="8"/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1665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1664"/>
        <v xml:space="preserve">MTL </v>
      </c>
      <c r="K1751" s="14"/>
      <c r="L1751" s="13">
        <v>0.15</v>
      </c>
      <c r="M1751" s="28">
        <v>0.1</v>
      </c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23"/>
      <c r="AF1751" s="23"/>
      <c r="AG1751" s="26"/>
      <c r="AH1751" s="26"/>
      <c r="AI1751" s="53"/>
      <c r="AJ1751" s="6"/>
      <c r="AK1751" s="23"/>
      <c r="AL1751" s="23"/>
      <c r="AM1751" s="23"/>
      <c r="AN1751" s="23"/>
      <c r="AO1751" s="23"/>
      <c r="AP1751" s="23"/>
      <c r="AQ1751" s="23"/>
      <c r="AR1751" s="66">
        <v>0</v>
      </c>
      <c r="AS1751" s="8"/>
      <c r="AT1751" s="19"/>
      <c r="AU1751" s="19"/>
      <c r="AV1751" s="12"/>
      <c r="AW1751" s="12"/>
      <c r="AX1751" s="8"/>
      <c r="AY1751" s="8"/>
      <c r="AZ1751" s="8"/>
      <c r="BA1751" s="8"/>
      <c r="BB1751" s="62"/>
      <c r="BC1751" s="21"/>
      <c r="BD1751" s="21"/>
      <c r="BE1751" s="21"/>
      <c r="BF1751" s="22"/>
      <c r="BG1751" s="22"/>
      <c r="BH1751" s="22"/>
      <c r="BI1751" s="22"/>
      <c r="BJ1751" s="8"/>
      <c r="BK1751" s="8"/>
      <c r="BL1751" s="8"/>
      <c r="BM1751" s="8"/>
      <c r="BN1751" s="5"/>
      <c r="BO1751" s="5"/>
      <c r="BP1751" s="8"/>
      <c r="BQ1751" s="8"/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1665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1664"/>
        <v xml:space="preserve">LAK </v>
      </c>
      <c r="K1752" s="14"/>
      <c r="L1752" s="13">
        <v>0.15</v>
      </c>
      <c r="M1752" s="28">
        <v>0.1</v>
      </c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23"/>
      <c r="AF1752" s="23"/>
      <c r="AG1752" s="26"/>
      <c r="AH1752" s="26"/>
      <c r="AI1752" s="53"/>
      <c r="AJ1752" s="6"/>
      <c r="AK1752" s="23"/>
      <c r="AL1752" s="23"/>
      <c r="AM1752" s="23"/>
      <c r="AN1752" s="23"/>
      <c r="AO1752" s="23"/>
      <c r="AP1752" s="23"/>
      <c r="AQ1752" s="23"/>
      <c r="AR1752" s="66">
        <v>0</v>
      </c>
      <c r="AS1752" s="8"/>
      <c r="AT1752" s="19"/>
      <c r="AU1752" s="19"/>
      <c r="AV1752" s="12"/>
      <c r="AW1752" s="12"/>
      <c r="AX1752" s="8"/>
      <c r="AY1752" s="8"/>
      <c r="AZ1752" s="8"/>
      <c r="BA1752" s="8"/>
      <c r="BB1752" s="62"/>
      <c r="BC1752" s="21"/>
      <c r="BD1752" s="21"/>
      <c r="BE1752" s="21"/>
      <c r="BF1752" s="22"/>
      <c r="BG1752" s="22"/>
      <c r="BH1752" s="22"/>
      <c r="BI1752" s="22"/>
      <c r="BJ1752" s="8"/>
      <c r="BK1752" s="8"/>
      <c r="BL1752" s="8"/>
      <c r="BM1752" s="8"/>
      <c r="BN1752" s="5"/>
      <c r="BO1752" s="5"/>
      <c r="BP1752" s="8"/>
      <c r="BQ1752" s="8"/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1665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1664"/>
        <v xml:space="preserve">BUF </v>
      </c>
      <c r="K1753" s="14"/>
      <c r="L1753" s="13">
        <v>0.15</v>
      </c>
      <c r="M1753" s="28">
        <v>0.1</v>
      </c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23"/>
      <c r="AF1753" s="23"/>
      <c r="AG1753" s="26"/>
      <c r="AH1753" s="26"/>
      <c r="AI1753" s="53"/>
      <c r="AJ1753" s="6"/>
      <c r="AK1753" s="23"/>
      <c r="AL1753" s="23"/>
      <c r="AM1753" s="23"/>
      <c r="AN1753" s="23"/>
      <c r="AO1753" s="23"/>
      <c r="AP1753" s="23"/>
      <c r="AQ1753" s="23"/>
      <c r="AR1753" s="66">
        <v>0</v>
      </c>
      <c r="AS1753" s="8"/>
      <c r="AT1753" s="19"/>
      <c r="AU1753" s="19"/>
      <c r="AV1753" s="12"/>
      <c r="AW1753" s="12"/>
      <c r="AX1753" s="8"/>
      <c r="AY1753" s="8"/>
      <c r="AZ1753" s="8"/>
      <c r="BA1753" s="8"/>
      <c r="BB1753" s="62"/>
      <c r="BC1753" s="21"/>
      <c r="BD1753" s="21"/>
      <c r="BE1753" s="21"/>
      <c r="BF1753" s="22"/>
      <c r="BG1753" s="22"/>
      <c r="BH1753" s="22"/>
      <c r="BI1753" s="22"/>
      <c r="BJ1753" s="8"/>
      <c r="BK1753" s="8"/>
      <c r="BL1753" s="8"/>
      <c r="BM1753" s="8"/>
      <c r="BN1753" s="5"/>
      <c r="BO1753" s="5"/>
      <c r="BP1753" s="8"/>
      <c r="BQ1753" s="8"/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1665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1664"/>
        <v xml:space="preserve">NSH </v>
      </c>
      <c r="K1754" s="14"/>
      <c r="L1754" s="13">
        <v>0.15</v>
      </c>
      <c r="M1754" s="28">
        <v>0.1</v>
      </c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23"/>
      <c r="AF1754" s="23"/>
      <c r="AG1754" s="26"/>
      <c r="AH1754" s="26"/>
      <c r="AI1754" s="53"/>
      <c r="AJ1754" s="6"/>
      <c r="AK1754" s="23"/>
      <c r="AL1754" s="23"/>
      <c r="AM1754" s="23"/>
      <c r="AN1754" s="23"/>
      <c r="AO1754" s="23"/>
      <c r="AP1754" s="23"/>
      <c r="AQ1754" s="23"/>
      <c r="AR1754" s="66">
        <v>0</v>
      </c>
      <c r="AS1754" s="8"/>
      <c r="AT1754" s="19"/>
      <c r="AU1754" s="19"/>
      <c r="AV1754" s="12"/>
      <c r="AW1754" s="12"/>
      <c r="AX1754" s="8"/>
      <c r="AY1754" s="8"/>
      <c r="AZ1754" s="8"/>
      <c r="BA1754" s="8"/>
      <c r="BB1754" s="62"/>
      <c r="BC1754" s="21"/>
      <c r="BD1754" s="21"/>
      <c r="BE1754" s="21"/>
      <c r="BF1754" s="22"/>
      <c r="BG1754" s="22"/>
      <c r="BH1754" s="22"/>
      <c r="BI1754" s="22"/>
      <c r="BJ1754" s="8"/>
      <c r="BK1754" s="8"/>
      <c r="BL1754" s="8"/>
      <c r="BM1754" s="8"/>
      <c r="BN1754" s="5"/>
      <c r="BO1754" s="5"/>
      <c r="BP1754" s="8"/>
      <c r="BQ1754" s="8"/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1665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1664"/>
        <v xml:space="preserve">NJD </v>
      </c>
      <c r="K1755" s="14"/>
      <c r="L1755" s="13">
        <v>0.15</v>
      </c>
      <c r="M1755" s="28">
        <v>0.1</v>
      </c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23"/>
      <c r="AF1755" s="23"/>
      <c r="AG1755" s="26"/>
      <c r="AH1755" s="26"/>
      <c r="AI1755" s="53"/>
      <c r="AJ1755" s="6"/>
      <c r="AK1755" s="23"/>
      <c r="AL1755" s="23"/>
      <c r="AM1755" s="23"/>
      <c r="AN1755" s="23"/>
      <c r="AO1755" s="23"/>
      <c r="AP1755" s="23"/>
      <c r="AQ1755" s="23"/>
      <c r="AR1755" s="66">
        <v>0</v>
      </c>
      <c r="AS1755" s="8"/>
      <c r="AT1755" s="19"/>
      <c r="AU1755" s="19"/>
      <c r="AV1755" s="12"/>
      <c r="AW1755" s="12"/>
      <c r="AX1755" s="8"/>
      <c r="AY1755" s="8"/>
      <c r="AZ1755" s="8"/>
      <c r="BA1755" s="8"/>
      <c r="BB1755" s="62"/>
      <c r="BC1755" s="21"/>
      <c r="BD1755" s="21"/>
      <c r="BE1755" s="21"/>
      <c r="BF1755" s="22"/>
      <c r="BG1755" s="22"/>
      <c r="BH1755" s="22"/>
      <c r="BI1755" s="22"/>
      <c r="BJ1755" s="8"/>
      <c r="BK1755" s="8"/>
      <c r="BL1755" s="8"/>
      <c r="BM1755" s="8"/>
      <c r="BN1755" s="5"/>
      <c r="BO1755" s="5"/>
      <c r="BP1755" s="8"/>
      <c r="BQ1755" s="8"/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1665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1664"/>
        <v xml:space="preserve">NYI </v>
      </c>
      <c r="K1756" s="14"/>
      <c r="L1756" s="13">
        <v>0.15</v>
      </c>
      <c r="M1756" s="28">
        <v>0.1</v>
      </c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23"/>
      <c r="AF1756" s="23"/>
      <c r="AG1756" s="26"/>
      <c r="AH1756" s="26"/>
      <c r="AI1756" s="53"/>
      <c r="AJ1756" s="6"/>
      <c r="AK1756" s="23"/>
      <c r="AL1756" s="23"/>
      <c r="AM1756" s="23"/>
      <c r="AN1756" s="23"/>
      <c r="AO1756" s="23"/>
      <c r="AP1756" s="23"/>
      <c r="AQ1756" s="23"/>
      <c r="AR1756" s="66">
        <v>0</v>
      </c>
      <c r="AS1756" s="8"/>
      <c r="AT1756" s="19"/>
      <c r="AU1756" s="19"/>
      <c r="AV1756" s="12"/>
      <c r="AW1756" s="12"/>
      <c r="AX1756" s="8"/>
      <c r="AY1756" s="8"/>
      <c r="AZ1756" s="8"/>
      <c r="BA1756" s="8"/>
      <c r="BB1756" s="62"/>
      <c r="BC1756" s="21"/>
      <c r="BD1756" s="21"/>
      <c r="BE1756" s="21"/>
      <c r="BF1756" s="22"/>
      <c r="BG1756" s="22"/>
      <c r="BH1756" s="22"/>
      <c r="BI1756" s="22"/>
      <c r="BJ1756" s="8"/>
      <c r="BK1756" s="8"/>
      <c r="BL1756" s="8"/>
      <c r="BM1756" s="8"/>
      <c r="BN1756" s="5"/>
      <c r="BO1756" s="5"/>
      <c r="BP1756" s="8"/>
      <c r="BQ1756" s="8"/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1665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1664"/>
        <v xml:space="preserve">NYR </v>
      </c>
      <c r="K1757" s="14"/>
      <c r="L1757" s="13">
        <v>0.15</v>
      </c>
      <c r="M1757" s="28">
        <v>0.1</v>
      </c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23"/>
      <c r="AF1757" s="23"/>
      <c r="AG1757" s="26"/>
      <c r="AH1757" s="26"/>
      <c r="AI1757" s="53"/>
      <c r="AJ1757" s="6"/>
      <c r="AK1757" s="23"/>
      <c r="AL1757" s="23"/>
      <c r="AM1757" s="23"/>
      <c r="AN1757" s="23"/>
      <c r="AO1757" s="23"/>
      <c r="AP1757" s="23"/>
      <c r="AQ1757" s="23"/>
      <c r="AR1757" s="66">
        <v>0</v>
      </c>
      <c r="AS1757" s="8"/>
      <c r="AT1757" s="19"/>
      <c r="AU1757" s="19"/>
      <c r="AV1757" s="12"/>
      <c r="AW1757" s="12"/>
      <c r="AX1757" s="8"/>
      <c r="AY1757" s="8"/>
      <c r="AZ1757" s="8"/>
      <c r="BA1757" s="8"/>
      <c r="BB1757" s="62"/>
      <c r="BC1757" s="21"/>
      <c r="BD1757" s="21"/>
      <c r="BE1757" s="21"/>
      <c r="BF1757" s="22"/>
      <c r="BG1757" s="22"/>
      <c r="BH1757" s="22"/>
      <c r="BI1757" s="22"/>
      <c r="BJ1757" s="8"/>
      <c r="BK1757" s="8"/>
      <c r="BL1757" s="8"/>
      <c r="BM1757" s="8"/>
      <c r="BN1757" s="5"/>
      <c r="BO1757" s="5"/>
      <c r="BP1757" s="8"/>
      <c r="BQ1757" s="8"/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1665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1664"/>
        <v xml:space="preserve">PHI </v>
      </c>
      <c r="K1758" s="14"/>
      <c r="L1758" s="13">
        <v>0.15</v>
      </c>
      <c r="M1758" s="28">
        <v>0.1</v>
      </c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23"/>
      <c r="AF1758" s="23"/>
      <c r="AG1758" s="26"/>
      <c r="AH1758" s="26"/>
      <c r="AI1758" s="53"/>
      <c r="AJ1758" s="6"/>
      <c r="AK1758" s="23"/>
      <c r="AL1758" s="23"/>
      <c r="AM1758" s="23"/>
      <c r="AN1758" s="23"/>
      <c r="AO1758" s="23"/>
      <c r="AP1758" s="23"/>
      <c r="AQ1758" s="23"/>
      <c r="AR1758" s="66">
        <v>0</v>
      </c>
      <c r="AS1758" s="8"/>
      <c r="AT1758" s="19"/>
      <c r="AU1758" s="19"/>
      <c r="AV1758" s="12"/>
      <c r="AW1758" s="12"/>
      <c r="AX1758" s="8"/>
      <c r="AY1758" s="8"/>
      <c r="AZ1758" s="8"/>
      <c r="BA1758" s="8"/>
      <c r="BB1758" s="62"/>
      <c r="BC1758" s="21"/>
      <c r="BD1758" s="21"/>
      <c r="BE1758" s="21"/>
      <c r="BF1758" s="22"/>
      <c r="BG1758" s="22"/>
      <c r="BH1758" s="22"/>
      <c r="BI1758" s="22"/>
      <c r="BJ1758" s="8"/>
      <c r="BK1758" s="8"/>
      <c r="BL1758" s="8"/>
      <c r="BM1758" s="8"/>
      <c r="BN1758" s="5"/>
      <c r="BO1758" s="5"/>
      <c r="BP1758" s="8"/>
      <c r="BQ1758" s="8"/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1665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1664"/>
        <v xml:space="preserve">BOS </v>
      </c>
      <c r="K1759" s="14"/>
      <c r="L1759" s="13">
        <v>0.15</v>
      </c>
      <c r="M1759" s="28">
        <v>0.1</v>
      </c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23"/>
      <c r="AF1759" s="23"/>
      <c r="AG1759" s="26"/>
      <c r="AH1759" s="26"/>
      <c r="AI1759" s="53"/>
      <c r="AJ1759" s="6"/>
      <c r="AK1759" s="23"/>
      <c r="AL1759" s="23"/>
      <c r="AM1759" s="23"/>
      <c r="AN1759" s="23"/>
      <c r="AO1759" s="23"/>
      <c r="AP1759" s="23"/>
      <c r="AQ1759" s="23"/>
      <c r="AR1759" s="66">
        <v>0</v>
      </c>
      <c r="AS1759" s="8"/>
      <c r="AT1759" s="19"/>
      <c r="AU1759" s="19"/>
      <c r="AV1759" s="12"/>
      <c r="AW1759" s="12"/>
      <c r="AX1759" s="8"/>
      <c r="AY1759" s="8"/>
      <c r="AZ1759" s="8"/>
      <c r="BA1759" s="8"/>
      <c r="BB1759" s="62"/>
      <c r="BC1759" s="21"/>
      <c r="BD1759" s="21"/>
      <c r="BE1759" s="21"/>
      <c r="BF1759" s="22"/>
      <c r="BG1759" s="22"/>
      <c r="BH1759" s="22"/>
      <c r="BI1759" s="22"/>
      <c r="BJ1759" s="8"/>
      <c r="BK1759" s="8"/>
      <c r="BL1759" s="8"/>
      <c r="BM1759" s="8"/>
      <c r="BN1759" s="5"/>
      <c r="BO1759" s="5"/>
      <c r="BP1759" s="8"/>
      <c r="BQ1759" s="8"/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1665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1664"/>
        <v xml:space="preserve">UTA </v>
      </c>
      <c r="K1760" s="14"/>
      <c r="L1760" s="13">
        <v>0.15</v>
      </c>
      <c r="M1760" s="28">
        <v>0.1</v>
      </c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23"/>
      <c r="AF1760" s="23"/>
      <c r="AG1760" s="26"/>
      <c r="AH1760" s="26"/>
      <c r="AI1760" s="53"/>
      <c r="AJ1760" s="6"/>
      <c r="AK1760" s="23"/>
      <c r="AL1760" s="23"/>
      <c r="AM1760" s="23"/>
      <c r="AN1760" s="23"/>
      <c r="AO1760" s="23"/>
      <c r="AP1760" s="23"/>
      <c r="AQ1760" s="23"/>
      <c r="AR1760" s="66">
        <v>0</v>
      </c>
      <c r="AS1760" s="8"/>
      <c r="AT1760" s="19"/>
      <c r="AU1760" s="19"/>
      <c r="AV1760" s="12"/>
      <c r="AW1760" s="12"/>
      <c r="AX1760" s="8"/>
      <c r="AY1760" s="8"/>
      <c r="AZ1760" s="8"/>
      <c r="BA1760" s="8"/>
      <c r="BB1760" s="62"/>
      <c r="BC1760" s="21"/>
      <c r="BD1760" s="21"/>
      <c r="BE1760" s="21"/>
      <c r="BF1760" s="22"/>
      <c r="BG1760" s="22"/>
      <c r="BH1760" s="22"/>
      <c r="BI1760" s="22"/>
      <c r="BJ1760" s="8"/>
      <c r="BK1760" s="8"/>
      <c r="BL1760" s="8"/>
      <c r="BM1760" s="8"/>
      <c r="BN1760" s="5"/>
      <c r="BO1760" s="5"/>
      <c r="BP1760" s="8"/>
      <c r="BQ1760" s="8"/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1665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1664"/>
        <v xml:space="preserve">CAR </v>
      </c>
      <c r="K1761" s="14"/>
      <c r="L1761" s="13">
        <v>0.15</v>
      </c>
      <c r="M1761" s="28">
        <v>0.1</v>
      </c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23"/>
      <c r="AF1761" s="23"/>
      <c r="AG1761" s="26"/>
      <c r="AH1761" s="26"/>
      <c r="AI1761" s="53"/>
      <c r="AJ1761" s="6"/>
      <c r="AK1761" s="23"/>
      <c r="AL1761" s="23"/>
      <c r="AM1761" s="23"/>
      <c r="AN1761" s="23"/>
      <c r="AO1761" s="23"/>
      <c r="AP1761" s="23"/>
      <c r="AQ1761" s="23"/>
      <c r="AR1761" s="66">
        <v>0</v>
      </c>
      <c r="AS1761" s="8"/>
      <c r="AT1761" s="19"/>
      <c r="AU1761" s="19"/>
      <c r="AV1761" s="12"/>
      <c r="AW1761" s="12"/>
      <c r="AX1761" s="8"/>
      <c r="AY1761" s="8"/>
      <c r="AZ1761" s="8"/>
      <c r="BA1761" s="8"/>
      <c r="BB1761" s="62"/>
      <c r="BC1761" s="21"/>
      <c r="BD1761" s="21"/>
      <c r="BE1761" s="21"/>
      <c r="BF1761" s="22"/>
      <c r="BG1761" s="22"/>
      <c r="BH1761" s="22"/>
      <c r="BI1761" s="22"/>
      <c r="BJ1761" s="8"/>
      <c r="BK1761" s="8"/>
      <c r="BL1761" s="8"/>
      <c r="BM1761" s="8"/>
      <c r="BN1761" s="5"/>
      <c r="BO1761" s="5"/>
      <c r="BP1761" s="8"/>
      <c r="BQ1761" s="8"/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1665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1664"/>
        <v xml:space="preserve">WPG </v>
      </c>
      <c r="K1762" s="14"/>
      <c r="L1762" s="13">
        <v>0.15</v>
      </c>
      <c r="M1762" s="28">
        <v>0.1</v>
      </c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23"/>
      <c r="AF1762" s="23"/>
      <c r="AG1762" s="26"/>
      <c r="AH1762" s="26"/>
      <c r="AI1762" s="53"/>
      <c r="AJ1762" s="6"/>
      <c r="AK1762" s="23"/>
      <c r="AL1762" s="23"/>
      <c r="AM1762" s="23"/>
      <c r="AN1762" s="23"/>
      <c r="AO1762" s="23"/>
      <c r="AP1762" s="23"/>
      <c r="AQ1762" s="23"/>
      <c r="AR1762" s="66">
        <v>0</v>
      </c>
      <c r="AS1762" s="8"/>
      <c r="AT1762" s="19"/>
      <c r="AU1762" s="19"/>
      <c r="AV1762" s="12"/>
      <c r="AW1762" s="12"/>
      <c r="AX1762" s="8"/>
      <c r="AY1762" s="8"/>
      <c r="AZ1762" s="8"/>
      <c r="BA1762" s="8"/>
      <c r="BB1762" s="62"/>
      <c r="BC1762" s="21"/>
      <c r="BD1762" s="21"/>
      <c r="BE1762" s="21"/>
      <c r="BF1762" s="22"/>
      <c r="BG1762" s="22"/>
      <c r="BH1762" s="22"/>
      <c r="BI1762" s="22"/>
      <c r="BJ1762" s="8"/>
      <c r="BK1762" s="8"/>
      <c r="BL1762" s="8"/>
      <c r="BM1762" s="8"/>
      <c r="BN1762" s="5"/>
      <c r="BO1762" s="5"/>
      <c r="BP1762" s="8"/>
      <c r="BQ1762" s="8"/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1665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1664"/>
        <v xml:space="preserve">TBL </v>
      </c>
      <c r="K1763" s="14"/>
      <c r="L1763" s="13">
        <v>0.15</v>
      </c>
      <c r="M1763" s="28">
        <v>0.1</v>
      </c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23"/>
      <c r="AF1763" s="23"/>
      <c r="AG1763" s="26"/>
      <c r="AH1763" s="26"/>
      <c r="AI1763" s="53"/>
      <c r="AJ1763" s="6"/>
      <c r="AK1763" s="23"/>
      <c r="AL1763" s="23"/>
      <c r="AM1763" s="23"/>
      <c r="AN1763" s="23"/>
      <c r="AO1763" s="23"/>
      <c r="AP1763" s="23"/>
      <c r="AQ1763" s="23"/>
      <c r="AR1763" s="66">
        <v>0</v>
      </c>
      <c r="AS1763" s="8"/>
      <c r="AT1763" s="19"/>
      <c r="AU1763" s="19"/>
      <c r="AV1763" s="12"/>
      <c r="AW1763" s="12"/>
      <c r="AX1763" s="8"/>
      <c r="AY1763" s="8"/>
      <c r="AZ1763" s="8"/>
      <c r="BA1763" s="8"/>
      <c r="BB1763" s="62"/>
      <c r="BC1763" s="21"/>
      <c r="BD1763" s="21"/>
      <c r="BE1763" s="21"/>
      <c r="BF1763" s="22"/>
      <c r="BG1763" s="22"/>
      <c r="BH1763" s="22"/>
      <c r="BI1763" s="22"/>
      <c r="BJ1763" s="8"/>
      <c r="BK1763" s="8"/>
      <c r="BL1763" s="8"/>
      <c r="BM1763" s="8"/>
      <c r="BN1763" s="5"/>
      <c r="BO1763" s="5"/>
      <c r="BP1763" s="8"/>
      <c r="BQ1763" s="8"/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1665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1664"/>
        <v xml:space="preserve">WSH </v>
      </c>
      <c r="K1764" s="14"/>
      <c r="L1764" s="13">
        <v>0.15</v>
      </c>
      <c r="M1764" s="28">
        <v>0.1</v>
      </c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23"/>
      <c r="AF1764" s="23"/>
      <c r="AG1764" s="26"/>
      <c r="AH1764" s="26"/>
      <c r="AI1764" s="53"/>
      <c r="AJ1764" s="6"/>
      <c r="AK1764" s="23"/>
      <c r="AL1764" s="23"/>
      <c r="AM1764" s="23"/>
      <c r="AN1764" s="23"/>
      <c r="AO1764" s="23"/>
      <c r="AP1764" s="23"/>
      <c r="AQ1764" s="23"/>
      <c r="AR1764" s="66">
        <v>0</v>
      </c>
      <c r="AS1764" s="8"/>
      <c r="AT1764" s="19"/>
      <c r="AU1764" s="19"/>
      <c r="AV1764" s="12"/>
      <c r="AW1764" s="12"/>
      <c r="AX1764" s="8"/>
      <c r="AY1764" s="8"/>
      <c r="AZ1764" s="8"/>
      <c r="BA1764" s="8"/>
      <c r="BB1764" s="62"/>
      <c r="BC1764" s="21"/>
      <c r="BD1764" s="21"/>
      <c r="BE1764" s="21"/>
      <c r="BF1764" s="22"/>
      <c r="BG1764" s="22"/>
      <c r="BH1764" s="22"/>
      <c r="BI1764" s="22"/>
      <c r="BJ1764" s="8"/>
      <c r="BK1764" s="8"/>
      <c r="BL1764" s="8"/>
      <c r="BM1764" s="8"/>
      <c r="BN1764" s="5"/>
      <c r="BO1764" s="5"/>
      <c r="BP1764" s="8"/>
      <c r="BQ1764" s="8"/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1665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1664"/>
        <v xml:space="preserve">DET </v>
      </c>
      <c r="K1765" s="14"/>
      <c r="L1765" s="13">
        <v>0.15</v>
      </c>
      <c r="M1765" s="28">
        <v>0.1</v>
      </c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23"/>
      <c r="AF1765" s="23"/>
      <c r="AG1765" s="26"/>
      <c r="AH1765" s="26"/>
      <c r="AI1765" s="53"/>
      <c r="AJ1765" s="6"/>
      <c r="AK1765" s="23"/>
      <c r="AL1765" s="23"/>
      <c r="AM1765" s="23"/>
      <c r="AN1765" s="23"/>
      <c r="AO1765" s="23"/>
      <c r="AP1765" s="23"/>
      <c r="AQ1765" s="23"/>
      <c r="AR1765" s="66">
        <v>0</v>
      </c>
      <c r="AS1765" s="8"/>
      <c r="AT1765" s="19"/>
      <c r="AU1765" s="19"/>
      <c r="AV1765" s="12"/>
      <c r="AW1765" s="12"/>
      <c r="AX1765" s="8"/>
      <c r="AY1765" s="8"/>
      <c r="AZ1765" s="8"/>
      <c r="BA1765" s="8"/>
      <c r="BB1765" s="62"/>
      <c r="BC1765" s="21"/>
      <c r="BD1765" s="21"/>
      <c r="BE1765" s="21"/>
      <c r="BF1765" s="22"/>
      <c r="BG1765" s="22"/>
      <c r="BH1765" s="22"/>
      <c r="BI1765" s="22"/>
      <c r="BJ1765" s="8"/>
      <c r="BK1765" s="8"/>
      <c r="BL1765" s="8"/>
      <c r="BM1765" s="8"/>
      <c r="BN1765" s="5"/>
      <c r="BO1765" s="5"/>
      <c r="BP1765" s="8"/>
      <c r="BQ1765" s="8"/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1665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1664"/>
        <v xml:space="preserve">CGY </v>
      </c>
      <c r="K1766" s="14"/>
      <c r="L1766" s="13">
        <v>0.15</v>
      </c>
      <c r="M1766" s="28">
        <v>0.1</v>
      </c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23"/>
      <c r="AF1766" s="23"/>
      <c r="AG1766" s="26"/>
      <c r="AH1766" s="26"/>
      <c r="AI1766" s="53"/>
      <c r="AJ1766" s="6"/>
      <c r="AK1766" s="23"/>
      <c r="AL1766" s="23"/>
      <c r="AM1766" s="23"/>
      <c r="AN1766" s="23"/>
      <c r="AO1766" s="23"/>
      <c r="AP1766" s="23"/>
      <c r="AQ1766" s="23"/>
      <c r="AR1766" s="66">
        <v>0</v>
      </c>
      <c r="AS1766" s="8"/>
      <c r="AT1766" s="19"/>
      <c r="AU1766" s="19"/>
      <c r="AV1766" s="12"/>
      <c r="AW1766" s="12"/>
      <c r="AX1766" s="8"/>
      <c r="AY1766" s="8"/>
      <c r="AZ1766" s="8"/>
      <c r="BA1766" s="8"/>
      <c r="BB1766" s="62"/>
      <c r="BC1766" s="21"/>
      <c r="BD1766" s="21"/>
      <c r="BE1766" s="21"/>
      <c r="BF1766" s="22"/>
      <c r="BG1766" s="22"/>
      <c r="BH1766" s="22"/>
      <c r="BI1766" s="22"/>
      <c r="BJ1766" s="8"/>
      <c r="BK1766" s="8"/>
      <c r="BL1766" s="8"/>
      <c r="BM1766" s="8"/>
      <c r="BN1766" s="5"/>
      <c r="BO1766" s="5"/>
      <c r="BP1766" s="8"/>
      <c r="BQ1766" s="8"/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1665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1664"/>
        <v xml:space="preserve">MIN </v>
      </c>
      <c r="K1767" s="14"/>
      <c r="L1767" s="13">
        <v>0.15</v>
      </c>
      <c r="M1767" s="28">
        <v>0.1</v>
      </c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23"/>
      <c r="AF1767" s="23"/>
      <c r="AG1767" s="26"/>
      <c r="AH1767" s="26"/>
      <c r="AI1767" s="53"/>
      <c r="AJ1767" s="6"/>
      <c r="AK1767" s="23"/>
      <c r="AL1767" s="23"/>
      <c r="AM1767" s="23"/>
      <c r="AN1767" s="23"/>
      <c r="AO1767" s="23"/>
      <c r="AP1767" s="23"/>
      <c r="AQ1767" s="23"/>
      <c r="AR1767" s="66">
        <v>0</v>
      </c>
      <c r="AS1767" s="8"/>
      <c r="AT1767" s="19"/>
      <c r="AU1767" s="19"/>
      <c r="AV1767" s="12"/>
      <c r="AW1767" s="12"/>
      <c r="AX1767" s="8"/>
      <c r="AY1767" s="8"/>
      <c r="AZ1767" s="8"/>
      <c r="BA1767" s="8"/>
      <c r="BB1767" s="62"/>
      <c r="BC1767" s="21"/>
      <c r="BD1767" s="21"/>
      <c r="BE1767" s="21"/>
      <c r="BF1767" s="22"/>
      <c r="BG1767" s="22"/>
      <c r="BH1767" s="22"/>
      <c r="BI1767" s="22"/>
      <c r="BJ1767" s="8"/>
      <c r="BK1767" s="8"/>
      <c r="BL1767" s="8"/>
      <c r="BM1767" s="8"/>
      <c r="BN1767" s="5"/>
      <c r="BO1767" s="5"/>
      <c r="BP1767" s="8"/>
      <c r="BQ1767" s="8"/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1665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1664"/>
        <v xml:space="preserve">FLA </v>
      </c>
      <c r="K1768" s="14"/>
      <c r="L1768" s="13">
        <v>0.15</v>
      </c>
      <c r="M1768" s="28">
        <v>0.1</v>
      </c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23"/>
      <c r="AF1768" s="23"/>
      <c r="AG1768" s="26"/>
      <c r="AH1768" s="26"/>
      <c r="AI1768" s="53"/>
      <c r="AJ1768" s="6"/>
      <c r="AK1768" s="23"/>
      <c r="AL1768" s="23"/>
      <c r="AM1768" s="23"/>
      <c r="AN1768" s="23"/>
      <c r="AO1768" s="23"/>
      <c r="AP1768" s="23"/>
      <c r="AQ1768" s="23"/>
      <c r="AR1768" s="66">
        <v>0</v>
      </c>
      <c r="AS1768" s="8"/>
      <c r="AT1768" s="19"/>
      <c r="AU1768" s="19"/>
      <c r="AV1768" s="12"/>
      <c r="AW1768" s="12"/>
      <c r="AX1768" s="8"/>
      <c r="AY1768" s="8"/>
      <c r="AZ1768" s="8"/>
      <c r="BA1768" s="8"/>
      <c r="BB1768" s="62"/>
      <c r="BC1768" s="21"/>
      <c r="BD1768" s="21"/>
      <c r="BE1768" s="21"/>
      <c r="BF1768" s="22"/>
      <c r="BG1768" s="22"/>
      <c r="BH1768" s="22"/>
      <c r="BI1768" s="22"/>
      <c r="BJ1768" s="8"/>
      <c r="BK1768" s="8"/>
      <c r="BL1768" s="8"/>
      <c r="BM1768" s="8"/>
      <c r="BN1768" s="5"/>
      <c r="BO1768" s="5"/>
      <c r="BP1768" s="8"/>
      <c r="BQ1768" s="8"/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1665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1664"/>
        <v xml:space="preserve">STL </v>
      </c>
      <c r="K1769" s="14"/>
      <c r="L1769" s="13">
        <v>0.15</v>
      </c>
      <c r="M1769" s="28">
        <v>0.1</v>
      </c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23"/>
      <c r="AF1769" s="23"/>
      <c r="AG1769" s="26"/>
      <c r="AH1769" s="26"/>
      <c r="AI1769" s="53"/>
      <c r="AJ1769" s="6"/>
      <c r="AK1769" s="23"/>
      <c r="AL1769" s="23"/>
      <c r="AM1769" s="23"/>
      <c r="AN1769" s="23"/>
      <c r="AO1769" s="23"/>
      <c r="AP1769" s="23"/>
      <c r="AQ1769" s="23"/>
      <c r="AR1769" s="66">
        <v>0</v>
      </c>
      <c r="AS1769" s="8"/>
      <c r="AT1769" s="19"/>
      <c r="AU1769" s="19"/>
      <c r="AV1769" s="12"/>
      <c r="AW1769" s="12"/>
      <c r="AX1769" s="8"/>
      <c r="AY1769" s="8"/>
      <c r="AZ1769" s="8"/>
      <c r="BA1769" s="8"/>
      <c r="BB1769" s="62"/>
      <c r="BC1769" s="21"/>
      <c r="BD1769" s="21"/>
      <c r="BE1769" s="21"/>
      <c r="BF1769" s="22"/>
      <c r="BG1769" s="22"/>
      <c r="BH1769" s="22"/>
      <c r="BI1769" s="22"/>
      <c r="BJ1769" s="8"/>
      <c r="BK1769" s="8"/>
      <c r="BL1769" s="8"/>
      <c r="BM1769" s="8"/>
      <c r="BN1769" s="5"/>
      <c r="BO1769" s="5"/>
      <c r="BP1769" s="8"/>
      <c r="BQ1769" s="8"/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1665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1664"/>
        <v xml:space="preserve">SJS </v>
      </c>
      <c r="K1770" s="14"/>
      <c r="L1770" s="13">
        <v>0.15</v>
      </c>
      <c r="M1770" s="28">
        <v>0.1</v>
      </c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23"/>
      <c r="AF1770" s="23"/>
      <c r="AG1770" s="26"/>
      <c r="AH1770" s="26"/>
      <c r="AI1770" s="53"/>
      <c r="AJ1770" s="6"/>
      <c r="AK1770" s="23"/>
      <c r="AL1770" s="23"/>
      <c r="AM1770" s="23"/>
      <c r="AN1770" s="23"/>
      <c r="AO1770" s="23"/>
      <c r="AP1770" s="23"/>
      <c r="AQ1770" s="23"/>
      <c r="AR1770" s="66">
        <v>0</v>
      </c>
      <c r="AS1770" s="8"/>
      <c r="AT1770" s="19"/>
      <c r="AU1770" s="19"/>
      <c r="AV1770" s="12"/>
      <c r="AW1770" s="12"/>
      <c r="AX1770" s="8"/>
      <c r="AY1770" s="8"/>
      <c r="AZ1770" s="8"/>
      <c r="BA1770" s="8"/>
      <c r="BB1770" s="62"/>
      <c r="BC1770" s="21"/>
      <c r="BD1770" s="21"/>
      <c r="BE1770" s="21"/>
      <c r="BF1770" s="22"/>
      <c r="BG1770" s="22"/>
      <c r="BH1770" s="22"/>
      <c r="BI1770" s="22"/>
      <c r="BJ1770" s="8"/>
      <c r="BK1770" s="8"/>
      <c r="BL1770" s="8"/>
      <c r="BM1770" s="8"/>
      <c r="BN1770" s="5"/>
      <c r="BO1770" s="5"/>
      <c r="BP1770" s="8"/>
      <c r="BQ1770" s="8"/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1665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1666">E1771&amp;" "&amp;J1771</f>
        <v xml:space="preserve">EDM </v>
      </c>
      <c r="K1771" s="14"/>
      <c r="L1771" s="13">
        <v>0.15</v>
      </c>
      <c r="M1771" s="28">
        <v>0.1</v>
      </c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23"/>
      <c r="AF1771" s="23"/>
      <c r="AG1771" s="26"/>
      <c r="AH1771" s="26"/>
      <c r="AI1771" s="53"/>
      <c r="AJ1771" s="6"/>
      <c r="AK1771" s="23"/>
      <c r="AL1771" s="23"/>
      <c r="AM1771" s="23"/>
      <c r="AN1771" s="23"/>
      <c r="AO1771" s="23"/>
      <c r="AP1771" s="23"/>
      <c r="AQ1771" s="23"/>
      <c r="AR1771" s="66">
        <v>0</v>
      </c>
      <c r="AS1771" s="8"/>
      <c r="AT1771" s="19"/>
      <c r="AU1771" s="19"/>
      <c r="AV1771" s="12"/>
      <c r="AW1771" s="12"/>
      <c r="AX1771" s="8"/>
      <c r="AY1771" s="8"/>
      <c r="AZ1771" s="8"/>
      <c r="BA1771" s="8"/>
      <c r="BB1771" s="62"/>
      <c r="BC1771" s="21"/>
      <c r="BD1771" s="21"/>
      <c r="BE1771" s="21"/>
      <c r="BF1771" s="22"/>
      <c r="BG1771" s="22"/>
      <c r="BH1771" s="22"/>
      <c r="BI1771" s="22"/>
      <c r="BJ1771" s="8"/>
      <c r="BK1771" s="8"/>
      <c r="BL1771" s="8"/>
      <c r="BM1771" s="8"/>
      <c r="BN1771" s="5"/>
      <c r="BO1771" s="5"/>
      <c r="BP1771" s="8"/>
      <c r="BQ1771" s="8"/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1665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1666"/>
        <v xml:space="preserve">ANA </v>
      </c>
      <c r="K1772" s="14"/>
      <c r="L1772" s="13">
        <v>0.15</v>
      </c>
      <c r="M1772" s="28">
        <v>0.1</v>
      </c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23"/>
      <c r="AF1772" s="23"/>
      <c r="AG1772" s="26"/>
      <c r="AH1772" s="26"/>
      <c r="AI1772" s="53"/>
      <c r="AJ1772" s="6"/>
      <c r="AK1772" s="23"/>
      <c r="AL1772" s="23"/>
      <c r="AM1772" s="23"/>
      <c r="AN1772" s="23"/>
      <c r="AO1772" s="23"/>
      <c r="AP1772" s="23"/>
      <c r="AQ1772" s="23"/>
      <c r="AR1772" s="66">
        <v>0</v>
      </c>
      <c r="AS1772" s="8"/>
      <c r="AT1772" s="19"/>
      <c r="AU1772" s="19"/>
      <c r="AV1772" s="12"/>
      <c r="AW1772" s="12"/>
      <c r="AX1772" s="8"/>
      <c r="AY1772" s="8"/>
      <c r="AZ1772" s="8"/>
      <c r="BA1772" s="8"/>
      <c r="BB1772" s="62"/>
      <c r="BC1772" s="21"/>
      <c r="BD1772" s="21"/>
      <c r="BE1772" s="21"/>
      <c r="BF1772" s="22"/>
      <c r="BG1772" s="22"/>
      <c r="BH1772" s="22"/>
      <c r="BI1772" s="22"/>
      <c r="BJ1772" s="8"/>
      <c r="BK1772" s="8"/>
      <c r="BL1772" s="8"/>
      <c r="BM1772" s="8"/>
      <c r="BN1772" s="5"/>
      <c r="BO1772" s="5"/>
      <c r="BP1772" s="8"/>
      <c r="BQ1772" s="8"/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1665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1666"/>
        <v xml:space="preserve">VAN </v>
      </c>
      <c r="K1773" s="14"/>
      <c r="L1773" s="13">
        <v>0.15</v>
      </c>
      <c r="M1773" s="28">
        <v>0.1</v>
      </c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23"/>
      <c r="AF1773" s="23"/>
      <c r="AG1773" s="26"/>
      <c r="AH1773" s="26"/>
      <c r="AI1773" s="53"/>
      <c r="AJ1773" s="6"/>
      <c r="AK1773" s="23"/>
      <c r="AL1773" s="23"/>
      <c r="AM1773" s="23"/>
      <c r="AN1773" s="23"/>
      <c r="AO1773" s="23"/>
      <c r="AP1773" s="23"/>
      <c r="AQ1773" s="23"/>
      <c r="AR1773" s="66">
        <v>0</v>
      </c>
      <c r="AS1773" s="8"/>
      <c r="AT1773" s="19"/>
      <c r="AU1773" s="19"/>
      <c r="AV1773" s="12"/>
      <c r="AW1773" s="12"/>
      <c r="AX1773" s="8"/>
      <c r="AY1773" s="8"/>
      <c r="AZ1773" s="8"/>
      <c r="BA1773" s="8"/>
      <c r="BB1773" s="62"/>
      <c r="BC1773" s="21"/>
      <c r="BD1773" s="21"/>
      <c r="BE1773" s="21"/>
      <c r="BF1773" s="22"/>
      <c r="BG1773" s="22"/>
      <c r="BH1773" s="22"/>
      <c r="BI1773" s="22"/>
      <c r="BJ1773" s="8"/>
      <c r="BK1773" s="8"/>
      <c r="BL1773" s="8"/>
      <c r="BM1773" s="8"/>
      <c r="BN1773" s="5"/>
      <c r="BO1773" s="5"/>
      <c r="BP1773" s="8"/>
      <c r="BQ1773" s="8"/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1665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1666"/>
        <v xml:space="preserve">DAL </v>
      </c>
      <c r="K1774" s="14"/>
      <c r="L1774" s="13">
        <v>0.15</v>
      </c>
      <c r="M1774" s="28">
        <v>0.1</v>
      </c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23"/>
      <c r="AF1774" s="23"/>
      <c r="AG1774" s="26"/>
      <c r="AH1774" s="26"/>
      <c r="AI1774" s="53"/>
      <c r="AJ1774" s="6"/>
      <c r="AK1774" s="23"/>
      <c r="AL1774" s="23"/>
      <c r="AM1774" s="23"/>
      <c r="AN1774" s="23"/>
      <c r="AO1774" s="23"/>
      <c r="AP1774" s="23"/>
      <c r="AQ1774" s="23"/>
      <c r="AR1774" s="66">
        <v>0</v>
      </c>
      <c r="AS1774" s="8"/>
      <c r="AT1774" s="19"/>
      <c r="AU1774" s="19"/>
      <c r="AV1774" s="12"/>
      <c r="AW1774" s="12"/>
      <c r="AX1774" s="8"/>
      <c r="AY1774" s="8"/>
      <c r="AZ1774" s="8"/>
      <c r="BA1774" s="8"/>
      <c r="BB1774" s="62"/>
      <c r="BC1774" s="21"/>
      <c r="BD1774" s="21"/>
      <c r="BE1774" s="21"/>
      <c r="BF1774" s="22"/>
      <c r="BG1774" s="22"/>
      <c r="BH1774" s="22"/>
      <c r="BI1774" s="22"/>
      <c r="BJ1774" s="8"/>
      <c r="BK1774" s="8"/>
      <c r="BL1774" s="8"/>
      <c r="BM1774" s="8"/>
      <c r="BN1774" s="5"/>
      <c r="BO1774" s="5"/>
      <c r="BP1774" s="8"/>
      <c r="BQ1774" s="8"/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1665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1666"/>
        <v xml:space="preserve">VGK </v>
      </c>
      <c r="K1775" s="14"/>
      <c r="L1775" s="13">
        <v>0.15</v>
      </c>
      <c r="M1775" s="28">
        <v>0.1</v>
      </c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23"/>
      <c r="AF1775" s="23"/>
      <c r="AG1775" s="26"/>
      <c r="AH1775" s="26"/>
      <c r="AI1775" s="53"/>
      <c r="AJ1775" s="6"/>
      <c r="AK1775" s="23"/>
      <c r="AL1775" s="23"/>
      <c r="AM1775" s="23"/>
      <c r="AN1775" s="23"/>
      <c r="AO1775" s="23"/>
      <c r="AP1775" s="23"/>
      <c r="AQ1775" s="23"/>
      <c r="AR1775" s="66">
        <v>0</v>
      </c>
      <c r="AS1775" s="8"/>
      <c r="AT1775" s="19"/>
      <c r="AU1775" s="19"/>
      <c r="AV1775" s="12"/>
      <c r="AW1775" s="12"/>
      <c r="AX1775" s="8"/>
      <c r="AY1775" s="8"/>
      <c r="AZ1775" s="8"/>
      <c r="BA1775" s="8"/>
      <c r="BB1775" s="62"/>
      <c r="BC1775" s="21"/>
      <c r="BD1775" s="21"/>
      <c r="BE1775" s="21"/>
      <c r="BF1775" s="22"/>
      <c r="BG1775" s="22"/>
      <c r="BH1775" s="22"/>
      <c r="BI1775" s="22"/>
      <c r="BJ1775" s="8"/>
      <c r="BK1775" s="8"/>
      <c r="BL1775" s="8"/>
      <c r="BM1775" s="8"/>
      <c r="BN1775" s="5"/>
      <c r="BO1775" s="5"/>
      <c r="BP1775" s="8"/>
      <c r="BQ1775" s="8"/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1665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1666"/>
        <v xml:space="preserve">TOR </v>
      </c>
      <c r="K1776" s="14"/>
      <c r="L1776" s="13">
        <v>0.15</v>
      </c>
      <c r="M1776" s="28">
        <v>0.1</v>
      </c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23"/>
      <c r="AF1776" s="23"/>
      <c r="AG1776" s="26"/>
      <c r="AH1776" s="26"/>
      <c r="AI1776" s="53"/>
      <c r="AJ1776" s="6"/>
      <c r="AK1776" s="23"/>
      <c r="AL1776" s="23"/>
      <c r="AM1776" s="23"/>
      <c r="AN1776" s="23"/>
      <c r="AO1776" s="23"/>
      <c r="AP1776" s="23"/>
      <c r="AQ1776" s="23"/>
      <c r="AR1776" s="66">
        <v>0</v>
      </c>
      <c r="AS1776" s="8"/>
      <c r="AT1776" s="19"/>
      <c r="AU1776" s="19"/>
      <c r="AV1776" s="12"/>
      <c r="AW1776" s="12"/>
      <c r="AX1776" s="8"/>
      <c r="AY1776" s="8"/>
      <c r="AZ1776" s="8"/>
      <c r="BA1776" s="8"/>
      <c r="BB1776" s="62"/>
      <c r="BC1776" s="21"/>
      <c r="BD1776" s="21"/>
      <c r="BE1776" s="21"/>
      <c r="BF1776" s="22"/>
      <c r="BG1776" s="22"/>
      <c r="BH1776" s="22"/>
      <c r="BI1776" s="22"/>
      <c r="BJ1776" s="8"/>
      <c r="BK1776" s="8"/>
      <c r="BL1776" s="8"/>
      <c r="BM1776" s="8"/>
      <c r="BN1776" s="5"/>
      <c r="BO1776" s="5"/>
      <c r="BP1776" s="8"/>
      <c r="BQ1776" s="8"/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1665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1666"/>
        <v xml:space="preserve">SEA </v>
      </c>
      <c r="K1777" s="14"/>
      <c r="L1777" s="13">
        <v>0.15</v>
      </c>
      <c r="M1777" s="28">
        <v>0.1</v>
      </c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23"/>
      <c r="AF1777" s="23"/>
      <c r="AG1777" s="26"/>
      <c r="AH1777" s="26"/>
      <c r="AI1777" s="53"/>
      <c r="AJ1777" s="6"/>
      <c r="AK1777" s="23"/>
      <c r="AL1777" s="23"/>
      <c r="AM1777" s="23"/>
      <c r="AN1777" s="23"/>
      <c r="AO1777" s="23"/>
      <c r="AP1777" s="23"/>
      <c r="AQ1777" s="23"/>
      <c r="AR1777" s="66">
        <v>0</v>
      </c>
      <c r="AS1777" s="8"/>
      <c r="AT1777" s="19"/>
      <c r="AU1777" s="19"/>
      <c r="AV1777" s="12"/>
      <c r="AW1777" s="12"/>
      <c r="AX1777" s="8"/>
      <c r="AY1777" s="8"/>
      <c r="AZ1777" s="8"/>
      <c r="BA1777" s="8"/>
      <c r="BB1777" s="62"/>
      <c r="BC1777" s="21"/>
      <c r="BD1777" s="21"/>
      <c r="BE1777" s="21"/>
      <c r="BF1777" s="22"/>
      <c r="BG1777" s="22"/>
      <c r="BH1777" s="22"/>
      <c r="BI1777" s="22"/>
      <c r="BJ1777" s="8"/>
      <c r="BK1777" s="8"/>
      <c r="BL1777" s="8"/>
      <c r="BM1777" s="8"/>
      <c r="BN1777" s="5"/>
      <c r="BO1777" s="5"/>
      <c r="BP1777" s="8"/>
      <c r="BQ1777" s="8"/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1665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1666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1665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1666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1665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1666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1665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1666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1665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1666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1665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1666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1665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1666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1665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1666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1665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1666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1665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1666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1665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1666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1665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1666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1665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1666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1665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1666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1667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1666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1667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1666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1667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1666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1667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1666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1667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1666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1667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1666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1667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1666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1667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1666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1667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1666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1667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1666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1667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1666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1667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1666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1667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1666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1667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1666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1667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1666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1667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1666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1667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1666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1667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1666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1667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1666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1667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1666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1667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1666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1667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1666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1667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1666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1667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1666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1667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1666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1667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1666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1667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1666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1667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1666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1667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1666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1667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1666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1667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1666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1667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1666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1667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1666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1667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1666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1667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1666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1667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1666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1667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1666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1667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1666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1667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1666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1667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1666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1667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1666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1667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1666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1667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1666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1667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668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1667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668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1667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668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1667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668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1667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668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1667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668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1667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668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1667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668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1667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668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1667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668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1667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668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1667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668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1667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668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1667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668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1667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668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1667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668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1667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668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1667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668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1667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668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1667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668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1667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668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1669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668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1669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668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1669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668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1669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668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1669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668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1669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668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1669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668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1669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668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1669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668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1669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668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1669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668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1669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668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1669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668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1669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668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1669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668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1669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668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1669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668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1669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668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1669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668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1669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668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1669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668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1669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668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1669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668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1669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668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1669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668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1669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668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1669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668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1669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668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1669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668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1669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668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1669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668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1669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668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1669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668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1669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668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1669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668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1669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668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1669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668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1669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668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1669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668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1669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668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1669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668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1669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668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1669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668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1669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1670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1669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1670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1669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1670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1669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1670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1669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1670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1669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1670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1669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1670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1669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1670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1669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1670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1669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1670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1669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1670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1669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1670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1669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1670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1669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1670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1669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1670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1669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1670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1669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1670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1669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1670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1669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1670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1669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1670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1669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1670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1671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1670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1671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1670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1671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1670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1671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1670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1671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1670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1671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1670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1671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1670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1671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1670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1671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1670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1671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1670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1671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1670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1671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1670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1671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1670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1671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1670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1671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1670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1671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1670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1671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1670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1671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1670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1671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1670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1671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1670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1671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1670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1671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1670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1671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1670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1671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1670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1671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1670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1671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1670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1671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1670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1671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1670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1671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1670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1671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1670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1671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1670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1671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1670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1671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1670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1671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1670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1671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1670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1671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1670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1671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1670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1671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1670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1671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1670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1671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1670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1671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1670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1671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1670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1671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1670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1671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1672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1671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1672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1671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1672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1671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1672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1671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1672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1671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1672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1671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1672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1671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1672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1671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1672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1671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1672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1671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1672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1671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1672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1671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1672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1671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1672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1671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1672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1671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1672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1671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1672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1671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1672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1671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1672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1671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1672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1671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1672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1673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1672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1673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1672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1673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1672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1673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1672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1673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1672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1673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1672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1673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1672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1673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1672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1673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1672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1673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1672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1673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1672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1673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1672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1673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1672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1673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1672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1673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1672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1673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1672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1673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1672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1673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1672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1673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1672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1673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1672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1673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1672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1673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1672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1673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1672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1673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1672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1673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1672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1673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1672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1673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1672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1673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1672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1673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1672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1673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1672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1673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1672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1673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1672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1673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1672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1673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1672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1673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1672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1673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1672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1673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1672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1673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1672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1673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1672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1673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1672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1673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1672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1673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1672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1673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1672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1673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1674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1673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1674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1673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1674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1673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1674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1673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1674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1673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1674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1673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1674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1673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1674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1673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1674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1673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1674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1673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1674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1673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1674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1673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1674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1673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1674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1673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1674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1673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1674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1673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1674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1673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1674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1673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1674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1673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1674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1673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1674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1675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1674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1675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1674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1675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1674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1675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1674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1675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1674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1675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1674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1675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1674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1675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1674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1675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1674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1675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1674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1675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1674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1675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1674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1675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1674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1675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1674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1675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1674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1675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1674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1675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1674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1675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1674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1675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1674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1675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1674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1675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1674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1675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1674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1675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1674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1675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1674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1675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1674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1675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1674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1675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1674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1675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1674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1675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1674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1675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1674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1675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1674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1675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1674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1675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1674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1675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1674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1675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1674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1675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1674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1675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1674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1675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1674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1675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1674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1675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1674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1675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1674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1675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1674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1675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1674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1675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1676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1675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1676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1675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1676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1675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1676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1675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1676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1675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1676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1675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1676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1675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1676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1675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1676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1675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1676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1675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1676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1675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1676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1675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1676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1675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1676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1675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1676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1675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1676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1675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1676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1675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1676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1675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1676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1675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1676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1675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1676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1677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1676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1677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1676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1677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1676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1677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1676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1677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1676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1677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1676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1677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1676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1677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1676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1677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1676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1677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1676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1677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1676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1677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1676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1677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1676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1677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1676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1677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1676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1677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1676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1677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1676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1677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1676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1677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1676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1677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1676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1677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1676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1677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1676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1677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1676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1677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1676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1677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1676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1677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1676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1677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1676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1677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1676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1677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1676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1677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1676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1677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1676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1677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1676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1677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1676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1677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1676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1677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1676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1677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1676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1677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1676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1677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1676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1677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1676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1677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1676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1677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1676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1677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1676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1677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1676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1677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1678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1677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1678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1677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1678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1677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1678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1677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1678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1677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1678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1677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1678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1677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1678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1677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1678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1677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1678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1677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1678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1677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1678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1677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1678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1677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1678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1677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1678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1677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1678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1677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1678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1677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1678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1677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1678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1677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1678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1677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1678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1679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1678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1679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1678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1679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1678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1679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1678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1679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1678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1679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1678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1679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1678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1679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1678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1679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1678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1679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1678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1679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1678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1679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1678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1679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1678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1679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1678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1679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1678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1679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1678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1679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1678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1679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1678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1679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1678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1679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1678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1679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1678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1679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1678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1679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1678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1679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1678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1679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1678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1679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1678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1679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1678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1679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1678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1679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1678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1679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1678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1679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1678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1679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1678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1679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1678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1679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1678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1679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1678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1679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1678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1679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1678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1679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1678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1679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1678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1679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1678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1679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1678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1679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1678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1679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1678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1679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1680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1679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1680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1679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1680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1679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1680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1679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1680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1679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1680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1679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1680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1679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1680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1679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1680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1679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1680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1679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1680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1679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1680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1679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1680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1679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1680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1679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1680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1679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1680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1679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1680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1679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1680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1679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1680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1679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1680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1679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1680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1681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1680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1681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1680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1681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1680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1681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1680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1681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1680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1681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1680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1681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1680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1681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1680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1681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1680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1681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1680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1681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1680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1681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1680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1681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1680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1681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1680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1681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1680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1681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1680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1681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1680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1681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1680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1681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1680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1681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1680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1681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1680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1681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1680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1681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1680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1681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1680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1681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1680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1681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1680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1681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1680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1681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1680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1681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1680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1681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1680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1681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1680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1681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1680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1681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1680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1681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1680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1681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1680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1681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1680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1681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1680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1681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1680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1681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1680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1681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1680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1681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1680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1681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1680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1681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1680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1681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1682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1681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1682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1681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1682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1681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1682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1681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1682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1681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1682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1681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1682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1681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1682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1681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1682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1681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1682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1681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1682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1681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1682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1681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1682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1681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1682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1681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1682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1681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1682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1681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1682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1681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1682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1681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1682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1681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1682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1681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1682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1683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1682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1683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1682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1683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1682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1683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1682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1683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1682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1683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1682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1683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1682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1683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1682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1683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1682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1683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1682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1683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1682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1683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1682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1683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1682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1683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1682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1683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1682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1683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1682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1683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1682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1683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1682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1683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1682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1683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1682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1683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1682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1683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1682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1683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1682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1683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1682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1683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1682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1683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1682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1683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1682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1683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1682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1683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1682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1683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1682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1683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1682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1683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1682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1683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1682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1683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1682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1683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1682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1683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1682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1683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1682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1683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1682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1683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1682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1683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1682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1683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1682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1683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1682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1683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1682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1683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1684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1683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1684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1683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1684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1683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1684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1683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1684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1683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1684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1683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1684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1683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1684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1683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1684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1683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1684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1683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1684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1683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1684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1683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1684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1683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1684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1683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1684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1683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1684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1683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1684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1683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1684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1683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1684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1683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1684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1683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1684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1685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1684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1685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1684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1685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1684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1685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1684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1685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1684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1685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1684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1685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1684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1685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1684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1685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1684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1685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1684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1685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1684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1685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1684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1685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1684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1685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1684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1685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1684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1685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1684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1685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1684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1685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1684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1685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1684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1685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1684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1685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1684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1685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1684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1685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1684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1685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1684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1685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1684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1685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1684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1685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1684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1685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1684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1685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1684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1685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1684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1685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1684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1685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1684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1685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1684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1685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1684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1685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1684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1685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1684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1685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1684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1685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1684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1685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1684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1685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1684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1685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1684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1685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1684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1685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1684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1685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1686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1685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1686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1685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1686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1685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1686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1685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1686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1685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1686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1685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1686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1685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1686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1685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1686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1685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1686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1685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1686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1685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1686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1685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1686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1685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1686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1685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1686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1685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1686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1685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1686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1685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1686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1685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1686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1685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1686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1685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1686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1687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1686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1687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1686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1687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1686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1687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1686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1687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1686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1687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1686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1687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1686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1687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1686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1687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1686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1687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1686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1687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1686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1687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1686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1687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1686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1687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1686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1687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1686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1687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1686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1687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1686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1687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1686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1687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1686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1687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1686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1687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1686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1687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1686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1687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1686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1687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1686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1687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1686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1687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1686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1687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1686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1687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1686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1687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1686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1687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1686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1687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1686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1687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1686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1687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1686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1687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1686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1687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1686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1687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1686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1687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1686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1687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1686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1687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1686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1687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1686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1687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1686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1687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1686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1687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1686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1687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1688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1687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1688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1687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1688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1687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1688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1687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1688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1687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1688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1687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1688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1687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1688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1687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1688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1687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1688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1687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1688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1687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1688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1687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1688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1687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1688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1687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1688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1687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1688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1687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1688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1687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1688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1687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1688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1687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1688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1687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1688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1689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1688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1689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1688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1689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1688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1689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1688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1689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1688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1689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1688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1689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1688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1689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1688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1689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1688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1689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1688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1689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1688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1689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1688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1689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1688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1689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1688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1689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1688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1689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1688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1689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1688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1689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1688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1689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1688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1689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1688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1689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1688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1689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1688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1689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1688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1689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1688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1689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1688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1689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1688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1689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1688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1689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1688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1689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1688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1689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1688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1689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1688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1689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1688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1689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1688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1689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1688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1689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1688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1689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1688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1689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1688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1689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1688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1689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1688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1689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1688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1689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1688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1689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1688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1689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1688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1689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1690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1689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1690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1689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1690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1689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1690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1689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1690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1689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1690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1689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1690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1689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1690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1689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1690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1689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1690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1689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1690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1689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1690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1689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1690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1689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1690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1689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1690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1689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1690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1689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1690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1689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1690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1689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1690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1689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1690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1689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1690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1691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1690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1691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1690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1691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1690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1691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1690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1691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1690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1691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1690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1691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1690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1691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1690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1691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1690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1691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1690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1691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1690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1691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1690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1691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1690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1691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1690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1691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1690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1691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1690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1691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1690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1691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1690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1691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1690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1691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1690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1691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1690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1691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1690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1691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1690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1691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1690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1691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1690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1691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1690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1691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1690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1691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1690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1691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1690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1691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1690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1691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1690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1691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1690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1691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1690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1691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1690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1691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1690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1691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1690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1691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1690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1691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1690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1691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1690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1691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1690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1691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1690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1691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1690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1691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1690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1691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1692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1691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1692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1691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1692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1691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1692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1691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1692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1691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1692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1691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1692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1691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1692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1691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1692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1691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1692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1691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1692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1691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1692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1691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1692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1691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1692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1691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1692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1691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1692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1691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1692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1691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1692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1691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1692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1691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1692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1691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1692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1693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1692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1693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1692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1693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1692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1693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1692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1693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1692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1693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1692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1693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1692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1693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1692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1693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1692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1693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1692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1693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1692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1693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1692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1693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1692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1693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1692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1693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1692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1693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1692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1693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1692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1693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1692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1693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1692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1693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1692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1693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1692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1693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1692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1693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1692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1693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1692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1693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1692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1693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1692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1693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1692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1693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1692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1693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1692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1693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1692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1693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1692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1693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1692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1693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1692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1693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1692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1693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1692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1693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1692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1693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1692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1693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1692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1693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1692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1693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1692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1693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1692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1693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1692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1693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1692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1693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1694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1693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1694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1693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1694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1693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1694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1693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1694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1693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1694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1693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1694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1693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1694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1693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1694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1693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1694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1693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1694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1693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1694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1693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1694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1693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1694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1693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1694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1693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1694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1693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1694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1693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1694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1693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1694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1693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1694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1693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1694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665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665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665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665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666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665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1296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1164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1595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1596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1306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1294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1295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1167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1165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537"/>
  <sheetViews>
    <sheetView topLeftCell="A1504" workbookViewId="0">
      <selection activeCell="F1522" sqref="F1522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3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topLeftCell="A4" workbookViewId="0">
      <selection activeCell="E23" sqref="E23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78.83203125" customWidth="1"/>
  </cols>
  <sheetData>
    <row r="1" spans="1:8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8" x14ac:dyDescent="0.2">
      <c r="A2" t="s">
        <v>48</v>
      </c>
      <c r="B2">
        <v>0.95</v>
      </c>
      <c r="C2">
        <v>1.01</v>
      </c>
      <c r="D2" t="s">
        <v>1589</v>
      </c>
      <c r="E2" t="s">
        <v>1792</v>
      </c>
      <c r="F2" t="s">
        <v>1795</v>
      </c>
    </row>
    <row r="3" spans="1:8" x14ac:dyDescent="0.2">
      <c r="A3" t="s">
        <v>7</v>
      </c>
      <c r="B3">
        <v>1</v>
      </c>
      <c r="C3">
        <v>1</v>
      </c>
    </row>
    <row r="4" spans="1:8" x14ac:dyDescent="0.2">
      <c r="A4" t="s">
        <v>5</v>
      </c>
      <c r="B4">
        <v>0.98</v>
      </c>
      <c r="C4">
        <v>1</v>
      </c>
      <c r="E4" t="s">
        <v>1788</v>
      </c>
    </row>
    <row r="5" spans="1:8" x14ac:dyDescent="0.2">
      <c r="A5" t="s">
        <v>42</v>
      </c>
      <c r="B5">
        <v>1</v>
      </c>
      <c r="C5">
        <v>1.0149999999999999</v>
      </c>
      <c r="D5" t="s">
        <v>1794</v>
      </c>
    </row>
    <row r="6" spans="1:8" x14ac:dyDescent="0.2">
      <c r="A6" t="s">
        <v>32</v>
      </c>
      <c r="B6">
        <v>0.97</v>
      </c>
      <c r="C6">
        <v>1</v>
      </c>
      <c r="D6" t="s">
        <v>1739</v>
      </c>
      <c r="E6" t="s">
        <v>1785</v>
      </c>
      <c r="F6" s="71"/>
    </row>
    <row r="7" spans="1:8" x14ac:dyDescent="0.2">
      <c r="A7" t="s">
        <v>22</v>
      </c>
      <c r="B7">
        <v>0.98</v>
      </c>
      <c r="C7">
        <v>1</v>
      </c>
      <c r="D7" t="s">
        <v>1741</v>
      </c>
    </row>
    <row r="8" spans="1:8" x14ac:dyDescent="0.2">
      <c r="A8" t="s">
        <v>14</v>
      </c>
      <c r="B8">
        <v>0.95</v>
      </c>
      <c r="C8">
        <v>1</v>
      </c>
      <c r="D8" t="s">
        <v>1528</v>
      </c>
      <c r="E8" t="s">
        <v>1781</v>
      </c>
      <c r="F8" t="s">
        <v>1945</v>
      </c>
    </row>
    <row r="9" spans="1:8" x14ac:dyDescent="0.2">
      <c r="A9" t="s">
        <v>24</v>
      </c>
      <c r="B9">
        <v>0.97499999999999998</v>
      </c>
      <c r="C9">
        <v>1.0249999999999999</v>
      </c>
      <c r="D9" t="s">
        <v>1603</v>
      </c>
      <c r="E9" s="72" t="s">
        <v>1604</v>
      </c>
    </row>
    <row r="10" spans="1:8" x14ac:dyDescent="0.2">
      <c r="A10" t="s">
        <v>34</v>
      </c>
      <c r="B10">
        <v>0.96</v>
      </c>
      <c r="C10">
        <v>1</v>
      </c>
      <c r="D10" t="s">
        <v>1952</v>
      </c>
      <c r="G10" s="25" t="s">
        <v>1166</v>
      </c>
    </row>
    <row r="11" spans="1:8" x14ac:dyDescent="0.2">
      <c r="A11" t="s">
        <v>30</v>
      </c>
      <c r="B11">
        <v>1</v>
      </c>
      <c r="C11">
        <v>1</v>
      </c>
    </row>
    <row r="12" spans="1:8" x14ac:dyDescent="0.2">
      <c r="A12" t="s">
        <v>17</v>
      </c>
      <c r="B12">
        <v>0.94</v>
      </c>
      <c r="C12">
        <v>1.0149999999999999</v>
      </c>
      <c r="D12" t="s">
        <v>1944</v>
      </c>
      <c r="E12" t="s">
        <v>1946</v>
      </c>
    </row>
    <row r="13" spans="1:8" x14ac:dyDescent="0.2">
      <c r="A13" t="s">
        <v>10</v>
      </c>
      <c r="B13">
        <v>0.99</v>
      </c>
      <c r="C13">
        <v>1.04</v>
      </c>
      <c r="D13" t="s">
        <v>1293</v>
      </c>
      <c r="E13" t="s">
        <v>1602</v>
      </c>
    </row>
    <row r="14" spans="1:8" x14ac:dyDescent="0.2">
      <c r="A14" t="s">
        <v>28</v>
      </c>
      <c r="B14">
        <v>0.95</v>
      </c>
      <c r="C14">
        <v>1.0449999999999999</v>
      </c>
      <c r="D14" t="s">
        <v>1599</v>
      </c>
      <c r="E14" t="s">
        <v>1606</v>
      </c>
      <c r="F14" t="s">
        <v>1953</v>
      </c>
    </row>
    <row r="15" spans="1:8" x14ac:dyDescent="0.2">
      <c r="A15" t="s">
        <v>33</v>
      </c>
      <c r="B15">
        <v>0.94</v>
      </c>
      <c r="C15">
        <v>1.04</v>
      </c>
      <c r="D15" t="s">
        <v>1605</v>
      </c>
      <c r="E15" t="s">
        <v>1777</v>
      </c>
      <c r="F15" t="s">
        <v>1789</v>
      </c>
      <c r="G15" t="s">
        <v>1366</v>
      </c>
      <c r="H15" t="s">
        <v>1793</v>
      </c>
    </row>
    <row r="16" spans="1:8" x14ac:dyDescent="0.2">
      <c r="A16" t="s">
        <v>19</v>
      </c>
      <c r="B16">
        <v>0.98</v>
      </c>
      <c r="C16">
        <v>1</v>
      </c>
      <c r="D16" t="s">
        <v>1786</v>
      </c>
      <c r="E16" t="s">
        <v>1947</v>
      </c>
      <c r="F16" t="s">
        <v>1948</v>
      </c>
    </row>
    <row r="17" spans="1:7" x14ac:dyDescent="0.2">
      <c r="A17" t="s">
        <v>4</v>
      </c>
      <c r="B17">
        <v>0.99</v>
      </c>
      <c r="C17">
        <v>1.02</v>
      </c>
      <c r="D17" t="s">
        <v>1941</v>
      </c>
      <c r="E17" t="s">
        <v>1443</v>
      </c>
      <c r="F17" t="s">
        <v>1949</v>
      </c>
    </row>
    <row r="18" spans="1:7" x14ac:dyDescent="0.2">
      <c r="A18" t="s">
        <v>35</v>
      </c>
      <c r="B18">
        <v>1</v>
      </c>
      <c r="C18">
        <v>1</v>
      </c>
      <c r="D18" t="s">
        <v>1441</v>
      </c>
    </row>
    <row r="19" spans="1:7" x14ac:dyDescent="0.2">
      <c r="A19" t="s">
        <v>37</v>
      </c>
      <c r="B19">
        <v>0.94</v>
      </c>
      <c r="C19">
        <v>1.01</v>
      </c>
      <c r="D19" t="s">
        <v>940</v>
      </c>
      <c r="E19" t="s">
        <v>1073</v>
      </c>
      <c r="F19" t="s">
        <v>1600</v>
      </c>
    </row>
    <row r="20" spans="1:7" x14ac:dyDescent="0.2">
      <c r="A20" t="s">
        <v>20</v>
      </c>
      <c r="B20">
        <v>0.99</v>
      </c>
      <c r="C20">
        <v>1.03</v>
      </c>
      <c r="D20" t="s">
        <v>1740</v>
      </c>
    </row>
    <row r="21" spans="1:7" x14ac:dyDescent="0.2">
      <c r="A21" t="s">
        <v>39</v>
      </c>
      <c r="B21">
        <v>1</v>
      </c>
      <c r="C21">
        <v>1</v>
      </c>
    </row>
    <row r="22" spans="1:7" x14ac:dyDescent="0.2">
      <c r="A22" t="s">
        <v>43</v>
      </c>
      <c r="B22">
        <v>0.99</v>
      </c>
      <c r="C22">
        <v>1.03</v>
      </c>
      <c r="D22" t="s">
        <v>1168</v>
      </c>
      <c r="F22" t="s">
        <v>1942</v>
      </c>
    </row>
    <row r="23" spans="1:7" x14ac:dyDescent="0.2">
      <c r="A23" t="s">
        <v>21</v>
      </c>
      <c r="B23">
        <v>1</v>
      </c>
      <c r="C23">
        <v>1.05</v>
      </c>
      <c r="D23" t="s">
        <v>1784</v>
      </c>
      <c r="E23" t="s">
        <v>1951</v>
      </c>
    </row>
    <row r="24" spans="1:7" x14ac:dyDescent="0.2">
      <c r="A24" t="s">
        <v>13</v>
      </c>
      <c r="B24">
        <v>1</v>
      </c>
      <c r="C24">
        <v>1</v>
      </c>
      <c r="G24" t="s">
        <v>1440</v>
      </c>
    </row>
    <row r="25" spans="1:7" x14ac:dyDescent="0.2">
      <c r="A25" t="s">
        <v>40</v>
      </c>
      <c r="B25">
        <v>0.98499999999999999</v>
      </c>
      <c r="C25">
        <v>1</v>
      </c>
      <c r="D25" t="s">
        <v>904</v>
      </c>
    </row>
    <row r="26" spans="1:7" x14ac:dyDescent="0.2">
      <c r="A26" t="s">
        <v>12</v>
      </c>
      <c r="B26">
        <v>0.95</v>
      </c>
      <c r="C26">
        <v>1.01</v>
      </c>
      <c r="D26" t="s">
        <v>1780</v>
      </c>
      <c r="E26" t="s">
        <v>1955</v>
      </c>
      <c r="F26" t="s">
        <v>1956</v>
      </c>
    </row>
    <row r="27" spans="1:7" x14ac:dyDescent="0.2">
      <c r="A27" t="s">
        <v>41</v>
      </c>
      <c r="B27">
        <v>0.93</v>
      </c>
      <c r="C27">
        <v>1.05</v>
      </c>
      <c r="D27" t="s">
        <v>1442</v>
      </c>
      <c r="E27" t="s">
        <v>1782</v>
      </c>
      <c r="F27" t="s">
        <v>1783</v>
      </c>
      <c r="G27" t="s">
        <v>1954</v>
      </c>
    </row>
    <row r="28" spans="1:7" x14ac:dyDescent="0.2">
      <c r="A28" t="s">
        <v>18</v>
      </c>
      <c r="B28">
        <v>0.96</v>
      </c>
      <c r="C28">
        <v>1.01</v>
      </c>
      <c r="D28" t="s">
        <v>1590</v>
      </c>
      <c r="E28" t="s">
        <v>1790</v>
      </c>
    </row>
    <row r="29" spans="1:7" x14ac:dyDescent="0.2">
      <c r="A29" t="s">
        <v>15</v>
      </c>
      <c r="B29">
        <v>0.96</v>
      </c>
      <c r="C29">
        <v>1</v>
      </c>
      <c r="D29" t="s">
        <v>1212</v>
      </c>
      <c r="E29" t="s">
        <v>1787</v>
      </c>
    </row>
    <row r="30" spans="1:7" x14ac:dyDescent="0.2">
      <c r="A30" t="s">
        <v>23</v>
      </c>
      <c r="B30">
        <v>0.96499999999999997</v>
      </c>
      <c r="C30">
        <v>1.02</v>
      </c>
      <c r="D30" t="s">
        <v>1779</v>
      </c>
      <c r="E30" t="s">
        <v>528</v>
      </c>
      <c r="F30" t="s">
        <v>1778</v>
      </c>
    </row>
    <row r="31" spans="1:7" x14ac:dyDescent="0.2">
      <c r="A31" t="s">
        <v>25</v>
      </c>
      <c r="B31">
        <v>0.97499999999999998</v>
      </c>
      <c r="C31">
        <v>1.02</v>
      </c>
      <c r="D31" t="s">
        <v>1439</v>
      </c>
      <c r="E31" t="s">
        <v>1601</v>
      </c>
      <c r="F31" t="s">
        <v>1775</v>
      </c>
      <c r="G31" t="s">
        <v>1776</v>
      </c>
    </row>
    <row r="32" spans="1:7" x14ac:dyDescent="0.2">
      <c r="A32" t="s">
        <v>16</v>
      </c>
      <c r="B32">
        <v>1</v>
      </c>
      <c r="C32">
        <v>1.02</v>
      </c>
      <c r="D32" t="s">
        <v>1943</v>
      </c>
    </row>
    <row r="33" spans="1:6" x14ac:dyDescent="0.2">
      <c r="A33" t="s">
        <v>49</v>
      </c>
      <c r="B33">
        <v>0.96</v>
      </c>
      <c r="C33">
        <v>1</v>
      </c>
      <c r="D33" t="s">
        <v>692</v>
      </c>
      <c r="F33" t="s">
        <v>1791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29" zoomScaleNormal="91" workbookViewId="0">
      <selection activeCell="D59" sqref="D59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1305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1598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1597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3.1204106601142572</v>
      </c>
      <c r="M2" s="5" cm="1">
        <f t="array" ref="M2">INDEX('2026'!AM:AM, MAX(_xlfn._xlws.FILTER(ROW('2026'!E:E), ('2026'!E:E=Goalies!C2)*('2026'!AM:AM&lt;&gt;""))))</f>
        <v>3.37</v>
      </c>
      <c r="N2" s="5">
        <f t="shared" ref="N2:N33" si="2">J2*M2</f>
        <v>3.2688999999999999</v>
      </c>
      <c r="O2" s="5" cm="1">
        <f t="array" ref="O2">IFERROR(INDEX('2026'!AO:AO, MAX(_xlfn._xlws.FILTER(ROW('2026'!I:I), ('2026'!I:I=Goalies!B2)*('2026'!AO:AO&lt;&gt;"")))),"")</f>
        <v>3.3103471329870824</v>
      </c>
      <c r="P2" s="65">
        <f>M2*J2</f>
        <v>3.2688999999999999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3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4">AB2-AA2</f>
        <v>7.0499999999999972</v>
      </c>
      <c r="AD2">
        <f t="shared" ref="AD2:AD34" si="5">SUM(T2,Z2)</f>
        <v>1370</v>
      </c>
      <c r="AE2">
        <f t="shared" ref="AE2:AE34" si="6">SUM(X2+AC2)</f>
        <v>11.549999999999997</v>
      </c>
      <c r="AF2" s="7">
        <f t="shared" ref="AF2:AF34" si="7">AE2/AD2</f>
        <v>8.4306569343065678E-3</v>
      </c>
      <c r="AG2" s="37">
        <f t="shared" ref="AG2:AG34" si="8">AF2+0.9</f>
        <v>0.90843065693430658</v>
      </c>
      <c r="AH2" s="60">
        <f t="shared" ref="AH2:AH34" si="9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0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1">E3*F3</f>
        <v>18.383297180043382</v>
      </c>
      <c r="H3" s="7">
        <f>SUMIFS(G:G,C:C,C3)/82</f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3.1204106601142572</v>
      </c>
      <c r="M3" s="5" cm="1">
        <f t="array" ref="M3">INDEX('2026'!AM:AM, MAX(_xlfn._xlws.FILTER(ROW('2026'!E:E), ('2026'!E:E=Goalies!C3)*('2026'!AM:AM&lt;&gt;""))))</f>
        <v>3.37</v>
      </c>
      <c r="N3" s="5">
        <f t="shared" si="2"/>
        <v>3.4879499999999997</v>
      </c>
      <c r="O3" s="5" cm="1">
        <f t="array" ref="O3">IFERROR(INDEX('2026'!AO:AO, MAX(_xlfn._xlws.FILTER(ROW('2026'!I:I), ('2026'!I:I=Goalies!B3)*('2026'!AO:AO&lt;&gt;"")))),"")</f>
        <v>3.4136087788085634</v>
      </c>
      <c r="P3" s="65">
        <f t="shared" ref="P3:P67" si="12">M3*J3</f>
        <v>3.4879499999999997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3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4"/>
        <v>-2.5</v>
      </c>
      <c r="AD3">
        <f t="shared" si="5"/>
        <v>922</v>
      </c>
      <c r="AE3">
        <f t="shared" si="6"/>
        <v>-3</v>
      </c>
      <c r="AF3" s="7">
        <f t="shared" si="7"/>
        <v>-3.2537960954446853E-3</v>
      </c>
      <c r="AG3" s="37">
        <f t="shared" si="8"/>
        <v>0.89674620390455528</v>
      </c>
      <c r="AH3" s="60">
        <f t="shared" si="9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3">AH3/AI3</f>
        <v>1.0642522035356803</v>
      </c>
      <c r="AK3" s="98">
        <f t="shared" si="10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1165</v>
      </c>
      <c r="E4" s="6">
        <v>20.5</v>
      </c>
      <c r="F4" s="7">
        <f t="shared" si="1"/>
        <v>0.89995670995670995</v>
      </c>
      <c r="G4">
        <f t="shared" si="11"/>
        <v>18.449112554112553</v>
      </c>
      <c r="H4" s="7">
        <f>SUMIFS(G:G,C:C,C4)/82</f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3.1204106601142572</v>
      </c>
      <c r="M4" s="5" cm="1">
        <f t="array" ref="M4">INDEX('2026'!AM:AM, MAX(_xlfn._xlws.FILTER(ROW('2026'!E:E), ('2026'!E:E=Goalies!C4)*('2026'!AM:AM&lt;&gt;""))))</f>
        <v>3.37</v>
      </c>
      <c r="N4" s="5">
        <f t="shared" si="2"/>
        <v>3.5385000000000004</v>
      </c>
      <c r="O4" s="5" cm="1">
        <f t="array" ref="O4">IFERROR(INDEX('2026'!AO:AO, MAX(_xlfn._xlws.FILTER(ROW('2026'!I:I), ('2026'!I:I=Goalies!B4)*('2026'!AO:AO&lt;&gt;"")))),"")</f>
        <v>3.3497393489345262</v>
      </c>
      <c r="P4" s="65">
        <f t="shared" si="12"/>
        <v>3.5385000000000004</v>
      </c>
      <c r="Q4" s="6">
        <v>10</v>
      </c>
      <c r="R4" t="s">
        <v>48</v>
      </c>
      <c r="S4" t="s">
        <v>1165</v>
      </c>
      <c r="T4">
        <v>700</v>
      </c>
      <c r="U4">
        <v>629.5</v>
      </c>
      <c r="V4">
        <v>70.5</v>
      </c>
      <c r="W4">
        <v>70</v>
      </c>
      <c r="X4">
        <f t="shared" si="3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4"/>
        <v>0.46000000000000085</v>
      </c>
      <c r="AD4">
        <f t="shared" si="5"/>
        <v>924</v>
      </c>
      <c r="AE4">
        <f t="shared" si="6"/>
        <v>-3.9999999999999147E-2</v>
      </c>
      <c r="AF4" s="7">
        <f t="shared" si="7"/>
        <v>-4.3290043290042368E-5</v>
      </c>
      <c r="AG4" s="37">
        <f t="shared" si="8"/>
        <v>0.89995670995670995</v>
      </c>
      <c r="AH4" s="60">
        <f t="shared" si="9"/>
        <v>3.0017623361635182</v>
      </c>
      <c r="AI4" s="60" cm="1">
        <f t="array" ref="AI4">SUMPRODUCT(($R$2:$R$1017=R4)*($Q$2:$Q$1017)*($AH$2:$AH$1017))/82</f>
        <v>2.9110509576771952</v>
      </c>
      <c r="AJ4" s="5">
        <f t="shared" si="13"/>
        <v>1.0311610410828067</v>
      </c>
      <c r="AK4" s="98">
        <f t="shared" si="10"/>
        <v>1.05</v>
      </c>
      <c r="AL4" s="5"/>
      <c r="AM4" s="7"/>
      <c r="AN4" s="91"/>
      <c r="AO4" s="37"/>
      <c r="AP4" s="7"/>
      <c r="AR4" s="75" t="s">
        <v>247</v>
      </c>
      <c r="AS4" s="75" t="s">
        <v>1177</v>
      </c>
      <c r="AT4" s="75" t="s">
        <v>48</v>
      </c>
      <c r="AU4" s="75" t="s">
        <v>1165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1165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1"/>
        <v>48.964909754479102</v>
      </c>
      <c r="H5" s="7">
        <f>SUMIFS(G:G,C:C,C5)/82</f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2.9318876310919304</v>
      </c>
      <c r="M5" s="5" cm="1">
        <f t="array" ref="M5">INDEX('2026'!AM:AM, MAX(_xlfn._xlws.FILTER(ROW('2026'!E:E), ('2026'!E:E=Goalies!C5)*('2026'!AM:AM&lt;&gt;""))))</f>
        <v>3.0640667389033434</v>
      </c>
      <c r="N5" s="5">
        <f t="shared" si="2"/>
        <v>2.9874650704307597</v>
      </c>
      <c r="O5" s="5" cm="1">
        <f t="array" ref="O5">IFERROR(INDEX('2026'!AO:AO, MAX(_xlfn._xlws.FILTER(ROW('2026'!I:I), ('2026'!I:I=Goalies!B5)*('2026'!AO:AO&lt;&gt;"")))),"")</f>
        <v>3.0951625590564968</v>
      </c>
      <c r="P5" s="65">
        <f>M5*J5</f>
        <v>2.9874650704307597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3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4"/>
        <v>21.629999999999995</v>
      </c>
      <c r="AD5">
        <f t="shared" si="5"/>
        <v>1507</v>
      </c>
      <c r="AE5">
        <f t="shared" si="6"/>
        <v>28.129999999999995</v>
      </c>
      <c r="AF5" s="7">
        <f t="shared" si="7"/>
        <v>1.8666224286662241E-2</v>
      </c>
      <c r="AG5" s="37">
        <f t="shared" si="8"/>
        <v>0.91866622428666223</v>
      </c>
      <c r="AH5" s="60">
        <f t="shared" si="9"/>
        <v>2.2818117278575301</v>
      </c>
      <c r="AI5" s="60" cm="1">
        <f t="array" ref="AI5">SUMPRODUCT(($R$2:$R$1017=R5)*($Q$2:$Q$1017)*($AH$2:$AH$1017))/82</f>
        <v>2.4777694194990669</v>
      </c>
      <c r="AJ5" s="5">
        <f t="shared" si="13"/>
        <v>0.92091366932716689</v>
      </c>
      <c r="AK5" s="98">
        <f t="shared" si="10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1"/>
        <v>25.792967741935481</v>
      </c>
      <c r="H6" s="7">
        <f>SUMIFS(G:G,C:C,C6)/82</f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2.9318876310919304</v>
      </c>
      <c r="M6" s="5" cm="1">
        <f t="array" ref="M6">INDEX('2026'!AM:AM, MAX(_xlfn._xlws.FILTER(ROW('2026'!E:E), ('2026'!E:E=Goalies!C6)*('2026'!AM:AM&lt;&gt;""))))</f>
        <v>3.0640667389033434</v>
      </c>
      <c r="N6" s="5">
        <f t="shared" si="2"/>
        <v>3.1866294084594773</v>
      </c>
      <c r="O6" s="5" cm="1">
        <f t="array" ref="O6">IFERROR(INDEX('2026'!AO:AO, MAX(_xlfn._xlws.FILTER(ROW('2026'!I:I), ('2026'!I:I=Goalies!B6)*('2026'!AO:AO&lt;&gt;"")))),"")</f>
        <v>3.2320515718355916</v>
      </c>
      <c r="P6" s="65">
        <f>M6*J6</f>
        <v>3.1866294084594773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3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4"/>
        <v>-0.93999999999999773</v>
      </c>
      <c r="AD6">
        <f t="shared" si="5"/>
        <v>1116</v>
      </c>
      <c r="AE6">
        <f t="shared" si="6"/>
        <v>-1.4399999999999977</v>
      </c>
      <c r="AF6" s="7">
        <f t="shared" si="7"/>
        <v>-1.2903225806451593E-3</v>
      </c>
      <c r="AG6" s="37">
        <f t="shared" si="8"/>
        <v>0.89870967741935481</v>
      </c>
      <c r="AH6" s="60">
        <f t="shared" si="9"/>
        <v>2.8416908468333499</v>
      </c>
      <c r="AI6" s="60" cm="1">
        <f t="array" ref="AI6">SUMPRODUCT(($R$2:$R$1017=R6)*($Q$2:$Q$1017)*($AH$2:$AH$1017))/82</f>
        <v>2.4777694194990669</v>
      </c>
      <c r="AJ6" s="5">
        <f t="shared" si="13"/>
        <v>1.1468746141066901</v>
      </c>
      <c r="AK6" s="98">
        <f t="shared" si="10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1"/>
        <v>37.167163886162903</v>
      </c>
      <c r="H7" s="7">
        <f>SUMIFS(G:G,C:C,C7)/82</f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3.0954569936043623</v>
      </c>
      <c r="M7" s="5" cm="1">
        <f t="array" ref="M7">INDEX('2026'!AM:AM, MAX(_xlfn._xlws.FILTER(ROW('2026'!E:E), ('2026'!E:E=Goalies!C7)*('2026'!AM:AM&lt;&gt;""))))</f>
        <v>3.0585090047302281</v>
      </c>
      <c r="N7" s="5">
        <f t="shared" si="2"/>
        <v>3.1043866398011812</v>
      </c>
      <c r="O7" s="5" cm="1">
        <f t="array" ref="O7">IFERROR(INDEX('2026'!AO:AO, MAX(_xlfn._xlws.FILTER(ROW('2026'!I:I), ('2026'!I:I=Goalies!B7)*('2026'!AO:AO&lt;&gt;"")))),"")</f>
        <v>3.1550157853695722</v>
      </c>
      <c r="P7" s="65">
        <f t="shared" si="12"/>
        <v>3.1043866398011812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3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4"/>
        <v>4.1400000000000006</v>
      </c>
      <c r="AD7">
        <f t="shared" si="5"/>
        <v>1019</v>
      </c>
      <c r="AE7">
        <f t="shared" si="6"/>
        <v>6.6400000000000006</v>
      </c>
      <c r="AF7" s="7">
        <f t="shared" si="7"/>
        <v>6.5161923454367032E-3</v>
      </c>
      <c r="AG7" s="37">
        <f t="shared" si="8"/>
        <v>0.90651619234543668</v>
      </c>
      <c r="AH7" s="60">
        <f t="shared" si="9"/>
        <v>2.6470237482628911</v>
      </c>
      <c r="AI7" s="60" cm="1">
        <f t="array" ref="AI7">SUMPRODUCT(($R$2:$R$1017=R7)*($Q$2:$Q$1017)*($AH$2:$AH$1017))/82</f>
        <v>2.638292157862792</v>
      </c>
      <c r="AJ7" s="5">
        <f t="shared" si="13"/>
        <v>1.0033095615942595</v>
      </c>
      <c r="AK7" s="98">
        <f t="shared" si="10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1"/>
        <v>26.113398431372548</v>
      </c>
      <c r="H8" s="7">
        <f>SUMIFS(G:G,C:C,C8)/82</f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3.0954569936043623</v>
      </c>
      <c r="M8" s="5" cm="1">
        <f t="array" ref="M8">INDEX('2026'!AM:AM, MAX(_xlfn._xlws.FILTER(ROW('2026'!E:E), ('2026'!E:E=Goalies!C8)*('2026'!AM:AM&lt;&gt;""))))</f>
        <v>3.0585090047302281</v>
      </c>
      <c r="N8" s="5">
        <f t="shared" si="2"/>
        <v>3.0279239146829258</v>
      </c>
      <c r="O8" s="5" cm="1">
        <f t="array" ref="O8">IFERROR(INDEX('2026'!AO:AO, MAX(_xlfn._xlws.FILTER(ROW('2026'!I:I), ('2026'!I:I=Goalies!B8)*('2026'!AO:AO&lt;&gt;"")))),"")</f>
        <v>3.1880743513572143</v>
      </c>
      <c r="P8" s="65">
        <f t="shared" si="12"/>
        <v>3.0279239146829258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3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4"/>
        <v>10.090000000000003</v>
      </c>
      <c r="AD8">
        <f t="shared" si="5"/>
        <v>1275</v>
      </c>
      <c r="AE8">
        <f t="shared" si="6"/>
        <v>12.590000000000003</v>
      </c>
      <c r="AF8" s="7">
        <f t="shared" si="7"/>
        <v>9.8745098039215717E-3</v>
      </c>
      <c r="AG8" s="37">
        <f t="shared" si="8"/>
        <v>0.90987450980392159</v>
      </c>
      <c r="AH8" s="60">
        <f t="shared" si="9"/>
        <v>2.5519319212412142</v>
      </c>
      <c r="AI8" s="60" cm="1">
        <f t="array" ref="AI8">SUMPRODUCT(($R$2:$R$1017=R8)*($Q$2:$Q$1017)*($AH$2:$AH$1017))/82</f>
        <v>2.638292157862792</v>
      </c>
      <c r="AJ8" s="5">
        <f t="shared" si="13"/>
        <v>0.96726661360675992</v>
      </c>
      <c r="AK8" s="98">
        <f t="shared" si="10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1"/>
        <v>0</v>
      </c>
      <c r="H9" s="7">
        <f>SUMIFS(G:G,C:C,C9)/82</f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3.0954569936043623</v>
      </c>
      <c r="M9" s="5" cm="1">
        <f t="array" ref="M9">INDEX('2026'!AM:AM, MAX(_xlfn._xlws.FILTER(ROW('2026'!E:E), ('2026'!E:E=Goalies!C9)*('2026'!AM:AM&lt;&gt;""))))</f>
        <v>3.0585090047302281</v>
      </c>
      <c r="N9" s="5">
        <f t="shared" si="2"/>
        <v>3.1531613500418145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2"/>
        <v>3.1531613500418145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3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4"/>
        <v>0</v>
      </c>
      <c r="AD9">
        <f t="shared" si="5"/>
        <v>700</v>
      </c>
      <c r="AE9">
        <f t="shared" si="6"/>
        <v>1</v>
      </c>
      <c r="AF9" s="7">
        <f t="shared" si="7"/>
        <v>1.4285714285714286E-3</v>
      </c>
      <c r="AG9" s="37">
        <f t="shared" si="8"/>
        <v>0.90142857142857147</v>
      </c>
      <c r="AH9" s="60">
        <f t="shared" si="9"/>
        <v>2.7910813527505476</v>
      </c>
      <c r="AI9" s="60" cm="1">
        <f t="array" ref="AI9">SUMPRODUCT(($R$2:$R$1017=R9)*($Q$2:$Q$1017)*($AH$2:$AH$1017))/82</f>
        <v>2.638292157862792</v>
      </c>
      <c r="AJ9" s="5">
        <f t="shared" si="13"/>
        <v>1.0579121589822433</v>
      </c>
      <c r="AK9" s="98">
        <f t="shared" si="10"/>
        <v>1.0309472181266097</v>
      </c>
      <c r="AL9" s="5"/>
      <c r="AM9" s="7"/>
      <c r="AN9" s="91"/>
      <c r="AO9" s="37"/>
      <c r="AR9" s="75" t="s">
        <v>248</v>
      </c>
      <c r="AS9" s="75" t="s">
        <v>1297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1298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1"/>
        <v>11.085939524838013</v>
      </c>
      <c r="H10" s="7">
        <f>SUMIFS(G:G,C:C,C10)/82</f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3.0954569936043623</v>
      </c>
      <c r="M10" s="5" cm="1">
        <f t="array" ref="M10">INDEX('2026'!AM:AM, MAX(_xlfn._xlws.FILTER(ROW('2026'!E:E), ('2026'!E:E=Goalies!C10)*('2026'!AM:AM&lt;&gt;""))))</f>
        <v>3.0585090047302281</v>
      </c>
      <c r="N10" s="5">
        <f t="shared" si="2"/>
        <v>3.1808493649194371</v>
      </c>
      <c r="O10" s="5" cm="1">
        <f t="array" ref="O10">IFERROR(INDEX('2026'!AO:AO, MAX(_xlfn._xlws.FILTER(ROW('2026'!I:I), ('2026'!I:I=Goalies!B10)*('2026'!AO:AO&lt;&gt;"")))),"")</f>
        <v>3.247986670597828</v>
      </c>
      <c r="P10" s="65">
        <f t="shared" si="12"/>
        <v>3.1808493649194371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3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4"/>
        <v>0.19999999999999929</v>
      </c>
      <c r="AD10">
        <f t="shared" si="5"/>
        <v>926</v>
      </c>
      <c r="AE10">
        <f t="shared" si="6"/>
        <v>1.1999999999999993</v>
      </c>
      <c r="AF10" s="7">
        <f t="shared" si="7"/>
        <v>1.2958963282937357E-3</v>
      </c>
      <c r="AG10" s="37">
        <f t="shared" si="8"/>
        <v>0.90129589632829377</v>
      </c>
      <c r="AH10" s="60">
        <f t="shared" si="9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3"/>
        <v>1.0593360868263675</v>
      </c>
      <c r="AK10" s="98">
        <f t="shared" si="10"/>
        <v>1.04</v>
      </c>
      <c r="AL10" s="5"/>
      <c r="AM10" s="7"/>
      <c r="AN10" s="91"/>
      <c r="AO10" s="37"/>
      <c r="AR10" s="75" t="s">
        <v>248</v>
      </c>
      <c r="AS10" s="75" t="s">
        <v>920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1"/>
        <v>52.132031936127746</v>
      </c>
      <c r="H11" s="7">
        <f>SUMIFS(G:G,C:C,C11)/82</f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2.7569290051543587</v>
      </c>
      <c r="M11" s="5" cm="1">
        <f t="array" ref="M11">INDEX('2026'!AM:AM, MAX(_xlfn._xlws.FILTER(ROW('2026'!E:E), ('2026'!E:E=Goalies!C11)*('2026'!AM:AM&lt;&gt;""))))</f>
        <v>3.2152184646318105</v>
      </c>
      <c r="N11" s="5">
        <f t="shared" si="2"/>
        <v>3.1669901876623334</v>
      </c>
      <c r="O11" s="5" cm="1">
        <f t="array" ref="O11">IFERROR(INDEX('2026'!AO:AO, MAX(_xlfn._xlws.FILTER(ROW('2026'!I:I), ('2026'!I:I=Goalies!B11)*('2026'!AO:AO&lt;&gt;"")))),"")</f>
        <v>3.1696136408700748</v>
      </c>
      <c r="P11" s="65">
        <f t="shared" si="12"/>
        <v>3.1669901876623334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3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4"/>
        <v>8.86</v>
      </c>
      <c r="AD11">
        <f t="shared" si="5"/>
        <v>1503</v>
      </c>
      <c r="AE11">
        <f t="shared" si="6"/>
        <v>12.36</v>
      </c>
      <c r="AF11" s="7">
        <f t="shared" si="7"/>
        <v>8.2235528942115766E-3</v>
      </c>
      <c r="AG11" s="37">
        <f t="shared" si="8"/>
        <v>0.90822355289421164</v>
      </c>
      <c r="AH11" s="60">
        <f t="shared" si="9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3"/>
        <v>0.99799003131669695</v>
      </c>
      <c r="AK11" s="98">
        <f t="shared" si="10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1"/>
        <v>22.327142578124999</v>
      </c>
      <c r="H12" s="7">
        <f>SUMIFS(G:G,C:C,C12)/82</f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2.7569290051543587</v>
      </c>
      <c r="M12" s="5" cm="1">
        <f t="array" ref="M12">INDEX('2026'!AM:AM, MAX(_xlfn._xlws.FILTER(ROW('2026'!E:E), ('2026'!E:E=Goalies!C12)*('2026'!AM:AM&lt;&gt;""))))</f>
        <v>3.2152184646318105</v>
      </c>
      <c r="N12" s="5">
        <f t="shared" si="2"/>
        <v>3.2795228339244469</v>
      </c>
      <c r="O12" s="5" cm="1">
        <f t="array" ref="O12">IFERROR(INDEX('2026'!AO:AO, MAX(_xlfn._xlws.FILTER(ROW('2026'!I:I), ('2026'!I:I=Goalies!B12)*('2026'!AO:AO&lt;&gt;"")))),"")</f>
        <v>3.2627223618475951</v>
      </c>
      <c r="P12" s="65">
        <f t="shared" si="12"/>
        <v>3.2795228339244469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3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4"/>
        <v>12.79</v>
      </c>
      <c r="AD12">
        <f t="shared" si="5"/>
        <v>1024</v>
      </c>
      <c r="AE12">
        <f t="shared" si="6"/>
        <v>7.7899999999999991</v>
      </c>
      <c r="AF12" s="7">
        <f t="shared" si="7"/>
        <v>7.6074218749999992E-3</v>
      </c>
      <c r="AG12" s="37">
        <f t="shared" si="8"/>
        <v>0.90760742187499999</v>
      </c>
      <c r="AH12" s="60">
        <f t="shared" si="9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3"/>
        <v>1.0046899269277076</v>
      </c>
      <c r="AK12" s="98">
        <f t="shared" si="10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1"/>
        <v>0</v>
      </c>
      <c r="H13" s="7">
        <f>SUMIFS(G:G,C:C,C13)/82</f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2.7569290051543587</v>
      </c>
      <c r="M13" s="5" cm="1">
        <f t="array" ref="M13">INDEX('2026'!AM:AM, MAX(_xlfn._xlws.FILTER(ROW('2026'!E:E), ('2026'!E:E=Goalies!C13)*('2026'!AM:AM&lt;&gt;""))))</f>
        <v>3.2152184646318105</v>
      </c>
      <c r="N13" s="5">
        <f t="shared" si="2"/>
        <v>3.4116466023424357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2"/>
        <v>3.4116466023424357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3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4"/>
        <v>0</v>
      </c>
      <c r="AD13">
        <f t="shared" si="5"/>
        <v>700</v>
      </c>
      <c r="AE13">
        <f>SUM(X13+AC13)</f>
        <v>-5</v>
      </c>
      <c r="AF13" s="7">
        <f t="shared" si="7"/>
        <v>-7.1428571428571426E-3</v>
      </c>
      <c r="AG13" s="37">
        <f t="shared" si="8"/>
        <v>0.8928571428571429</v>
      </c>
      <c r="AH13" s="60">
        <f t="shared" si="9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3"/>
        <v>1.1650865415623222</v>
      </c>
      <c r="AK13" s="98">
        <f t="shared" si="10"/>
        <v>1.0610932475884245</v>
      </c>
      <c r="AL13" s="5"/>
      <c r="AM13" s="7"/>
      <c r="AN13" s="91"/>
      <c r="AO13" s="37"/>
      <c r="AR13" s="75" t="s">
        <v>248</v>
      </c>
      <c r="AS13" s="75" t="s">
        <v>1299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1298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1"/>
        <v>34.741707818181816</v>
      </c>
      <c r="H14" s="7">
        <f>SUMIFS(G:G,C:C,C14)/82</f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3.3597834286696355</v>
      </c>
      <c r="M14" s="5" cm="1">
        <f t="array" ref="M14">INDEX('2026'!AM:AM, MAX(_xlfn._xlws.FILTER(ROW('2026'!E:E), ('2026'!E:E=Goalies!C14)*('2026'!AM:AM&lt;&gt;""))))</f>
        <v>2.7460200807574955</v>
      </c>
      <c r="N14" s="5">
        <f t="shared" si="2"/>
        <v>2.8695909843915826</v>
      </c>
      <c r="O14" s="5" cm="1">
        <f t="array" ref="O14">IFERROR(INDEX('2026'!AO:AO, MAX(_xlfn._xlws.FILTER(ROW('2026'!I:I), ('2026'!I:I=Goalies!B14)*('2026'!AO:AO&lt;&gt;"")))),"")</f>
        <v>2.7557745382940673</v>
      </c>
      <c r="P14" s="65">
        <f t="shared" si="12"/>
        <v>2.8695909843915826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3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4"/>
        <v>-3.4099999999999966</v>
      </c>
      <c r="AD14">
        <f t="shared" si="5"/>
        <v>1100</v>
      </c>
      <c r="AE14">
        <f t="shared" si="6"/>
        <v>1.5900000000000034</v>
      </c>
      <c r="AF14" s="7">
        <f t="shared" si="7"/>
        <v>1.4454545454545486E-3</v>
      </c>
      <c r="AG14" s="37">
        <f t="shared" si="8"/>
        <v>0.90144545454545455</v>
      </c>
      <c r="AH14" s="60">
        <f t="shared" si="9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3"/>
        <v>1.0527601163861551</v>
      </c>
      <c r="AK14" s="98">
        <f t="shared" si="10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1"/>
        <v>27.468132581736192</v>
      </c>
      <c r="H15" s="7">
        <f>SUMIFS(G:G,C:C,C15)/82</f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3.3597834286696355</v>
      </c>
      <c r="M15" s="5" cm="1">
        <f t="array" ref="M15">INDEX('2026'!AM:AM, MAX(_xlfn._xlws.FILTER(ROW('2026'!E:E), ('2026'!E:E=Goalies!C15)*('2026'!AM:AM&lt;&gt;""))))</f>
        <v>2.7460200807574955</v>
      </c>
      <c r="N15" s="5">
        <f t="shared" si="2"/>
        <v>2.7734802815650705</v>
      </c>
      <c r="O15" s="5" cm="1">
        <f t="array" ref="O15">IFERROR(INDEX('2026'!AO:AO, MAX(_xlfn._xlws.FILTER(ROW('2026'!I:I), ('2026'!I:I=Goalies!B15)*('2026'!AO:AO&lt;&gt;"")))),"")</f>
        <v>2.6900446052031679</v>
      </c>
      <c r="P15" s="65">
        <f t="shared" si="12"/>
        <v>2.7734802815650705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3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4"/>
        <v>0.73999999999999844</v>
      </c>
      <c r="AD15">
        <f t="shared" si="5"/>
        <v>887</v>
      </c>
      <c r="AE15">
        <f t="shared" si="6"/>
        <v>4.7399999999999984</v>
      </c>
      <c r="AF15" s="7">
        <f t="shared" si="7"/>
        <v>5.3438556933483638E-3</v>
      </c>
      <c r="AG15" s="37">
        <f t="shared" si="8"/>
        <v>0.90534385569334841</v>
      </c>
      <c r="AH15" s="60">
        <f t="shared" si="9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3"/>
        <v>1.0111173770558872</v>
      </c>
      <c r="AK15" s="98">
        <f t="shared" si="10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1"/>
        <v>11.929126364477337</v>
      </c>
      <c r="H16" s="7">
        <f>SUMIFS(G:G,C:C,C16)/82</f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3.3597834286696355</v>
      </c>
      <c r="M16" s="5" cm="1">
        <f t="array" ref="M16">INDEX('2026'!AM:AM, MAX(_xlfn._xlws.FILTER(ROW('2026'!E:E), ('2026'!E:E=Goalies!C16)*('2026'!AM:AM&lt;&gt;""))))</f>
        <v>2.7460200807574955</v>
      </c>
      <c r="N16" s="5">
        <f t="shared" si="2"/>
        <v>2.6773695787385581</v>
      </c>
      <c r="O16" s="5" cm="1">
        <f t="array" ref="O16">IFERROR(INDEX('2026'!AO:AO, MAX(_xlfn._xlws.FILTER(ROW('2026'!I:I), ('2026'!I:I=Goalies!B16)*('2026'!AO:AO&lt;&gt;"")))),"")</f>
        <v>2.7145359348588074</v>
      </c>
      <c r="P16" s="65">
        <f t="shared" si="12"/>
        <v>2.6773695787385581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3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4"/>
        <v>9.9799999999999969</v>
      </c>
      <c r="AD16">
        <f t="shared" si="5"/>
        <v>1081</v>
      </c>
      <c r="AE16">
        <f t="shared" si="6"/>
        <v>9.9799999999999969</v>
      </c>
      <c r="AF16" s="7">
        <f t="shared" si="7"/>
        <v>9.2321924144310799E-3</v>
      </c>
      <c r="AG16" s="37">
        <f t="shared" si="8"/>
        <v>0.9092321924144311</v>
      </c>
      <c r="AH16" s="60">
        <f t="shared" si="9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3"/>
        <v>0.96958214597997971</v>
      </c>
      <c r="AK16" s="98">
        <f t="shared" si="10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1"/>
        <v>52.597049267643143</v>
      </c>
      <c r="H17" s="7">
        <f>SUMIFS(G:G,C:C,C17)/82</f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2.7069465918402971</v>
      </c>
      <c r="M17" s="5" cm="1">
        <f t="array" ref="M17">INDEX('2026'!AM:AM, MAX(_xlfn._xlws.FILTER(ROW('2026'!E:E), ('2026'!E:E=Goalies!C17)*('2026'!AM:AM&lt;&gt;""))))</f>
        <v>3.39</v>
      </c>
      <c r="N17" s="5">
        <f t="shared" si="2"/>
        <v>3.2544</v>
      </c>
      <c r="O17" s="5" cm="1">
        <f t="array" ref="O17">IFERROR(INDEX('2026'!AO:AO, MAX(_xlfn._xlws.FILTER(ROW('2026'!I:I), ('2026'!I:I=Goalies!B17)*('2026'!AO:AO&lt;&gt;"")))),"")</f>
        <v>3.3084322779769697</v>
      </c>
      <c r="P17" s="65">
        <f t="shared" si="12"/>
        <v>3.2544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3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4"/>
        <v>19.519999999999996</v>
      </c>
      <c r="AD17">
        <f t="shared" si="5"/>
        <v>1502</v>
      </c>
      <c r="AE17">
        <f t="shared" si="6"/>
        <v>24.519999999999996</v>
      </c>
      <c r="AF17" s="7">
        <f t="shared" si="7"/>
        <v>1.6324900133155788E-2</v>
      </c>
      <c r="AG17" s="37">
        <f t="shared" si="8"/>
        <v>0.91632490013315582</v>
      </c>
      <c r="AH17" s="60">
        <f t="shared" si="9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3"/>
        <v>0.93358719030162773</v>
      </c>
      <c r="AK17" s="98">
        <f t="shared" si="10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1"/>
        <v>22.053494505494506</v>
      </c>
      <c r="H18" s="7">
        <f>SUMIFS(G:G,C:C,C18)/82</f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2.7069465918402971</v>
      </c>
      <c r="M18" s="5" cm="1">
        <f t="array" ref="M18">INDEX('2026'!AM:AM, MAX(_xlfn._xlws.FILTER(ROW('2026'!E:E), ('2026'!E:E=Goalies!C18)*('2026'!AM:AM&lt;&gt;""))))</f>
        <v>3.39</v>
      </c>
      <c r="N18" s="5">
        <f t="shared" si="2"/>
        <v>3.5934000000000004</v>
      </c>
      <c r="O18" s="5" cm="1">
        <f t="array" ref="O18">IFERROR(INDEX('2026'!AO:AO, MAX(_xlfn._xlws.FILTER(ROW('2026'!I:I), ('2026'!I:I=Goalies!B18)*('2026'!AO:AO&lt;&gt;"")))),"")</f>
        <v>3.4768874854462961</v>
      </c>
      <c r="P18" s="65">
        <f t="shared" si="12"/>
        <v>3.5934000000000004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3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4"/>
        <v>-2.3400000000000034</v>
      </c>
      <c r="AD18">
        <f t="shared" si="5"/>
        <v>1092</v>
      </c>
      <c r="AE18">
        <f t="shared" si="6"/>
        <v>-3.8400000000000034</v>
      </c>
      <c r="AF18" s="7">
        <f t="shared" si="7"/>
        <v>-3.5164835164835195E-3</v>
      </c>
      <c r="AG18" s="37">
        <f t="shared" si="8"/>
        <v>0.89648351648351654</v>
      </c>
      <c r="AH18" s="60">
        <f t="shared" si="9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3"/>
        <v>1.1549632226295352</v>
      </c>
      <c r="AK18" s="98">
        <f t="shared" si="10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1774</v>
      </c>
      <c r="E19" s="6">
        <v>0</v>
      </c>
      <c r="F19" s="7">
        <f t="shared" si="1"/>
        <v>0.91</v>
      </c>
      <c r="G19">
        <f t="shared" si="11"/>
        <v>0</v>
      </c>
      <c r="H19" s="7">
        <f>SUMIFS(G:G,C:C,C19)/82</f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2.7069465918402971</v>
      </c>
      <c r="M19" s="5" cm="1">
        <f t="array" ref="M19">INDEX('2026'!AM:AM, MAX(_xlfn._xlws.FILTER(ROW('2026'!E:E), ('2026'!E:E=Goalies!C19)*('2026'!AM:AM&lt;&gt;""))))</f>
        <v>3.39</v>
      </c>
      <c r="N19" s="5">
        <f t="shared" si="2"/>
        <v>3.6103499999999999</v>
      </c>
      <c r="O19" s="5" cm="1">
        <f t="array" ref="O19">IFERROR(INDEX('2026'!AO:AO, MAX(_xlfn._xlws.FILTER(ROW('2026'!I:I), ('2026'!I:I=Goalies!B19)*('2026'!AO:AO&lt;&gt;"")))),"")</f>
        <v>3.5579967317012438</v>
      </c>
      <c r="P19" s="65">
        <f t="shared" si="12"/>
        <v>3.6103499999999999</v>
      </c>
      <c r="Q19" s="6">
        <v>0</v>
      </c>
      <c r="R19" s="5" t="s">
        <v>14</v>
      </c>
      <c r="S19" t="s">
        <v>1774</v>
      </c>
      <c r="T19">
        <v>700</v>
      </c>
      <c r="U19">
        <v>635</v>
      </c>
      <c r="V19">
        <v>63</v>
      </c>
      <c r="W19">
        <v>70</v>
      </c>
      <c r="X19">
        <f t="shared" si="3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4"/>
        <v>0</v>
      </c>
      <c r="AD19">
        <f t="shared" si="5"/>
        <v>700</v>
      </c>
      <c r="AE19">
        <f t="shared" si="6"/>
        <v>7</v>
      </c>
      <c r="AF19" s="7">
        <f t="shared" si="7"/>
        <v>0.01</v>
      </c>
      <c r="AG19" s="37">
        <f t="shared" si="8"/>
        <v>0.91</v>
      </c>
      <c r="AH19" s="60">
        <f t="shared" si="9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3"/>
        <v>1.0041559228594368</v>
      </c>
      <c r="AK19" s="98">
        <f t="shared" si="10"/>
        <v>1.0649999999999999</v>
      </c>
      <c r="AL19" s="5"/>
      <c r="AM19" s="7"/>
      <c r="AN19" s="91"/>
      <c r="AO19" s="37"/>
      <c r="AR19" s="75" t="s">
        <v>248</v>
      </c>
      <c r="AS19" s="75" t="s">
        <v>1300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1298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1"/>
        <v>30.03422710622711</v>
      </c>
      <c r="H20" s="7">
        <f>SUMIFS(G:G,C:C,C20)/82</f>
        <v>0.91225362844145108</v>
      </c>
      <c r="I20" s="7">
        <v>2.8220000000000001</v>
      </c>
      <c r="J20" s="9">
        <v>0.99</v>
      </c>
      <c r="K20" s="93">
        <v>1</v>
      </c>
      <c r="L20" s="5" cm="1">
        <f t="array" ref="L20">INDEX('2026'!AK:AK, MAX(_xlfn._xlws.FILTER(ROW('2026'!E:E), ('2026'!E:E=Goalies!C20)*('2026'!AK:AK&lt;&gt;""))))</f>
        <v>3.5750000000000002</v>
      </c>
      <c r="M20" s="5" cm="1">
        <f t="array" ref="M20">INDEX('2026'!AM:AM, MAX(_xlfn._xlws.FILTER(ROW('2026'!E:E), ('2026'!E:E=Goalies!C20)*('2026'!AM:AM&lt;&gt;""))))</f>
        <v>2.6258649633648323</v>
      </c>
      <c r="N20" s="5">
        <f t="shared" si="2"/>
        <v>2.5996063137311838</v>
      </c>
      <c r="O20" s="5" cm="1">
        <f t="array" ref="O20">IFERROR(INDEX('2026'!AO:AO, MAX(_xlfn._xlws.FILTER(ROW('2026'!I:I), ('2026'!I:I=Goalies!B20)*('2026'!AO:AO&lt;&gt;"")))),"")</f>
        <v>2.651677087771255</v>
      </c>
      <c r="P20" s="65">
        <f t="shared" si="12"/>
        <v>2.5996063137311838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3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4"/>
        <v>13.619999999999997</v>
      </c>
      <c r="AD20">
        <f t="shared" si="5"/>
        <v>1092</v>
      </c>
      <c r="AE20">
        <f t="shared" si="6"/>
        <v>17.119999999999997</v>
      </c>
      <c r="AF20" s="7">
        <f t="shared" si="7"/>
        <v>1.5677655677655677E-2</v>
      </c>
      <c r="AG20" s="37">
        <f t="shared" si="8"/>
        <v>0.91567765567765569</v>
      </c>
      <c r="AH20" s="60">
        <f t="shared" si="9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3"/>
        <v>0.96097813305112023</v>
      </c>
      <c r="AK20" s="98">
        <f t="shared" si="10"/>
        <v>0.99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1"/>
        <v>41.08922230769231</v>
      </c>
      <c r="H21" s="7">
        <f>SUMIFS(G:G,C:C,C21)/82</f>
        <v>0.91225362844145108</v>
      </c>
      <c r="I21" s="7">
        <v>2.8216999999999994</v>
      </c>
      <c r="J21" s="9">
        <v>1.01</v>
      </c>
      <c r="K21" s="93">
        <v>1</v>
      </c>
      <c r="L21" s="5" cm="1">
        <f t="array" ref="L21">INDEX('2026'!AK:AK, MAX(_xlfn._xlws.FILTER(ROW('2026'!E:E), ('2026'!E:E=Goalies!C21)*('2026'!AK:AK&lt;&gt;""))))</f>
        <v>3.5750000000000002</v>
      </c>
      <c r="M21" s="5" cm="1">
        <f t="array" ref="M21">INDEX('2026'!AM:AM, MAX(_xlfn._xlws.FILTER(ROW('2026'!E:E), ('2026'!E:E=Goalies!C21)*('2026'!AM:AM&lt;&gt;""))))</f>
        <v>2.6258649633648323</v>
      </c>
      <c r="N21" s="5">
        <f t="shared" si="2"/>
        <v>2.6521236129984809</v>
      </c>
      <c r="O21" s="5" cm="1">
        <f t="array" ref="O21">IFERROR(INDEX('2026'!AO:AO, MAX(_xlfn._xlws.FILTER(ROW('2026'!I:I), ('2026'!I:I=Goalies!B21)*('2026'!AO:AO&lt;&gt;"")))),"")</f>
        <v>2.6499659968195459</v>
      </c>
      <c r="P21" s="65">
        <f t="shared" si="12"/>
        <v>2.6521236129984809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3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4"/>
        <v>12.89</v>
      </c>
      <c r="AD21">
        <f t="shared" si="5"/>
        <v>1300</v>
      </c>
      <c r="AE21">
        <f t="shared" si="6"/>
        <v>14.39</v>
      </c>
      <c r="AF21" s="7">
        <f t="shared" si="7"/>
        <v>1.106923076923077E-2</v>
      </c>
      <c r="AG21" s="37">
        <f t="shared" si="8"/>
        <v>0.91106923076923074</v>
      </c>
      <c r="AH21" s="60">
        <f t="shared" si="9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3"/>
        <v>1.0134979675077502</v>
      </c>
      <c r="AK21" s="98">
        <f t="shared" si="10"/>
        <v>1.01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1"/>
        <v>3.6813481182795704</v>
      </c>
      <c r="H22" s="7">
        <f>SUMIFS(G:G,C:C,C22)/82</f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3.5750000000000002</v>
      </c>
      <c r="M22" s="5" cm="1">
        <f t="array" ref="M22">INDEX('2026'!AM:AM, MAX(_xlfn._xlws.FILTER(ROW('2026'!E:E), ('2026'!E:E=Goalies!C22)*('2026'!AM:AM&lt;&gt;""))))</f>
        <v>2.6258649633648323</v>
      </c>
      <c r="N22" s="5">
        <f t="shared" si="2"/>
        <v>2.7834168611667223</v>
      </c>
      <c r="O22" s="5" cm="1">
        <f t="array" ref="O22">IFERROR(INDEX('2026'!AO:AO, MAX(_xlfn._xlws.FILTER(ROW('2026'!I:I), ('2026'!I:I=Goalies!B22)*('2026'!AO:AO&lt;&gt;"")))),"")</f>
        <v>2.8166091702530371</v>
      </c>
      <c r="P22" s="65">
        <f t="shared" si="12"/>
        <v>2.7834168611667223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3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4"/>
        <v>-6.999999999999984E-2</v>
      </c>
      <c r="AD22">
        <f t="shared" si="5"/>
        <v>744</v>
      </c>
      <c r="AE22">
        <f t="shared" si="6"/>
        <v>-1.5699999999999998</v>
      </c>
      <c r="AF22" s="7">
        <f t="shared" si="7"/>
        <v>-2.1102150537634407E-3</v>
      </c>
      <c r="AG22" s="37">
        <f t="shared" si="8"/>
        <v>0.89788978494623661</v>
      </c>
      <c r="AH22" s="60">
        <f t="shared" si="9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3"/>
        <v>1.1636972930057865</v>
      </c>
      <c r="AK22" s="98">
        <f t="shared" si="10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1"/>
        <v>48.586477477477487</v>
      </c>
      <c r="H23" s="7">
        <f>SUMIFS(G:G,C:C,C23)/82</f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3.0435732292337994</v>
      </c>
      <c r="M23" s="5" cm="1">
        <f t="array" ref="M23">INDEX('2026'!AM:AM, MAX(_xlfn._xlws.FILTER(ROW('2026'!E:E), ('2026'!E:E=Goalies!C23)*('2026'!AM:AM&lt;&gt;""))))</f>
        <v>3.1616829731715659</v>
      </c>
      <c r="N23" s="5">
        <f t="shared" si="2"/>
        <v>3.0826408988422767</v>
      </c>
      <c r="O23" s="5" cm="1">
        <f t="array" ref="O23">IFERROR(INDEX('2026'!AO:AO, MAX(_xlfn._xlws.FILTER(ROW('2026'!I:I), ('2026'!I:I=Goalies!B23)*('2026'!AO:AO&lt;&gt;"")))),"")</f>
        <v>3.1990124583114472</v>
      </c>
      <c r="P23" s="65">
        <f t="shared" si="12"/>
        <v>3.0826408988422767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3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4"/>
        <v>14.189999999999998</v>
      </c>
      <c r="AD23">
        <f t="shared" si="5"/>
        <v>1443</v>
      </c>
      <c r="AE23">
        <f t="shared" si="6"/>
        <v>16.689999999999998</v>
      </c>
      <c r="AF23" s="7">
        <f t="shared" si="7"/>
        <v>1.1566181566181565E-2</v>
      </c>
      <c r="AG23" s="37">
        <f t="shared" si="8"/>
        <v>0.91156618156618163</v>
      </c>
      <c r="AH23" s="60">
        <f t="shared" si="9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3"/>
        <v>0.93975522465323824</v>
      </c>
      <c r="AK23" s="98">
        <f t="shared" si="10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1"/>
        <v>25.697073684210526</v>
      </c>
      <c r="H24" s="7">
        <f>SUMIFS(G:G,C:C,C24)/82</f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3.0435732292337994</v>
      </c>
      <c r="M24" s="5" cm="1">
        <f t="array" ref="M24">INDEX('2026'!AM:AM, MAX(_xlfn._xlws.FILTER(ROW('2026'!E:E), ('2026'!E:E=Goalies!C24)*('2026'!AM:AM&lt;&gt;""))))</f>
        <v>3.1616829731715659</v>
      </c>
      <c r="N24" s="5">
        <f t="shared" si="2"/>
        <v>3.3197671218301443</v>
      </c>
      <c r="O24" s="5" cm="1">
        <f t="array" ref="O24">IFERROR(INDEX('2026'!AO:AO, MAX(_xlfn._xlws.FILTER(ROW('2026'!I:I), ('2026'!I:I=Goalies!B24)*('2026'!AO:AO&lt;&gt;"")))),"")</f>
        <v>3.2641541166700181</v>
      </c>
      <c r="P24" s="65">
        <f t="shared" si="12"/>
        <v>3.3197671218301443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3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4"/>
        <v>-5.2800000000000011</v>
      </c>
      <c r="AD24">
        <f t="shared" si="5"/>
        <v>1140</v>
      </c>
      <c r="AE24">
        <f t="shared" si="6"/>
        <v>-5.2800000000000011</v>
      </c>
      <c r="AF24" s="7">
        <f t="shared" si="7"/>
        <v>-4.6315789473684223E-3</v>
      </c>
      <c r="AG24" s="37">
        <f t="shared" si="8"/>
        <v>0.89536842105263159</v>
      </c>
      <c r="AH24" s="60">
        <f t="shared" si="9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3"/>
        <v>1.1118831542154144</v>
      </c>
      <c r="AK24" s="98">
        <f t="shared" si="10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1"/>
        <v>48.811598730606491</v>
      </c>
      <c r="H25" s="7">
        <f>SUMIFS(G:G,C:C,C25)/82</f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3.1219373252973615</v>
      </c>
      <c r="M25" s="5" cm="1">
        <f t="array" ref="M25">INDEX('2026'!AM:AM, MAX(_xlfn._xlws.FILTER(ROW('2026'!E:E), ('2026'!E:E=Goalies!C25)*('2026'!AM:AM&lt;&gt;""))))</f>
        <v>2.8820255965495507</v>
      </c>
      <c r="N25" s="5">
        <f t="shared" si="2"/>
        <v>2.8676154685668029</v>
      </c>
      <c r="O25" s="5" cm="1">
        <f t="array" ref="O25">IFERROR(INDEX('2026'!AO:AO, MAX(_xlfn._xlws.FILTER(ROW('2026'!I:I), ('2026'!I:I=Goalies!B25)*('2026'!AO:AO&lt;&gt;"")))),"")</f>
        <v>2.8561433519215891</v>
      </c>
      <c r="P25" s="65">
        <f t="shared" si="12"/>
        <v>2.8676154685668029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3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4"/>
        <v>16.39</v>
      </c>
      <c r="AD25">
        <f t="shared" si="5"/>
        <v>1418</v>
      </c>
      <c r="AE25">
        <f t="shared" si="6"/>
        <v>22.39</v>
      </c>
      <c r="AF25" s="7">
        <f t="shared" si="7"/>
        <v>1.578984485190409E-2</v>
      </c>
      <c r="AG25" s="37">
        <f t="shared" si="8"/>
        <v>0.91578984485190407</v>
      </c>
      <c r="AH25" s="60">
        <f t="shared" si="9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3"/>
        <v>1.0023634152882877</v>
      </c>
      <c r="AK25" s="98">
        <f t="shared" si="10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1"/>
        <v>26.29945</v>
      </c>
      <c r="H26" s="7">
        <f>SUMIFS(G:G,C:C,C26)/82</f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3.1219373252973615</v>
      </c>
      <c r="M26" s="5" cm="1">
        <f t="array" ref="M26">INDEX('2026'!AM:AM, MAX(_xlfn._xlws.FILTER(ROW('2026'!E:E), ('2026'!E:E=Goalies!C26)*('2026'!AM:AM&lt;&gt;""))))</f>
        <v>2.8820255965495507</v>
      </c>
      <c r="N26" s="5">
        <f t="shared" si="2"/>
        <v>2.896435724532298</v>
      </c>
      <c r="O26" s="5" cm="1">
        <f t="array" ref="O26">IFERROR(INDEX('2026'!AO:AO, MAX(_xlfn._xlws.FILTER(ROW('2026'!I:I), ('2026'!I:I=Goalies!B26)*('2026'!AO:AO&lt;&gt;"")))),"")</f>
        <v>2.8426168491697639</v>
      </c>
      <c r="P26" s="65">
        <f t="shared" si="12"/>
        <v>2.896435724532298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3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4"/>
        <v>13.82</v>
      </c>
      <c r="AD26">
        <f t="shared" si="5"/>
        <v>1120</v>
      </c>
      <c r="AE26">
        <f t="shared" si="6"/>
        <v>18.32</v>
      </c>
      <c r="AF26" s="7">
        <f t="shared" si="7"/>
        <v>1.6357142857142858E-2</v>
      </c>
      <c r="AG26" s="37">
        <f t="shared" si="8"/>
        <v>0.91635714285714287</v>
      </c>
      <c r="AH26" s="60">
        <f t="shared" si="9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3"/>
        <v>0.99561080017889436</v>
      </c>
      <c r="AK26" s="98">
        <f t="shared" si="10"/>
        <v>1.0049999999999999</v>
      </c>
      <c r="AL26" s="5"/>
      <c r="AM26" s="7"/>
      <c r="AN26" s="91"/>
      <c r="AO26" s="37"/>
      <c r="AR26" s="75" t="s">
        <v>247</v>
      </c>
      <c r="AS26" s="75" t="s">
        <v>1301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1"/>
        <v>37.019893939393938</v>
      </c>
      <c r="H27" s="7">
        <f>SUMIFS(G:G,C:C,C27)/82</f>
        <v>0.90213691796008866</v>
      </c>
      <c r="I27" s="7">
        <v>3.0499999999999963</v>
      </c>
      <c r="J27" s="9">
        <v>0.99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2.93</v>
      </c>
      <c r="M27" s="5" cm="1">
        <f t="array" ref="M27">INDEX('2026'!AM:AM, MAX(_xlfn._xlws.FILTER(ROW('2026'!E:E), ('2026'!E:E=Goalies!C27)*('2026'!AM:AM&lt;&gt;""))))</f>
        <v>3.0936292906528782</v>
      </c>
      <c r="N27" s="5">
        <f t="shared" si="2"/>
        <v>3.0626929977463493</v>
      </c>
      <c r="O27" s="5" cm="1">
        <f t="array" ref="O27">IFERROR(INDEX('2026'!AO:AO, MAX(_xlfn._xlws.FILTER(ROW('2026'!I:I), ('2026'!I:I=Goalies!B27)*('2026'!AO:AO&lt;&gt;"")))),"")</f>
        <v>3.1142244731246937</v>
      </c>
      <c r="P27" s="65">
        <f t="shared" si="12"/>
        <v>3.0626929977463493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3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4"/>
        <v>3.8599999999999994</v>
      </c>
      <c r="AD27">
        <f t="shared" si="5"/>
        <v>1320</v>
      </c>
      <c r="AE27">
        <f t="shared" si="6"/>
        <v>3.8599999999999994</v>
      </c>
      <c r="AF27" s="7">
        <f t="shared" si="7"/>
        <v>2.9242424242424238E-3</v>
      </c>
      <c r="AG27" s="37">
        <f t="shared" si="8"/>
        <v>0.90292424242424241</v>
      </c>
      <c r="AH27" s="60">
        <f t="shared" si="9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3"/>
        <v>0.99195483682158503</v>
      </c>
      <c r="AK27" s="98">
        <f t="shared" si="10"/>
        <v>0.99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1"/>
        <v>36.955333333333336</v>
      </c>
      <c r="H28" s="7">
        <f>SUMIFS(G:G,C:C,C28)/82</f>
        <v>0.90213691796008866</v>
      </c>
      <c r="I28" s="7">
        <v>3.0499999999999963</v>
      </c>
      <c r="J28" s="9">
        <v>1.01</v>
      </c>
      <c r="K28" s="93">
        <v>1.002126553285837</v>
      </c>
      <c r="L28" s="5" cm="1">
        <f t="array" ref="L28">INDEX('2026'!AK:AK, MAX(_xlfn._xlws.FILTER(ROW('2026'!E:E), ('2026'!E:E=Goalies!C28)*('2026'!AK:AK&lt;&gt;""))))</f>
        <v>2.93</v>
      </c>
      <c r="M28" s="5" cm="1">
        <f t="array" ref="M28">INDEX('2026'!AM:AM, MAX(_xlfn._xlws.FILTER(ROW('2026'!E:E), ('2026'!E:E=Goalies!C28)*('2026'!AM:AM&lt;&gt;""))))</f>
        <v>3.0936292906528782</v>
      </c>
      <c r="N28" s="5">
        <f t="shared" si="2"/>
        <v>3.1245655835594071</v>
      </c>
      <c r="O28" s="5" cm="1">
        <f t="array" ref="O28">IFERROR(INDEX('2026'!AO:AO, MAX(_xlfn._xlws.FILTER(ROW('2026'!I:I), ('2026'!I:I=Goalies!B28)*('2026'!AO:AO&lt;&gt;"")))),"")</f>
        <v>3.1285726033183892</v>
      </c>
      <c r="P28" s="65">
        <f t="shared" si="12"/>
        <v>3.1245655835594071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3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4"/>
        <v>-0.34000000000000341</v>
      </c>
      <c r="AD28">
        <f t="shared" si="5"/>
        <v>1230</v>
      </c>
      <c r="AE28">
        <f t="shared" si="6"/>
        <v>1.6599999999999966</v>
      </c>
      <c r="AF28" s="7">
        <f t="shared" si="7"/>
        <v>1.3495934959349566E-3</v>
      </c>
      <c r="AG28" s="37">
        <f t="shared" si="8"/>
        <v>0.90134959349593502</v>
      </c>
      <c r="AH28" s="60">
        <f t="shared" si="9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3"/>
        <v>1.0080451631784149</v>
      </c>
      <c r="AK28" s="98">
        <f t="shared" si="10"/>
        <v>1.01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1"/>
        <v>38.158869863013699</v>
      </c>
      <c r="H29" s="7">
        <f>SUMIFS(G:G,C:C,C29)/82</f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3.3404432502169255</v>
      </c>
      <c r="M29" s="5" cm="1">
        <f t="array" ref="M29">INDEX('2026'!AM:AM, MAX(_xlfn._xlws.FILTER(ROW('2026'!E:E), ('2026'!E:E=Goalies!C29)*('2026'!AM:AM&lt;&gt;""))))</f>
        <v>2.9892389507795527</v>
      </c>
      <c r="N29" s="5">
        <f t="shared" si="2"/>
        <v>2.9145079770100639</v>
      </c>
      <c r="O29" s="5" cm="1">
        <f t="array" ref="O29">IFERROR(INDEX('2026'!AO:AO, MAX(_xlfn._xlws.FILTER(ROW('2026'!I:I), ('2026'!I:I=Goalies!B29)*('2026'!AO:AO&lt;&gt;"")))),"")</f>
        <v>3.063258815850634</v>
      </c>
      <c r="P29" s="65">
        <f t="shared" si="12"/>
        <v>2.9145079770100639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3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4"/>
        <v>10.480000000000004</v>
      </c>
      <c r="AD29">
        <f t="shared" si="5"/>
        <v>1168</v>
      </c>
      <c r="AE29">
        <f t="shared" si="6"/>
        <v>9.980000000000004</v>
      </c>
      <c r="AF29" s="7">
        <f t="shared" si="7"/>
        <v>8.5445205479452082E-3</v>
      </c>
      <c r="AG29" s="37">
        <f t="shared" si="8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0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1"/>
        <v>27.051830985915494</v>
      </c>
      <c r="H30" s="7">
        <f>SUMIFS(G:G,C:C,C30)/82</f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3.3404432502169255</v>
      </c>
      <c r="M30" s="5" cm="1">
        <f t="array" ref="M30">INDEX('2026'!AM:AM, MAX(_xlfn._xlws.FILTER(ROW('2026'!E:E), ('2026'!E:E=Goalies!C30)*('2026'!AM:AM&lt;&gt;""))))</f>
        <v>2.9892389507795527</v>
      </c>
      <c r="N30" s="5">
        <f t="shared" si="2"/>
        <v>3.0789161193029395</v>
      </c>
      <c r="O30" s="5" cm="1">
        <f t="array" ref="O30">IFERROR(INDEX('2026'!AO:AO, MAX(_xlfn._xlws.FILTER(ROW('2026'!I:I), ('2026'!I:I=Goalies!B30)*('2026'!AO:AO&lt;&gt;"")))),"")</f>
        <v>3.0925711597129282</v>
      </c>
      <c r="P30" s="65">
        <f t="shared" si="12"/>
        <v>3.0789161193029395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3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4"/>
        <v>2.3400000000000034</v>
      </c>
      <c r="AD30">
        <f t="shared" si="5"/>
        <v>1065</v>
      </c>
      <c r="AE30">
        <f t="shared" si="6"/>
        <v>1.8400000000000034</v>
      </c>
      <c r="AF30" s="7">
        <f t="shared" si="7"/>
        <v>1.7276995305164351E-3</v>
      </c>
      <c r="AG30" s="37">
        <f t="shared" si="8"/>
        <v>0.90172769953051646</v>
      </c>
      <c r="AH30" s="60">
        <f t="shared" si="9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3"/>
        <v>1.0316896124730826</v>
      </c>
      <c r="AK30" s="98">
        <f t="shared" si="10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4">C31&amp;" "&amp;D31</f>
        <v>EDM Connor Ingram</v>
      </c>
      <c r="C31" t="s">
        <v>17</v>
      </c>
      <c r="D31" t="s">
        <v>1595</v>
      </c>
      <c r="E31" s="6">
        <v>10</v>
      </c>
      <c r="F31" s="7">
        <f t="shared" ref="F31" si="15">AG31</f>
        <v>0.89784919653893702</v>
      </c>
      <c r="G31">
        <f t="shared" ref="G31" si="16">E31*F31</f>
        <v>8.9784919653893702</v>
      </c>
      <c r="H31" s="7">
        <f>SUMIFS(G:G,C:C,C31)/82</f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2.9892389507795527</v>
      </c>
      <c r="N31" s="5">
        <f t="shared" ref="N31" si="17">J31*M31</f>
        <v>3.1088085088107351</v>
      </c>
      <c r="O31" s="5"/>
      <c r="P31" s="65">
        <f t="shared" si="12"/>
        <v>3.1088085088107351</v>
      </c>
      <c r="Q31" s="6">
        <v>10</v>
      </c>
      <c r="R31" s="5" t="s">
        <v>17</v>
      </c>
      <c r="S31" t="s">
        <v>1595</v>
      </c>
      <c r="T31">
        <v>700</v>
      </c>
      <c r="U31">
        <v>629.5</v>
      </c>
      <c r="V31">
        <v>70.5</v>
      </c>
      <c r="W31">
        <v>70</v>
      </c>
      <c r="X31">
        <f t="shared" ref="X31" si="18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19">AB31-AA31</f>
        <v>-1.2400000000000002</v>
      </c>
      <c r="AD31">
        <f t="shared" ref="AD31" si="20">SUM(T31,Z31)</f>
        <v>809</v>
      </c>
      <c r="AE31">
        <f t="shared" ref="AE31" si="21">SUM(X31+AC31)</f>
        <v>-1.7400000000000002</v>
      </c>
      <c r="AF31" s="7">
        <f t="shared" ref="AF31" si="22">AE31/AD31</f>
        <v>-2.1508034610630412E-3</v>
      </c>
      <c r="AG31" s="37">
        <f t="shared" ref="AG31" si="23">AF31+0.9</f>
        <v>0.89784919653893702</v>
      </c>
      <c r="AH31" s="60">
        <f t="shared" ref="AH31" si="24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5">AH31/AI31</f>
        <v>1.0724072025696005</v>
      </c>
      <c r="AK31" s="98">
        <f t="shared" ref="AK31" si="26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1"/>
        <v>49.589022271386433</v>
      </c>
      <c r="H32" s="7">
        <f>SUMIFS(G:G,C:C,C32)/82</f>
        <v>0.90056560261272667</v>
      </c>
      <c r="I32" s="7">
        <v>2.6385508317929718</v>
      </c>
      <c r="J32" s="9">
        <v>0.995</v>
      </c>
      <c r="K32" s="93">
        <v>0.99</v>
      </c>
      <c r="L32" s="5" cm="1">
        <f t="array" ref="L32">INDEX('2026'!AK:AK, MAX(_xlfn._xlws.FILTER(ROW('2026'!E:E), ('2026'!E:E=Goalies!C32)*('2026'!AK:AK&lt;&gt;""))))</f>
        <v>3.1123902235436551</v>
      </c>
      <c r="M32" s="5" cm="1">
        <f t="array" ref="M32">INDEX('2026'!AM:AM, MAX(_xlfn._xlws.FILTER(ROW('2026'!E:E), ('2026'!E:E=Goalies!C32)*('2026'!AM:AM&lt;&gt;""))))</f>
        <v>2.8269673052215638</v>
      </c>
      <c r="N32" s="5">
        <f t="shared" si="2"/>
        <v>2.812832468695456</v>
      </c>
      <c r="O32" s="5" cm="1">
        <f t="array" ref="O32">IFERROR(INDEX('2026'!AO:AO, MAX(_xlfn._xlws.FILTER(ROW('2026'!I:I), ('2026'!I:I=Goalies!B32)*('2026'!AO:AO&lt;&gt;"")))),"")</f>
        <v>2.7934594054010731</v>
      </c>
      <c r="P32" s="65">
        <f t="shared" si="12"/>
        <v>2.812832468695456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3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4"/>
        <v>1.5300000000000011</v>
      </c>
      <c r="AD32">
        <f t="shared" si="5"/>
        <v>1356</v>
      </c>
      <c r="AE32">
        <f t="shared" si="6"/>
        <v>3.5300000000000011</v>
      </c>
      <c r="AF32" s="7">
        <f t="shared" si="7"/>
        <v>2.6032448377581131E-3</v>
      </c>
      <c r="AG32" s="37">
        <f t="shared" si="8"/>
        <v>0.90260324483775811</v>
      </c>
      <c r="AH32" s="60">
        <f t="shared" si="9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3"/>
        <v>0.97950767261056093</v>
      </c>
      <c r="AK32" s="98">
        <f t="shared" si="10"/>
        <v>0.995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1"/>
        <v>24.257357142857146</v>
      </c>
      <c r="H33" s="7">
        <f>SUMIFS(G:G,C:C,C33)/82</f>
        <v>0.90056560261272667</v>
      </c>
      <c r="I33" s="7">
        <v>2.8859149722735631</v>
      </c>
      <c r="J33" s="9">
        <v>1.0049999999999999</v>
      </c>
      <c r="K33" s="93">
        <v>1.02</v>
      </c>
      <c r="L33" s="5" cm="1">
        <f t="array" ref="L33">INDEX('2026'!AK:AK, MAX(_xlfn._xlws.FILTER(ROW('2026'!E:E), ('2026'!E:E=Goalies!C33)*('2026'!AK:AK&lt;&gt;""))))</f>
        <v>3.1123902235436551</v>
      </c>
      <c r="M33" s="5" cm="1">
        <f t="array" ref="M33">INDEX('2026'!AM:AM, MAX(_xlfn._xlws.FILTER(ROW('2026'!E:E), ('2026'!E:E=Goalies!C33)*('2026'!AM:AM&lt;&gt;""))))</f>
        <v>2.8269673052215638</v>
      </c>
      <c r="N33" s="5">
        <f t="shared" si="2"/>
        <v>2.8411021417476712</v>
      </c>
      <c r="O33" s="5" cm="1">
        <f t="array" ref="O33">IFERROR(INDEX('2026'!AO:AO, MAX(_xlfn._xlws.FILTER(ROW('2026'!I:I), ('2026'!I:I=Goalies!B33)*('2026'!AO:AO&lt;&gt;"")))),"")</f>
        <v>2.8909456089376877</v>
      </c>
      <c r="P33" s="65">
        <f t="shared" si="12"/>
        <v>2.8411021417476712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3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4"/>
        <v>0</v>
      </c>
      <c r="AD33">
        <f t="shared" si="5"/>
        <v>700</v>
      </c>
      <c r="AE33">
        <f t="shared" si="6"/>
        <v>-2.5</v>
      </c>
      <c r="AF33" s="7">
        <f t="shared" si="7"/>
        <v>-3.5714285714285713E-3</v>
      </c>
      <c r="AG33" s="37">
        <f t="shared" si="8"/>
        <v>0.89642857142857146</v>
      </c>
      <c r="AH33" s="60">
        <f t="shared" si="9"/>
        <v>2.7701411392219</v>
      </c>
      <c r="AI33" s="60" cm="1">
        <f t="array" ref="AI33">SUMPRODUCT(($R$2:$R$1017=R33)*($Q$2:$Q$1017)*($AH$2:$AH$1017))/82</f>
        <v>2.6594913158532063</v>
      </c>
      <c r="AJ33" s="5">
        <f t="shared" si="13"/>
        <v>1.0416056343967401</v>
      </c>
      <c r="AK33" s="98">
        <f t="shared" si="10"/>
        <v>1.0049999999999999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1"/>
        <v>52.564126620900076</v>
      </c>
      <c r="H34" s="7">
        <f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2.8564361356058368</v>
      </c>
      <c r="M34" s="5" cm="1">
        <f t="array" ref="M34">INDEX('2026'!AM:AM, MAX(_xlfn._xlws.FILTER(ROW('2026'!E:E), ('2026'!E:E=Goalies!C34)*('2026'!AM:AM&lt;&gt;""))))</f>
        <v>2.7660909944062722</v>
      </c>
      <c r="N34" s="5">
        <f>J34*M36</f>
        <v>2.7757033769717863</v>
      </c>
      <c r="O34" s="5" cm="1">
        <f t="array" ref="O34">IFERROR(INDEX('2026'!AO:AO, MAX(_xlfn._xlws.FILTER(ROW('2026'!I:I), ('2026'!I:I=Goalies!B34)*('2026'!AO:AO&lt;&gt;"")))),"")</f>
        <v>2.7665315239278705</v>
      </c>
      <c r="P34" s="65">
        <f t="shared" si="12"/>
        <v>2.6969387195461154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3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4"/>
        <v>14.150000000000006</v>
      </c>
      <c r="AD34">
        <f t="shared" si="5"/>
        <v>1311</v>
      </c>
      <c r="AE34">
        <f t="shared" si="6"/>
        <v>20.650000000000006</v>
      </c>
      <c r="AF34" s="7">
        <f t="shared" si="7"/>
        <v>1.575133485888635E-2</v>
      </c>
      <c r="AG34" s="37">
        <f t="shared" si="8"/>
        <v>0.91575133485888638</v>
      </c>
      <c r="AH34" s="60">
        <f t="shared" si="9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3"/>
        <v>0.97357487155752453</v>
      </c>
      <c r="AK34" s="98">
        <f t="shared" si="10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7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28">AG35</f>
        <v>0.90812897366030887</v>
      </c>
      <c r="G35">
        <f t="shared" ref="G35:G67" si="29">E35*F35</f>
        <v>22.339972752043597</v>
      </c>
      <c r="H35" s="7">
        <f>SUMIFS(G:G,C:C,C35)/82</f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2.8564361356058368</v>
      </c>
      <c r="M35" s="5" cm="1">
        <f t="array" ref="M35">INDEX('2026'!AM:AM, MAX(_xlfn._xlws.FILTER(ROW('2026'!E:E), ('2026'!E:E=Goalies!C35)*('2026'!AM:AM&lt;&gt;""))))</f>
        <v>2.7660909944062722</v>
      </c>
      <c r="N35" s="5">
        <f>J35*M37</f>
        <v>2.9607502687699054</v>
      </c>
      <c r="O35" s="5" cm="1">
        <f t="array" ref="O35">IFERROR(INDEX('2026'!AO:AO, MAX(_xlfn._xlws.FILTER(ROW('2026'!I:I), ('2026'!I:I=Goalies!B35)*('2026'!AO:AO&lt;&gt;"")))),"")</f>
        <v>2.8134297302546742</v>
      </c>
      <c r="P35" s="65">
        <f t="shared" si="12"/>
        <v>2.8767346341825233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0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1">AB35-AA35</f>
        <v>6.9500000000000028</v>
      </c>
      <c r="AD35">
        <f t="shared" ref="AD35:AD67" si="32">SUM(T35,Z35)</f>
        <v>1101</v>
      </c>
      <c r="AE35">
        <f t="shared" ref="AE35:AE67" si="33">SUM(X35+AC35)</f>
        <v>8.9500000000000028</v>
      </c>
      <c r="AF35" s="7">
        <f t="shared" ref="AF35:AF67" si="34">AE35/AD35</f>
        <v>8.1289736603088122E-3</v>
      </c>
      <c r="AG35" s="37">
        <f t="shared" ref="AG35:AG67" si="35">AF35+0.9</f>
        <v>0.90812897366030887</v>
      </c>
      <c r="AH35" s="60">
        <f t="shared" ref="AH35:AH67" si="36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7">AH35/AI35</f>
        <v>1.0616586330324433</v>
      </c>
      <c r="AK35" s="98">
        <f t="shared" ref="AK35:AK67" si="38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7"/>
        <v>MIN Filip Gustavsson</v>
      </c>
      <c r="C36" t="s">
        <v>33</v>
      </c>
      <c r="D36" t="s">
        <v>169</v>
      </c>
      <c r="E36" s="6">
        <v>49.199999999999996</v>
      </c>
      <c r="F36" s="7">
        <f t="shared" si="28"/>
        <v>0.91515346181299073</v>
      </c>
      <c r="G36">
        <f t="shared" si="29"/>
        <v>45.025550321199141</v>
      </c>
      <c r="H36" s="7">
        <f>SUMIFS(G:G,C:C,C36)/82</f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3.1787319638967459</v>
      </c>
      <c r="M36" s="5" cm="1">
        <f t="array" ref="M36">INDEX('2026'!AM:AM, MAX(_xlfn._xlws.FILTER(ROW('2026'!E:E), ('2026'!E:E=Goalies!C36)*('2026'!AM:AM&lt;&gt;""))))</f>
        <v>2.8468752584326014</v>
      </c>
      <c r="N36" s="5">
        <f>J36*M38</f>
        <v>2.997392851724773</v>
      </c>
      <c r="O36" s="5" cm="1">
        <f t="array" ref="O36">IFERROR(INDEX('2026'!AO:AO, MAX(_xlfn._xlws.FILTER(ROW('2026'!I:I), ('2026'!I:I=Goalies!B36)*('2026'!AO:AO&lt;&gt;"")))),"")</f>
        <v>2.8427821019531461</v>
      </c>
      <c r="P36" s="65">
        <f t="shared" si="12"/>
        <v>2.8184065058482752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0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1"/>
        <v>16.230000000000004</v>
      </c>
      <c r="AD36">
        <f t="shared" si="32"/>
        <v>1401</v>
      </c>
      <c r="AE36">
        <f t="shared" si="33"/>
        <v>21.230000000000004</v>
      </c>
      <c r="AF36" s="7">
        <f t="shared" si="34"/>
        <v>1.5153461812990723E-2</v>
      </c>
      <c r="AG36" s="37">
        <f t="shared" si="35"/>
        <v>0.91515346181299073</v>
      </c>
      <c r="AH36" s="60">
        <f t="shared" si="36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7"/>
        <v>0.97770343271272098</v>
      </c>
      <c r="AK36" s="98">
        <f t="shared" si="38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7"/>
        <v>MIN Jesper Wallstedt</v>
      </c>
      <c r="C37" t="s">
        <v>33</v>
      </c>
      <c r="D37" t="s">
        <v>229</v>
      </c>
      <c r="E37" s="6">
        <v>32.800000000000004</v>
      </c>
      <c r="F37" s="7">
        <f t="shared" si="28"/>
        <v>0.91031613976705494</v>
      </c>
      <c r="G37">
        <f t="shared" si="29"/>
        <v>29.858369384359406</v>
      </c>
      <c r="H37" s="7">
        <f>SUMIFS(G:G,C:C,C37)/82</f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3.1787319638967459</v>
      </c>
      <c r="M37" s="5" cm="1">
        <f t="array" ref="M37">INDEX('2026'!AM:AM, MAX(_xlfn._xlws.FILTER(ROW('2026'!E:E), ('2026'!E:E=Goalies!C37)*('2026'!AM:AM&lt;&gt;""))))</f>
        <v>2.8468752584326014</v>
      </c>
      <c r="N37" s="5">
        <f>J37*M39</f>
        <v>3.0730845904046911</v>
      </c>
      <c r="O37" s="5" cm="1">
        <f t="array" ref="O37">IFERROR(INDEX('2026'!AO:AO, MAX(_xlfn._xlws.FILTER(ROW('2026'!I:I), ('2026'!I:I=Goalies!B37)*('2026'!AO:AO&lt;&gt;"")))),"")</f>
        <v>2.9340752336480072</v>
      </c>
      <c r="P37" s="65">
        <f t="shared" si="12"/>
        <v>2.8895783873090899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0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1"/>
        <v>12.399999999999999</v>
      </c>
      <c r="AD37">
        <f t="shared" si="32"/>
        <v>1202</v>
      </c>
      <c r="AE37">
        <f t="shared" si="33"/>
        <v>12.399999999999999</v>
      </c>
      <c r="AF37" s="7">
        <f t="shared" si="34"/>
        <v>1.0316139767054908E-2</v>
      </c>
      <c r="AG37" s="37">
        <f t="shared" si="35"/>
        <v>0.91031613976705494</v>
      </c>
      <c r="AH37" s="60">
        <f t="shared" si="36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7"/>
        <v>1.0334448509309184</v>
      </c>
      <c r="AK37" s="98">
        <f t="shared" si="38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7"/>
        <v>MTL Sam Montembeault</v>
      </c>
      <c r="C38" t="s">
        <v>19</v>
      </c>
      <c r="D38" t="s">
        <v>170</v>
      </c>
      <c r="E38" s="6">
        <v>37</v>
      </c>
      <c r="F38" s="7">
        <f t="shared" si="28"/>
        <v>0.89795899347623487</v>
      </c>
      <c r="G38">
        <f t="shared" si="29"/>
        <v>33.224482758620688</v>
      </c>
      <c r="H38" s="7">
        <f>SUMIFS(G:G,C:C,C38)/82</f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3.0713842074987783</v>
      </c>
      <c r="M38" s="5" cm="1">
        <f t="array" ref="M38">INDEX('2026'!AM:AM, MAX(_xlfn._xlws.FILTER(ROW('2026'!E:E), ('2026'!E:E=Goalies!C38)*('2026'!AM:AM&lt;&gt;""))))</f>
        <v>3.0276695471967403</v>
      </c>
      <c r="N38" s="5">
        <f t="shared" ref="N38:N86" si="39">J38*M38</f>
        <v>3.0276695471967403</v>
      </c>
      <c r="O38" s="5" cm="1">
        <f t="array" ref="O38">IFERROR(INDEX('2026'!AO:AO, MAX(_xlfn._xlws.FILTER(ROW('2026'!I:I), ('2026'!I:I=Goalies!B38)*('2026'!AO:AO&lt;&gt;"")))),"")</f>
        <v>3.0380974006538217</v>
      </c>
      <c r="P38" s="65">
        <f t="shared" si="12"/>
        <v>3.0276695471967403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0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1"/>
        <v>-5.6899999999999977</v>
      </c>
      <c r="AD38">
        <f t="shared" si="32"/>
        <v>1073</v>
      </c>
      <c r="AE38">
        <f t="shared" si="33"/>
        <v>-2.1899999999999977</v>
      </c>
      <c r="AF38" s="7">
        <f t="shared" si="34"/>
        <v>-2.0410065237651425E-3</v>
      </c>
      <c r="AG38" s="37">
        <f t="shared" si="35"/>
        <v>0.89795899347623487</v>
      </c>
      <c r="AH38" s="60">
        <f t="shared" si="36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7"/>
        <v>1.0691987842474548</v>
      </c>
      <c r="AK38" s="98">
        <f t="shared" si="38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7"/>
        <v>MTL Jakub Dobes</v>
      </c>
      <c r="C39" t="s">
        <v>19</v>
      </c>
      <c r="D39" t="s">
        <v>171</v>
      </c>
      <c r="E39" s="6">
        <v>37</v>
      </c>
      <c r="F39" s="7">
        <f t="shared" si="28"/>
        <v>0.9074214343271555</v>
      </c>
      <c r="G39">
        <f t="shared" si="29"/>
        <v>33.574593070104754</v>
      </c>
      <c r="H39" s="7">
        <f>SUMIFS(G:G,C:C,C39)/82</f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3.0713842074987783</v>
      </c>
      <c r="M39" s="5" cm="1">
        <f t="array" ref="M39">INDEX('2026'!AM:AM, MAX(_xlfn._xlws.FILTER(ROW('2026'!E:E), ('2026'!E:E=Goalies!C39)*('2026'!AM:AM&lt;&gt;""))))</f>
        <v>3.0276695471967403</v>
      </c>
      <c r="N39" s="5">
        <f t="shared" si="39"/>
        <v>3.0882229381406754</v>
      </c>
      <c r="O39" s="5" cm="1">
        <f t="array" ref="O39">IFERROR(INDEX('2026'!AO:AO, MAX(_xlfn._xlws.FILTER(ROW('2026'!I:I), ('2026'!I:I=Goalies!B39)*('2026'!AO:AO&lt;&gt;"")))),"")</f>
        <v>3.0754556954326322</v>
      </c>
      <c r="P39" s="65">
        <f t="shared" si="12"/>
        <v>3.0882229381406754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0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1"/>
        <v>6.7099999999999937</v>
      </c>
      <c r="AD39">
        <f t="shared" si="32"/>
        <v>1241</v>
      </c>
      <c r="AE39">
        <f t="shared" si="33"/>
        <v>9.2099999999999937</v>
      </c>
      <c r="AF39" s="7">
        <f t="shared" si="34"/>
        <v>7.4214343271555147E-3</v>
      </c>
      <c r="AG39" s="37">
        <f t="shared" si="35"/>
        <v>0.9074214343271555</v>
      </c>
      <c r="AH39" s="60">
        <f t="shared" si="36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7"/>
        <v>0.97005011256651164</v>
      </c>
      <c r="AK39" s="98">
        <f t="shared" si="38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7"/>
        <v>MTL Jacob Fowler</v>
      </c>
      <c r="C40" t="s">
        <v>19</v>
      </c>
      <c r="D40" t="s">
        <v>1306</v>
      </c>
      <c r="E40" s="6">
        <v>8</v>
      </c>
      <c r="F40" s="7">
        <f t="shared" si="28"/>
        <v>0.91036908881199541</v>
      </c>
      <c r="G40">
        <f t="shared" si="29"/>
        <v>7.2829527104959633</v>
      </c>
      <c r="H40" s="7">
        <f>SUMIFS(G:G,C:C,C40)/82</f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3.0713842074987783</v>
      </c>
      <c r="M40" s="5" cm="1">
        <f t="array" ref="M40">INDEX('2026'!AM:AM, MAX(_xlfn._xlws.FILTER(ROW('2026'!E:E), ('2026'!E:E=Goalies!C40)*('2026'!AM:AM&lt;&gt;""))))</f>
        <v>3.0276695471967403</v>
      </c>
      <c r="N40" s="5">
        <f t="shared" si="39"/>
        <v>2.9822545039887891</v>
      </c>
      <c r="O40" s="5" cm="1">
        <f t="array" ref="O40">IFERROR(INDEX('2026'!AO:AO, MAX(_xlfn._xlws.FILTER(ROW('2026'!I:I), ('2026'!I:I=Goalies!B40)*('2026'!AO:AO&lt;&gt;"")))),"")</f>
        <v>3.0573858351504266</v>
      </c>
      <c r="P40" s="65">
        <f t="shared" si="12"/>
        <v>2.9822545039887891</v>
      </c>
      <c r="Q40" s="6">
        <v>20</v>
      </c>
      <c r="R40" s="5" t="s">
        <v>19</v>
      </c>
      <c r="S40" t="s">
        <v>1306</v>
      </c>
      <c r="T40">
        <v>700</v>
      </c>
      <c r="U40">
        <v>632.5</v>
      </c>
      <c r="V40">
        <v>67.5</v>
      </c>
      <c r="W40">
        <v>70</v>
      </c>
      <c r="X40">
        <f t="shared" si="30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1"/>
        <v>6.4899999999999984</v>
      </c>
      <c r="AD40">
        <f t="shared" si="32"/>
        <v>867</v>
      </c>
      <c r="AE40">
        <f t="shared" si="33"/>
        <v>8.9899999999999984</v>
      </c>
      <c r="AF40" s="7">
        <f t="shared" si="34"/>
        <v>1.0369088811995384E-2</v>
      </c>
      <c r="AG40" s="37">
        <f t="shared" si="35"/>
        <v>0.91036908881199541</v>
      </c>
      <c r="AH40" s="60">
        <f t="shared" si="36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7"/>
        <v>0.93916420993835215</v>
      </c>
      <c r="AK40" s="98">
        <f t="shared" si="38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7"/>
        <v>NSH Juuse Saros</v>
      </c>
      <c r="C41" t="s">
        <v>35</v>
      </c>
      <c r="D41" t="s">
        <v>172</v>
      </c>
      <c r="E41" s="6">
        <v>57.4</v>
      </c>
      <c r="F41" s="7">
        <f t="shared" si="28"/>
        <v>0.90824629271437785</v>
      </c>
      <c r="G41">
        <f t="shared" si="29"/>
        <v>52.13333720180529</v>
      </c>
      <c r="H41" s="7">
        <f>SUMIFS(G:G,C:C,C41)/82</f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2.8423052073774104</v>
      </c>
      <c r="M41" s="5" cm="1">
        <f t="array" ref="M41">INDEX('2026'!AM:AM, MAX(_xlfn._xlws.FILTER(ROW('2026'!E:E), ('2026'!E:E=Goalies!C41)*('2026'!AM:AM&lt;&gt;""))))</f>
        <v>3.1304136335633261</v>
      </c>
      <c r="N41" s="5">
        <f t="shared" si="39"/>
        <v>3.1020559928113416</v>
      </c>
      <c r="O41" s="5" cm="1">
        <f t="array" ref="O41">IFERROR(INDEX('2026'!AO:AO, MAX(_xlfn._xlws.FILTER(ROW('2026'!I:I), ('2026'!I:I=Goalies!B41)*('2026'!AO:AO&lt;&gt;"")))),"")</f>
        <v>3.1327957036337719</v>
      </c>
      <c r="P41" s="65">
        <f t="shared" si="12"/>
        <v>3.1020559928113416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0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1"/>
        <v>7.2900000000000063</v>
      </c>
      <c r="AD41">
        <f t="shared" si="32"/>
        <v>1551</v>
      </c>
      <c r="AE41">
        <f t="shared" si="33"/>
        <v>12.790000000000006</v>
      </c>
      <c r="AF41" s="7">
        <f t="shared" si="34"/>
        <v>8.2462927143778248E-3</v>
      </c>
      <c r="AG41" s="37">
        <f t="shared" si="35"/>
        <v>0.90824629271437785</v>
      </c>
      <c r="AH41" s="60">
        <f t="shared" si="36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7"/>
        <v>0.99068132341869986</v>
      </c>
      <c r="AK41" s="98">
        <f t="shared" si="38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7"/>
        <v>NSH Justus Annunen</v>
      </c>
      <c r="C42" t="s">
        <v>35</v>
      </c>
      <c r="D42" t="s">
        <v>230</v>
      </c>
      <c r="E42" s="6">
        <v>24.599999999999998</v>
      </c>
      <c r="F42" s="7">
        <f t="shared" si="28"/>
        <v>0.90536940686784606</v>
      </c>
      <c r="G42">
        <f t="shared" si="29"/>
        <v>22.272087408949012</v>
      </c>
      <c r="H42" s="7">
        <f>SUMIFS(G:G,C:C,C42)/82</f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2.8423052073774104</v>
      </c>
      <c r="M42" s="5" cm="1">
        <f t="array" ref="M42">INDEX('2026'!AM:AM, MAX(_xlfn._xlws.FILTER(ROW('2026'!E:E), ('2026'!E:E=Goalies!C42)*('2026'!AM:AM&lt;&gt;""))))</f>
        <v>3.1304136335633261</v>
      </c>
      <c r="N42" s="5">
        <f t="shared" si="39"/>
        <v>3.1930219062345926</v>
      </c>
      <c r="O42" s="5" cm="1">
        <f t="array" ref="O42">IFERROR(INDEX('2026'!AO:AO, MAX(_xlfn._xlws.FILTER(ROW('2026'!I:I), ('2026'!I:I=Goalies!B42)*('2026'!AO:AO&lt;&gt;"")))),"")</f>
        <v>3.2544902014345776</v>
      </c>
      <c r="P42" s="65">
        <f t="shared" si="12"/>
        <v>3.1930219062345926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0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1"/>
        <v>1.6599999999999966</v>
      </c>
      <c r="AD42">
        <f t="shared" si="32"/>
        <v>961</v>
      </c>
      <c r="AE42">
        <f t="shared" si="33"/>
        <v>5.1599999999999966</v>
      </c>
      <c r="AF42" s="7">
        <f t="shared" si="34"/>
        <v>5.3694068678459906E-3</v>
      </c>
      <c r="AG42" s="37">
        <f t="shared" si="35"/>
        <v>0.90536940686784606</v>
      </c>
      <c r="AH42" s="60">
        <f t="shared" si="36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7"/>
        <v>1.0217435786897002</v>
      </c>
      <c r="AK42" s="98">
        <f t="shared" si="38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7"/>
        <v>NJD Jacob Markstrom</v>
      </c>
      <c r="C43" t="s">
        <v>4</v>
      </c>
      <c r="D43" t="s">
        <v>173</v>
      </c>
      <c r="E43" s="6">
        <v>41</v>
      </c>
      <c r="F43" s="7">
        <f t="shared" si="28"/>
        <v>0.90225306122448978</v>
      </c>
      <c r="G43">
        <f t="shared" si="29"/>
        <v>36.992375510204084</v>
      </c>
      <c r="H43" s="7">
        <f>SUMIFS(G:G,C:C,C43)/82</f>
        <v>0.90840560037968687</v>
      </c>
      <c r="I43" s="7">
        <v>2.7318936002106931</v>
      </c>
      <c r="J43" s="9">
        <v>1.02</v>
      </c>
      <c r="K43" s="93">
        <v>1.02</v>
      </c>
      <c r="L43" s="5" cm="1">
        <f t="array" ref="L43">INDEX('2026'!AK:AK, MAX(_xlfn._xlws.FILTER(ROW('2026'!E:E), ('2026'!E:E=Goalies!C43)*('2026'!AK:AK&lt;&gt;""))))</f>
        <v>2.9433280361130896</v>
      </c>
      <c r="M43" s="5" cm="1">
        <f t="array" ref="M43">INDEX('2026'!AM:AM, MAX(_xlfn._xlws.FILTER(ROW('2026'!E:E), ('2026'!E:E=Goalies!C43)*('2026'!AM:AM&lt;&gt;""))))</f>
        <v>2.9441643062970964</v>
      </c>
      <c r="N43" s="5">
        <f t="shared" si="39"/>
        <v>3.0030475924230382</v>
      </c>
      <c r="O43" s="5" cm="1">
        <f t="array" ref="O43">IFERROR(INDEX('2026'!AO:AO, MAX(_xlfn._xlws.FILTER(ROW('2026'!I:I), ('2026'!I:I=Goalies!B43)*('2026'!AO:AO&lt;&gt;"")))),"")</f>
        <v>2.9922768362945096</v>
      </c>
      <c r="P43" s="65">
        <f t="shared" si="12"/>
        <v>3.0030475924230382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0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1"/>
        <v>-1.240000000000002</v>
      </c>
      <c r="AD43">
        <f t="shared" si="32"/>
        <v>1225</v>
      </c>
      <c r="AE43">
        <f t="shared" si="33"/>
        <v>2.759999999999998</v>
      </c>
      <c r="AF43" s="7">
        <f t="shared" si="34"/>
        <v>2.2530612244897942E-3</v>
      </c>
      <c r="AG43" s="37">
        <f t="shared" si="35"/>
        <v>0.90225306122448978</v>
      </c>
      <c r="AH43" s="60">
        <f t="shared" si="36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7"/>
        <v>1.0671715648631481</v>
      </c>
      <c r="AK43" s="98">
        <f t="shared" si="38"/>
        <v>1.02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7"/>
        <v>NJD Jake Allen</v>
      </c>
      <c r="C44" t="s">
        <v>4</v>
      </c>
      <c r="D44" t="s">
        <v>174</v>
      </c>
      <c r="E44" s="6">
        <v>41</v>
      </c>
      <c r="F44" s="7">
        <f t="shared" si="28"/>
        <v>0.91455813953488374</v>
      </c>
      <c r="G44">
        <f t="shared" si="29"/>
        <v>37.496883720930235</v>
      </c>
      <c r="H44" s="7">
        <f>SUMIFS(G:G,C:C,C44)/82</f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2.9433280361130896</v>
      </c>
      <c r="M44" s="5" cm="1">
        <f t="array" ref="M44">INDEX('2026'!AM:AM, MAX(_xlfn._xlws.FILTER(ROW('2026'!E:E), ('2026'!E:E=Goalies!C44)*('2026'!AM:AM&lt;&gt;""))))</f>
        <v>2.9441643062970964</v>
      </c>
      <c r="N44" s="5">
        <f t="shared" si="39"/>
        <v>2.9147226632341252</v>
      </c>
      <c r="O44" s="5" cm="1">
        <f t="array" ref="O44">IFERROR(INDEX('2026'!AO:AO, MAX(_xlfn._xlws.FILTER(ROW('2026'!I:I), ('2026'!I:I=Goalies!B44)*('2026'!AO:AO&lt;&gt;"")))),"")</f>
        <v>2.8997068844448668</v>
      </c>
      <c r="P44" s="65">
        <f t="shared" si="12"/>
        <v>2.9147226632341252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0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1"/>
        <v>15.780000000000001</v>
      </c>
      <c r="AD44">
        <f t="shared" si="32"/>
        <v>1290</v>
      </c>
      <c r="AE44">
        <f t="shared" si="33"/>
        <v>18.78</v>
      </c>
      <c r="AF44" s="7">
        <f t="shared" si="34"/>
        <v>1.4558139534883722E-2</v>
      </c>
      <c r="AG44" s="37">
        <f t="shared" si="35"/>
        <v>0.91455813953488374</v>
      </c>
      <c r="AH44" s="60">
        <f t="shared" si="36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7"/>
        <v>0.93282843513685199</v>
      </c>
      <c r="AK44" s="98">
        <f t="shared" si="38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7"/>
        <v>NJD Nico Daws</v>
      </c>
      <c r="C45" t="s">
        <v>4</v>
      </c>
      <c r="D45" t="s">
        <v>530</v>
      </c>
      <c r="E45" s="6">
        <v>0</v>
      </c>
      <c r="F45" s="7">
        <f t="shared" si="28"/>
        <v>0.90428571428571436</v>
      </c>
      <c r="G45">
        <f t="shared" si="29"/>
        <v>0</v>
      </c>
      <c r="H45" s="7">
        <f>SUMIFS(G:G,C:C,C45)/82</f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2.9433280361130896</v>
      </c>
      <c r="M45" s="5" cm="1">
        <f t="array" ref="M45">INDEX('2026'!AM:AM, MAX(_xlfn._xlws.FILTER(ROW('2026'!E:E), ('2026'!E:E=Goalies!C45)*('2026'!AM:AM&lt;&gt;""))))</f>
        <v>2.9441643062970964</v>
      </c>
      <c r="N45" s="5">
        <f t="shared" si="39"/>
        <v>3.0619308785489805</v>
      </c>
      <c r="O45" s="5" cm="1">
        <f t="array" ref="O45">IFERROR(INDEX('2026'!AO:AO, MAX(_xlfn._xlws.FILTER(ROW('2026'!I:I), ('2026'!I:I=Goalies!B45)*('2026'!AO:AO&lt;&gt;"")))),"")</f>
        <v>2.7912825915196211</v>
      </c>
      <c r="P45" s="65">
        <f t="shared" si="12"/>
        <v>3.0619308785489805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0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1"/>
        <v>0</v>
      </c>
      <c r="AD45">
        <f t="shared" si="32"/>
        <v>700</v>
      </c>
      <c r="AE45">
        <f t="shared" si="33"/>
        <v>3</v>
      </c>
      <c r="AF45" s="7">
        <f t="shared" si="34"/>
        <v>4.2857142857142859E-3</v>
      </c>
      <c r="AG45" s="37">
        <f t="shared" si="35"/>
        <v>0.90428571428571436</v>
      </c>
      <c r="AH45" s="60">
        <f t="shared" si="36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7"/>
        <v>1.0449796724586937</v>
      </c>
      <c r="AK45" s="98">
        <f t="shared" si="38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7"/>
        <v>NYI Ilya Sorokin</v>
      </c>
      <c r="C46" t="s">
        <v>37</v>
      </c>
      <c r="D46" t="s">
        <v>175</v>
      </c>
      <c r="E46" s="6">
        <v>54.940000000000005</v>
      </c>
      <c r="F46" s="7">
        <f t="shared" si="28"/>
        <v>0.92546977421704302</v>
      </c>
      <c r="G46">
        <f t="shared" si="29"/>
        <v>50.84530939548435</v>
      </c>
      <c r="H46" s="7">
        <f>SUMIFS(G:G,C:C,C46)/82</f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2.8994437962961168</v>
      </c>
      <c r="M46" s="5" cm="1">
        <f t="array" ref="M46">INDEX('2026'!AM:AM, MAX(_xlfn._xlws.FILTER(ROW('2026'!E:E), ('2026'!E:E=Goalies!C46)*('2026'!AM:AM&lt;&gt;""))))</f>
        <v>2.9307175930811784</v>
      </c>
      <c r="N46" s="5">
        <f t="shared" si="39"/>
        <v>2.8427960652887432</v>
      </c>
      <c r="O46" s="5" cm="1">
        <f t="array" ref="O46">IFERROR(INDEX('2026'!AO:AO, MAX(_xlfn._xlws.FILTER(ROW('2026'!I:I), ('2026'!I:I=Goalies!B46)*('2026'!AO:AO&lt;&gt;"")))),"")</f>
        <v>2.9156362986187889</v>
      </c>
      <c r="P46" s="65">
        <f t="shared" si="12"/>
        <v>2.8427960652887432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0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1"/>
        <v>27.47</v>
      </c>
      <c r="AD46">
        <f t="shared" si="32"/>
        <v>1373</v>
      </c>
      <c r="AE46">
        <f t="shared" si="33"/>
        <v>34.97</v>
      </c>
      <c r="AF46" s="7">
        <f t="shared" si="34"/>
        <v>2.5469774217042971E-2</v>
      </c>
      <c r="AG46" s="37">
        <f t="shared" si="35"/>
        <v>0.92546977421704302</v>
      </c>
      <c r="AH46" s="60">
        <f t="shared" si="36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7"/>
        <v>0.94880870848302756</v>
      </c>
      <c r="AK46" s="98">
        <f t="shared" si="38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7"/>
        <v>NYI David Rittich</v>
      </c>
      <c r="C47" t="s">
        <v>37</v>
      </c>
      <c r="D47" t="s">
        <v>176</v>
      </c>
      <c r="E47" s="6">
        <v>27.060000000000002</v>
      </c>
      <c r="F47" s="7">
        <f t="shared" si="28"/>
        <v>0.91328448275862073</v>
      </c>
      <c r="G47">
        <f t="shared" si="29"/>
        <v>24.713478103448278</v>
      </c>
      <c r="H47" s="7">
        <f>SUMIFS(G:G,C:C,C47)/82</f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2.8994437962961168</v>
      </c>
      <c r="M47" s="5" cm="1">
        <f t="array" ref="M47">INDEX('2026'!AM:AM, MAX(_xlfn._xlws.FILTER(ROW('2026'!E:E), ('2026'!E:E=Goalies!C47)*('2026'!AM:AM&lt;&gt;""))))</f>
        <v>2.9307175930811784</v>
      </c>
      <c r="N47" s="5">
        <f t="shared" si="39"/>
        <v>3.1065606486660493</v>
      </c>
      <c r="O47" s="5" cm="1">
        <f t="array" ref="O47">IFERROR(INDEX('2026'!AO:AO, MAX(_xlfn._xlws.FILTER(ROW('2026'!I:I), ('2026'!I:I=Goalies!B47)*('2026'!AO:AO&lt;&gt;"")))),"")</f>
        <v>3.1715685268377944</v>
      </c>
      <c r="P47" s="65">
        <f t="shared" si="12"/>
        <v>3.1065606486660493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0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1"/>
        <v>17.909999999999997</v>
      </c>
      <c r="AD47">
        <f t="shared" si="32"/>
        <v>1160</v>
      </c>
      <c r="AE47">
        <f t="shared" si="33"/>
        <v>15.409999999999997</v>
      </c>
      <c r="AF47" s="7">
        <f t="shared" si="34"/>
        <v>1.3284482758620687E-2</v>
      </c>
      <c r="AG47" s="37">
        <f t="shared" si="35"/>
        <v>0.91328448275862073</v>
      </c>
      <c r="AH47" s="60">
        <f t="shared" si="36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7"/>
        <v>1.1039338342920348</v>
      </c>
      <c r="AK47" s="98">
        <f t="shared" si="38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7"/>
        <v>NYR Igor Shesterkin</v>
      </c>
      <c r="C48" t="s">
        <v>20</v>
      </c>
      <c r="D48" t="s">
        <v>177</v>
      </c>
      <c r="E48" s="6">
        <v>61.5</v>
      </c>
      <c r="F48" s="7">
        <f t="shared" si="28"/>
        <v>0.91806896551724138</v>
      </c>
      <c r="G48">
        <f t="shared" si="29"/>
        <v>56.461241379310344</v>
      </c>
      <c r="H48" s="7">
        <f>SUMIFS(G:G,C:C,C48)/82</f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2.8123778442108005</v>
      </c>
      <c r="M48" s="5" cm="1">
        <f t="array" ref="M48">INDEX('2026'!AM:AM, MAX(_xlfn._xlws.FILTER(ROW('2026'!E:E), ('2026'!E:E=Goalies!C48)*('2026'!AM:AM&lt;&gt;""))))</f>
        <v>3.03</v>
      </c>
      <c r="N48" s="5">
        <f t="shared" si="39"/>
        <v>2.9390999999999998</v>
      </c>
      <c r="O48" s="5" cm="1">
        <f t="array" ref="O48">IFERROR(INDEX('2026'!AO:AO, MAX(_xlfn._xlws.FILTER(ROW('2026'!I:I), ('2026'!I:I=Goalies!B48)*('2026'!AO:AO&lt;&gt;"")))),"")</f>
        <v>2.869393500937123</v>
      </c>
      <c r="P48" s="65">
        <f t="shared" si="12"/>
        <v>2.9390999999999998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0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1"/>
        <v>20.819999999999993</v>
      </c>
      <c r="AD48">
        <f t="shared" si="32"/>
        <v>1595</v>
      </c>
      <c r="AE48">
        <f t="shared" si="33"/>
        <v>28.819999999999993</v>
      </c>
      <c r="AF48" s="7">
        <f t="shared" si="34"/>
        <v>1.8068965517241374E-2</v>
      </c>
      <c r="AG48" s="37">
        <f t="shared" si="35"/>
        <v>0.91806896551724138</v>
      </c>
      <c r="AH48" s="60">
        <f t="shared" si="36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7"/>
        <v>0.96620040357219039</v>
      </c>
      <c r="AK48" s="98">
        <f t="shared" si="38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7"/>
        <v>NYR Jonathan Quick</v>
      </c>
      <c r="C49" t="s">
        <v>20</v>
      </c>
      <c r="D49" t="s">
        <v>178</v>
      </c>
      <c r="E49" s="6">
        <v>20.5</v>
      </c>
      <c r="F49" s="7">
        <f t="shared" si="28"/>
        <v>0.91023493360572016</v>
      </c>
      <c r="G49">
        <f t="shared" si="29"/>
        <v>18.659816138917265</v>
      </c>
      <c r="H49" s="7">
        <f>SUMIFS(G:G,C:C,C49)/82</f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2.8123778442108005</v>
      </c>
      <c r="M49" s="5" cm="1">
        <f t="array" ref="M49">INDEX('2026'!AM:AM, MAX(_xlfn._xlws.FILTER(ROW('2026'!E:E), ('2026'!E:E=Goalies!C49)*('2026'!AM:AM&lt;&gt;""))))</f>
        <v>3.03</v>
      </c>
      <c r="N49" s="5">
        <f t="shared" si="39"/>
        <v>3.1814999999999998</v>
      </c>
      <c r="O49" s="5" cm="1">
        <f t="array" ref="O49">IFERROR(INDEX('2026'!AO:AO, MAX(_xlfn._xlws.FILTER(ROW('2026'!I:I), ('2026'!I:I=Goalies!B49)*('2026'!AO:AO&lt;&gt;"")))),"")</f>
        <v>3.0540831364013497</v>
      </c>
      <c r="P49" s="65">
        <f t="shared" si="12"/>
        <v>3.1814999999999998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0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1"/>
        <v>9.02</v>
      </c>
      <c r="AD49">
        <f t="shared" si="32"/>
        <v>979</v>
      </c>
      <c r="AE49">
        <f t="shared" si="33"/>
        <v>10.02</v>
      </c>
      <c r="AF49" s="7">
        <f t="shared" si="34"/>
        <v>1.0234933605720122E-2</v>
      </c>
      <c r="AG49" s="37">
        <f t="shared" si="35"/>
        <v>0.91023493360572016</v>
      </c>
      <c r="AH49" s="60">
        <f t="shared" si="36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7"/>
        <v>1.058585967141537</v>
      </c>
      <c r="AK49" s="98">
        <f t="shared" si="38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7"/>
        <v>NYR Spencer Martin</v>
      </c>
      <c r="C50" t="s">
        <v>20</v>
      </c>
      <c r="D50" t="s">
        <v>1169</v>
      </c>
      <c r="E50" s="6">
        <v>0</v>
      </c>
      <c r="F50" s="7">
        <f t="shared" si="28"/>
        <v>0.90142857142857147</v>
      </c>
      <c r="G50">
        <f t="shared" si="29"/>
        <v>0</v>
      </c>
      <c r="H50" s="7">
        <f>SUMIFS(G:G,C:C,C50)/82</f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2.8123778442108005</v>
      </c>
      <c r="M50" s="5" cm="1">
        <f t="array" ref="M50">INDEX('2026'!AM:AM, MAX(_xlfn._xlws.FILTER(ROW('2026'!E:E), ('2026'!E:E=Goalies!C50)*('2026'!AM:AM&lt;&gt;""))))</f>
        <v>3.03</v>
      </c>
      <c r="N50" s="5">
        <f t="shared" si="39"/>
        <v>3.2117999999999998</v>
      </c>
      <c r="O50" s="5" cm="1">
        <f t="array" ref="O50">IFERROR(INDEX('2026'!AO:AO, MAX(_xlfn._xlws.FILTER(ROW('2026'!I:I), ('2026'!I:I=Goalies!B50)*('2026'!AO:AO&lt;&gt;"")))),"")</f>
        <v>3.2683341650565167</v>
      </c>
      <c r="P50" s="65">
        <f t="shared" si="12"/>
        <v>3.2117999999999998</v>
      </c>
      <c r="Q50" s="6">
        <v>0</v>
      </c>
      <c r="R50" t="s">
        <v>20</v>
      </c>
      <c r="S50" t="s">
        <v>1169</v>
      </c>
      <c r="T50">
        <v>700</v>
      </c>
      <c r="U50">
        <v>631</v>
      </c>
      <c r="V50">
        <v>69</v>
      </c>
      <c r="W50">
        <v>70</v>
      </c>
      <c r="X50">
        <f t="shared" si="30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1"/>
        <v>0</v>
      </c>
      <c r="AD50">
        <f t="shared" si="32"/>
        <v>700</v>
      </c>
      <c r="AE50">
        <f t="shared" si="33"/>
        <v>1</v>
      </c>
      <c r="AF50" s="7">
        <f t="shared" si="34"/>
        <v>1.4285714285714286E-3</v>
      </c>
      <c r="AG50" s="37">
        <f t="shared" si="35"/>
        <v>0.90142857142857147</v>
      </c>
      <c r="AH50" s="60">
        <f t="shared" si="36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7"/>
        <v>1.162438075726282</v>
      </c>
      <c r="AK50" s="98">
        <f t="shared" si="38"/>
        <v>1.06</v>
      </c>
      <c r="AL50" s="5"/>
      <c r="AM50" s="7"/>
      <c r="AN50" s="91"/>
      <c r="AO50" s="37"/>
      <c r="AR50" s="75" t="s">
        <v>248</v>
      </c>
      <c r="AS50" s="75" t="s">
        <v>1302</v>
      </c>
      <c r="AT50" s="75" t="s">
        <v>20</v>
      </c>
      <c r="AU50" s="75" t="s">
        <v>1169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1298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7"/>
        <v>OTT Linus Ullmark</v>
      </c>
      <c r="C51" t="s">
        <v>39</v>
      </c>
      <c r="D51" t="s">
        <v>179</v>
      </c>
      <c r="E51" s="6">
        <v>61.5</v>
      </c>
      <c r="F51" s="7">
        <f t="shared" si="28"/>
        <v>0.89779061371841162</v>
      </c>
      <c r="G51">
        <f t="shared" si="29"/>
        <v>55.214122743682317</v>
      </c>
      <c r="H51" s="7">
        <f>SUMIFS(G:G,C:C,C51)/82</f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3.0653333431398884</v>
      </c>
      <c r="M51" s="5" cm="1">
        <f t="array" ref="M51">INDEX('2026'!AM:AM, MAX(_xlfn._xlws.FILTER(ROW('2026'!E:E), ('2026'!E:E=Goalies!C51)*('2026'!AM:AM&lt;&gt;""))))</f>
        <v>3.094847414579732</v>
      </c>
      <c r="N51" s="5">
        <f t="shared" si="39"/>
        <v>3.0638989404339347</v>
      </c>
      <c r="O51" s="5" cm="1">
        <f t="array" ref="O51">IFERROR(INDEX('2026'!AO:AO, MAX(_xlfn._xlws.FILTER(ROW('2026'!I:I), ('2026'!I:I=Goalies!B51)*('2026'!AO:AO&lt;&gt;"")))),"")</f>
        <v>2.8497392797634475</v>
      </c>
      <c r="P51" s="65">
        <f t="shared" si="12"/>
        <v>3.0638989404339347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0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1"/>
        <v>-9.5600000000000023</v>
      </c>
      <c r="AD51">
        <f t="shared" si="32"/>
        <v>1385</v>
      </c>
      <c r="AE51">
        <f t="shared" si="33"/>
        <v>-3.0600000000000023</v>
      </c>
      <c r="AF51" s="7">
        <f t="shared" si="34"/>
        <v>-2.2093862815884494E-3</v>
      </c>
      <c r="AG51" s="37">
        <f t="shared" si="35"/>
        <v>0.89779061371841162</v>
      </c>
      <c r="AH51" s="60">
        <f t="shared" si="36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7"/>
        <v>0.98521451518425329</v>
      </c>
      <c r="AK51" s="98">
        <f t="shared" si="38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7"/>
        <v>OTT Leevi Merilainen</v>
      </c>
      <c r="C52" t="s">
        <v>39</v>
      </c>
      <c r="D52" t="s">
        <v>450</v>
      </c>
      <c r="E52" s="6">
        <v>20.5</v>
      </c>
      <c r="F52" s="7">
        <f t="shared" si="28"/>
        <v>0.89165503489531406</v>
      </c>
      <c r="G52">
        <f t="shared" si="29"/>
        <v>18.27892821535394</v>
      </c>
      <c r="H52" s="7">
        <f>SUMIFS(G:G,C:C,C52)/82</f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3.0653333431398884</v>
      </c>
      <c r="M52" s="5" cm="1">
        <f t="array" ref="M52">INDEX('2026'!AM:AM, MAX(_xlfn._xlws.FILTER(ROW('2026'!E:E), ('2026'!E:E=Goalies!C52)*('2026'!AM:AM&lt;&gt;""))))</f>
        <v>3.094847414579732</v>
      </c>
      <c r="N52" s="5">
        <f t="shared" si="39"/>
        <v>3.1876928370171242</v>
      </c>
      <c r="O52" s="5" cm="1">
        <f t="array" ref="O52">IFERROR(INDEX('2026'!AO:AO, MAX(_xlfn._xlws.FILTER(ROW('2026'!I:I), ('2026'!I:I=Goalies!B52)*('2026'!AO:AO&lt;&gt;"")))),"")</f>
        <v>3.0406616754575326</v>
      </c>
      <c r="P52" s="65">
        <f t="shared" si="12"/>
        <v>3.1876928370171242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0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1"/>
        <v>-8.370000000000001</v>
      </c>
      <c r="AD52">
        <f t="shared" si="32"/>
        <v>1003</v>
      </c>
      <c r="AE52">
        <f t="shared" si="33"/>
        <v>-8.370000000000001</v>
      </c>
      <c r="AF52" s="7">
        <f t="shared" si="34"/>
        <v>-8.3449651046859433E-3</v>
      </c>
      <c r="AG52" s="37">
        <f t="shared" si="35"/>
        <v>0.89165503489531406</v>
      </c>
      <c r="AH52" s="60">
        <f t="shared" si="36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7"/>
        <v>1.0443564544472399</v>
      </c>
      <c r="AK52" s="98">
        <f t="shared" si="38"/>
        <v>1.03</v>
      </c>
      <c r="AL52" s="5"/>
      <c r="AM52" s="7"/>
      <c r="AN52" s="91"/>
      <c r="AO52" s="37"/>
      <c r="AR52" s="75" t="s">
        <v>247</v>
      </c>
      <c r="AS52" s="75" t="s">
        <v>1365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7"/>
        <v>OTT Mads Sogard</v>
      </c>
      <c r="C53" t="s">
        <v>39</v>
      </c>
      <c r="D53" t="s">
        <v>527</v>
      </c>
      <c r="E53" s="6">
        <v>0</v>
      </c>
      <c r="F53" s="7">
        <f t="shared" si="28"/>
        <v>0.9</v>
      </c>
      <c r="G53">
        <f t="shared" si="29"/>
        <v>0</v>
      </c>
      <c r="H53" s="7">
        <f>SUMIFS(G:G,C:C,C53)/82</f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3.0653333431398884</v>
      </c>
      <c r="M53" s="5" cm="1">
        <f t="array" ref="M53">INDEX('2026'!AM:AM, MAX(_xlfn._xlws.FILTER(ROW('2026'!E:E), ('2026'!E:E=Goalies!C53)*('2026'!AM:AM&lt;&gt;""))))</f>
        <v>3.094847414579732</v>
      </c>
      <c r="N53" s="5">
        <f t="shared" si="39"/>
        <v>3.1876928370171242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2"/>
        <v>3.1876928370171242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1"/>
        <v>0</v>
      </c>
      <c r="AD53">
        <f t="shared" si="32"/>
        <v>700</v>
      </c>
      <c r="AE53">
        <f t="shared" si="33"/>
        <v>0</v>
      </c>
      <c r="AF53" s="7">
        <f t="shared" si="34"/>
        <v>0</v>
      </c>
      <c r="AG53" s="37">
        <f t="shared" si="35"/>
        <v>0.9</v>
      </c>
      <c r="AH53" s="60">
        <f t="shared" si="36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7"/>
        <v>0.96391784651751311</v>
      </c>
      <c r="AK53" s="98">
        <f t="shared" si="38"/>
        <v>1.03</v>
      </c>
      <c r="AL53" s="5"/>
      <c r="AM53" s="7"/>
      <c r="AN53" s="91"/>
      <c r="AO53" s="37"/>
      <c r="AR53" s="75" t="s">
        <v>248</v>
      </c>
      <c r="AS53" s="75" t="s">
        <v>1303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1298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0">C54&amp;" "&amp;D54</f>
        <v>OTT James Reimer</v>
      </c>
      <c r="C54" t="s">
        <v>39</v>
      </c>
      <c r="D54" t="s">
        <v>1950</v>
      </c>
      <c r="E54" s="6">
        <v>0</v>
      </c>
      <c r="F54" s="7">
        <f t="shared" ref="F54" si="41">AG54</f>
        <v>0.9</v>
      </c>
      <c r="G54">
        <f t="shared" ref="G54" si="42">E54*F54</f>
        <v>0</v>
      </c>
      <c r="H54" s="7">
        <f>SUMIFS(G:G,C:C,C54)/82</f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3.0653333431398884</v>
      </c>
      <c r="M54" s="5" cm="1">
        <f t="array" ref="M54">INDEX('2026'!AM:AM, MAX(_xlfn._xlws.FILTER(ROW('2026'!E:E), ('2026'!E:E=Goalies!C54)*('2026'!AM:AM&lt;&gt;""))))</f>
        <v>3.094847414579732</v>
      </c>
      <c r="N54" s="5">
        <f t="shared" ref="N54" si="43">J54*M54</f>
        <v>3.1567443628713265</v>
      </c>
      <c r="O54" s="5" cm="1">
        <f t="array" ref="O54">IFERROR(INDEX('2026'!AO:AO, MAX(_xlfn._xlws.FILTER(ROW('2026'!I:I), ('2026'!I:I=Goalies!B54)*('2026'!AO:AO&lt;&gt;"")))),"")</f>
        <v>3.0752241038499628</v>
      </c>
      <c r="P54" s="65">
        <f t="shared" ref="P54" si="44">M54*J54</f>
        <v>3.1567443628713265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5">AB54-AA54</f>
        <v>0</v>
      </c>
      <c r="AD54">
        <f t="shared" ref="AD54" si="46">SUM(T54,Z54)</f>
        <v>700</v>
      </c>
      <c r="AE54">
        <f t="shared" ref="AE54" si="47">SUM(X54+AC54)</f>
        <v>0</v>
      </c>
      <c r="AF54" s="7">
        <f t="shared" ref="AF54" si="48">AE54/AD54</f>
        <v>0</v>
      </c>
      <c r="AG54" s="37">
        <f t="shared" ref="AG54" si="49">AF54+0.9</f>
        <v>0.9</v>
      </c>
      <c r="AH54" s="60">
        <f t="shared" ref="AH54" si="50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1">AH54/AI54</f>
        <v>0.96391784651751311</v>
      </c>
      <c r="AK54" s="98">
        <f t="shared" ref="AK54" si="52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7"/>
        <v>PHI Samuel Ersson</v>
      </c>
      <c r="C55" t="s">
        <v>43</v>
      </c>
      <c r="D55" t="s">
        <v>231</v>
      </c>
      <c r="E55" s="6">
        <v>28.7</v>
      </c>
      <c r="F55" s="7">
        <f t="shared" si="28"/>
        <v>0.89795475966069749</v>
      </c>
      <c r="G55">
        <f t="shared" si="29"/>
        <v>25.771301602262017</v>
      </c>
      <c r="H55" s="7">
        <f>SUMIFS(G:G,C:C,C55)/82</f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2.7978253633115058</v>
      </c>
      <c r="M55" s="5" cm="1">
        <f t="array" ref="M55">INDEX('2026'!AM:AM, MAX(_xlfn._xlws.FILTER(ROW('2026'!E:E), ('2026'!E:E=Goalies!C55)*('2026'!AM:AM&lt;&gt;""))))</f>
        <v>3.01</v>
      </c>
      <c r="N55" s="5">
        <f t="shared" si="39"/>
        <v>3.1303999999999998</v>
      </c>
      <c r="O55" s="5" cm="1">
        <f t="array" ref="O55">IFERROR(INDEX('2026'!AO:AO, MAX(_xlfn._xlws.FILTER(ROW('2026'!I:I), ('2026'!I:I=Goalies!B55)*('2026'!AO:AO&lt;&gt;"")))),"")</f>
        <v>3.112599637829796</v>
      </c>
      <c r="P55" s="65">
        <f t="shared" si="12"/>
        <v>3.1303999999999998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3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1"/>
        <v>-0.67000000000000171</v>
      </c>
      <c r="AD55">
        <f t="shared" si="32"/>
        <v>1061</v>
      </c>
      <c r="AE55">
        <f t="shared" si="33"/>
        <v>-2.1700000000000017</v>
      </c>
      <c r="AF55" s="7">
        <f t="shared" si="34"/>
        <v>-2.0452403393025464E-3</v>
      </c>
      <c r="AG55" s="37">
        <f t="shared" si="35"/>
        <v>0.89795475966069749</v>
      </c>
      <c r="AH55" s="60">
        <f t="shared" si="36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7"/>
        <v>1.0818463414163109</v>
      </c>
      <c r="AK55" s="98">
        <f t="shared" si="38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7"/>
        <v>PHI Dan Vladar</v>
      </c>
      <c r="C56" t="s">
        <v>43</v>
      </c>
      <c r="D56" t="s">
        <v>180</v>
      </c>
      <c r="E56" s="6">
        <v>53.300000000000004</v>
      </c>
      <c r="F56" s="7">
        <f t="shared" si="28"/>
        <v>0.90983193277310925</v>
      </c>
      <c r="G56">
        <f t="shared" si="29"/>
        <v>48.494042016806731</v>
      </c>
      <c r="H56" s="7">
        <f>SUMIFS(G:G,C:C,C56)/82</f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2.7978253633115058</v>
      </c>
      <c r="M56" s="5" cm="1">
        <f t="array" ref="M56">INDEX('2026'!AM:AM, MAX(_xlfn._xlws.FILTER(ROW('2026'!E:E), ('2026'!E:E=Goalies!C56)*('2026'!AM:AM&lt;&gt;""))))</f>
        <v>3.01</v>
      </c>
      <c r="N56" s="5">
        <f t="shared" si="39"/>
        <v>2.9347499999999997</v>
      </c>
      <c r="O56" s="5" cm="1">
        <f t="array" ref="O56">IFERROR(INDEX('2026'!AO:AO, MAX(_xlfn._xlws.FILTER(ROW('2026'!I:I), ('2026'!I:I=Goalies!B56)*('2026'!AO:AO&lt;&gt;"")))),"")</f>
        <v>2.9806591367688728</v>
      </c>
      <c r="P56" s="65">
        <f t="shared" si="12"/>
        <v>2.9347499999999997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3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1"/>
        <v>14.370000000000005</v>
      </c>
      <c r="AD56">
        <f t="shared" si="32"/>
        <v>1309</v>
      </c>
      <c r="AE56">
        <f t="shared" si="33"/>
        <v>12.870000000000005</v>
      </c>
      <c r="AF56" s="7">
        <f t="shared" si="34"/>
        <v>9.8319327731092466E-3</v>
      </c>
      <c r="AG56" s="37">
        <f t="shared" si="35"/>
        <v>0.90983193277310925</v>
      </c>
      <c r="AH56" s="60">
        <f t="shared" si="36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7"/>
        <v>0.95592889308352491</v>
      </c>
      <c r="AK56" s="98">
        <f t="shared" si="38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7"/>
        <v>PHI Aleksei Kolosov</v>
      </c>
      <c r="C57" t="s">
        <v>43</v>
      </c>
      <c r="D57" t="s">
        <v>691</v>
      </c>
      <c r="E57" s="6">
        <v>0</v>
      </c>
      <c r="F57" s="7">
        <f t="shared" si="28"/>
        <v>0.89785714285714291</v>
      </c>
      <c r="G57">
        <f t="shared" si="29"/>
        <v>0</v>
      </c>
      <c r="H57" s="7">
        <f>SUMIFS(G:G,C:C,C57)/82</f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2.7978253633115058</v>
      </c>
      <c r="M57" s="5" cm="1">
        <f t="array" ref="M57">INDEX('2026'!AM:AM, MAX(_xlfn._xlws.FILTER(ROW('2026'!E:E), ('2026'!E:E=Goalies!C57)*('2026'!AM:AM&lt;&gt;""))))</f>
        <v>3.01</v>
      </c>
      <c r="N57" s="5">
        <f t="shared" si="39"/>
        <v>3.1905999999999999</v>
      </c>
      <c r="O57" s="5" cm="1">
        <f t="array" ref="O57">IFERROR(INDEX('2026'!AO:AO, MAX(_xlfn._xlws.FILTER(ROW('2026'!I:I), ('2026'!I:I=Goalies!B57)*('2026'!AO:AO&lt;&gt;"")))),"")</f>
        <v>3.1765043159269353</v>
      </c>
      <c r="P57" s="65">
        <f t="shared" si="12"/>
        <v>3.1905999999999999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3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1"/>
        <v>0</v>
      </c>
      <c r="AD57">
        <f t="shared" si="32"/>
        <v>700</v>
      </c>
      <c r="AE57">
        <f t="shared" si="33"/>
        <v>-1.5</v>
      </c>
      <c r="AF57" s="7">
        <f t="shared" si="34"/>
        <v>-2.142857142857143E-3</v>
      </c>
      <c r="AG57" s="37">
        <f t="shared" si="35"/>
        <v>0.89785714285714291</v>
      </c>
      <c r="AH57" s="60">
        <f t="shared" si="36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7"/>
        <v>1.0828812390894913</v>
      </c>
      <c r="AK57" s="98">
        <f t="shared" si="38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7"/>
        <v>PIT Stuart Skinner</v>
      </c>
      <c r="C58" t="s">
        <v>21</v>
      </c>
      <c r="D58" t="s">
        <v>163</v>
      </c>
      <c r="E58" s="6">
        <v>43</v>
      </c>
      <c r="F58" s="7">
        <f t="shared" si="28"/>
        <v>0.908004402054292</v>
      </c>
      <c r="G58">
        <f t="shared" si="29"/>
        <v>39.044189288334557</v>
      </c>
      <c r="H58" s="7">
        <f>SUMIFS(G:G,C:C,C58)/82</f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</v>
      </c>
      <c r="M58" s="5" cm="1">
        <f t="array" ref="M58">INDEX('2026'!AM:AM, MAX(_xlfn._xlws.FILTER(ROW('2026'!E:E), ('2026'!E:E=Goalies!C58)*('2026'!AM:AM&lt;&gt;""))))</f>
        <v>3.18</v>
      </c>
      <c r="N58" s="5">
        <f t="shared" si="39"/>
        <v>3.1005000000000003</v>
      </c>
      <c r="O58" s="5" cm="1">
        <f t="array" ref="O58">IFERROR(INDEX('2026'!AO:AO, MAX(_xlfn._xlws.FILTER(ROW('2026'!I:I), ('2026'!I:I=Goalies!B58)*('2026'!AO:AO&lt;&gt;"")))),"")</f>
        <v>3.065558047703167</v>
      </c>
      <c r="P58" s="65">
        <f t="shared" si="12"/>
        <v>3.1005000000000003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3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1"/>
        <v>8.4100000000000108</v>
      </c>
      <c r="AD58">
        <f t="shared" si="32"/>
        <v>1363</v>
      </c>
      <c r="AE58">
        <f t="shared" si="33"/>
        <v>10.910000000000011</v>
      </c>
      <c r="AF58" s="7">
        <f t="shared" si="34"/>
        <v>8.0044020542920109E-3</v>
      </c>
      <c r="AG58" s="37">
        <f t="shared" si="35"/>
        <v>0.908004402054292</v>
      </c>
      <c r="AH58" s="60">
        <f t="shared" si="36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7"/>
        <v>0.94850773821107837</v>
      </c>
      <c r="AK58" s="98">
        <f t="shared" si="38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7"/>
        <v>PIT Arturs Silovs</v>
      </c>
      <c r="C59" t="s">
        <v>21</v>
      </c>
      <c r="D59" t="s">
        <v>232</v>
      </c>
      <c r="E59" s="6">
        <v>35</v>
      </c>
      <c r="F59" s="7">
        <f t="shared" si="28"/>
        <v>0.89843302443133954</v>
      </c>
      <c r="G59">
        <f t="shared" si="29"/>
        <v>31.445155855096885</v>
      </c>
      <c r="H59" s="7">
        <f>SUMIFS(G:G,C:C,C59)/82</f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</v>
      </c>
      <c r="M59" s="5" cm="1">
        <f t="array" ref="M59">INDEX('2026'!AM:AM, MAX(_xlfn._xlws.FILTER(ROW('2026'!E:E), ('2026'!E:E=Goalies!C59)*('2026'!AM:AM&lt;&gt;""))))</f>
        <v>3.18</v>
      </c>
      <c r="N59" s="5">
        <f t="shared" si="39"/>
        <v>3.2754000000000003</v>
      </c>
      <c r="O59" s="5" cm="1">
        <f t="array" ref="O59">IFERROR(INDEX('2026'!AO:AO, MAX(_xlfn._xlws.FILTER(ROW('2026'!I:I), ('2026'!I:I=Goalies!B59)*('2026'!AO:AO&lt;&gt;"")))),"")</f>
        <v>3.297332012228726</v>
      </c>
      <c r="P59" s="65">
        <f t="shared" si="12"/>
        <v>3.2754000000000003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3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1"/>
        <v>3.1400000000000006</v>
      </c>
      <c r="AD59">
        <f t="shared" si="32"/>
        <v>1187</v>
      </c>
      <c r="AE59">
        <f t="shared" si="33"/>
        <v>-1.8599999999999994</v>
      </c>
      <c r="AF59" s="7">
        <f t="shared" si="34"/>
        <v>-1.5669755686604882E-3</v>
      </c>
      <c r="AG59" s="37">
        <f t="shared" si="35"/>
        <v>0.89843302443133954</v>
      </c>
      <c r="AH59" s="60">
        <f t="shared" si="36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7"/>
        <v>1.0471920877173291</v>
      </c>
      <c r="AK59" s="98">
        <f t="shared" si="38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7"/>
        <v>PIT Sergei Murashov</v>
      </c>
      <c r="C60" t="s">
        <v>21</v>
      </c>
      <c r="D60" s="33" t="s">
        <v>1295</v>
      </c>
      <c r="E60" s="6">
        <v>4</v>
      </c>
      <c r="F60" s="7">
        <f t="shared" si="28"/>
        <v>0.89489596083231338</v>
      </c>
      <c r="G60">
        <f t="shared" si="29"/>
        <v>3.5795838433292535</v>
      </c>
      <c r="H60" s="7">
        <f>SUMIFS(G:G,C:C,C60)/82</f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</v>
      </c>
      <c r="M60" s="5" cm="1">
        <f t="array" ref="M60">INDEX('2026'!AM:AM, MAX(_xlfn._xlws.FILTER(ROW('2026'!E:E), ('2026'!E:E=Goalies!C60)*('2026'!AM:AM&lt;&gt;""))))</f>
        <v>3.18</v>
      </c>
      <c r="N60" s="5">
        <f t="shared" si="39"/>
        <v>3.3072000000000004</v>
      </c>
      <c r="O60" s="5" cm="1">
        <f t="array" ref="O60">IFERROR(INDEX('2026'!AO:AO, MAX(_xlfn._xlws.FILTER(ROW('2026'!I:I), ('2026'!I:I=Goalies!B60)*('2026'!AO:AO&lt;&gt;"")))),"")</f>
        <v>3.5658999999999996</v>
      </c>
      <c r="P60" s="65">
        <f t="shared" si="12"/>
        <v>3.3072000000000004</v>
      </c>
      <c r="Q60" s="6">
        <v>5</v>
      </c>
      <c r="R60" t="s">
        <v>21</v>
      </c>
      <c r="S60" s="33" t="s">
        <v>1295</v>
      </c>
      <c r="T60">
        <v>700</v>
      </c>
      <c r="U60">
        <v>625</v>
      </c>
      <c r="V60">
        <v>75</v>
      </c>
      <c r="W60">
        <v>70</v>
      </c>
      <c r="X60">
        <f t="shared" si="53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1"/>
        <v>0.83000000000000007</v>
      </c>
      <c r="AD60">
        <f t="shared" si="32"/>
        <v>817</v>
      </c>
      <c r="AE60">
        <f t="shared" si="33"/>
        <v>-4.17</v>
      </c>
      <c r="AF60" s="7">
        <f t="shared" si="34"/>
        <v>-5.1040391676866583E-3</v>
      </c>
      <c r="AG60" s="37">
        <f t="shared" si="35"/>
        <v>0.89489596083231338</v>
      </c>
      <c r="AH60" s="60">
        <f t="shared" si="36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7"/>
        <v>1.083660486957486</v>
      </c>
      <c r="AK60" s="98">
        <f t="shared" si="38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7"/>
        <v>SJS Alex Nedeljkovic</v>
      </c>
      <c r="C61" t="s">
        <v>40</v>
      </c>
      <c r="D61" t="s">
        <v>182</v>
      </c>
      <c r="E61" s="6">
        <v>32.800000000000004</v>
      </c>
      <c r="F61" s="7">
        <f t="shared" si="28"/>
        <v>0.89887360275150474</v>
      </c>
      <c r="G61">
        <f t="shared" si="29"/>
        <v>29.48305417024936</v>
      </c>
      <c r="H61" s="7">
        <f>SUMIFS(G:G,C:C,C61)/82</f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2.9750000000000001</v>
      </c>
      <c r="M61" s="5" cm="1">
        <f t="array" ref="M61">INDEX('2026'!AM:AM, MAX(_xlfn._xlws.FILTER(ROW('2026'!E:E), ('2026'!E:E=Goalies!C61)*('2026'!AM:AM&lt;&gt;""))))</f>
        <v>3.34</v>
      </c>
      <c r="N61" s="5">
        <f t="shared" si="39"/>
        <v>3.4401999999999999</v>
      </c>
      <c r="O61" s="5" cm="1">
        <f t="array" ref="O61">IFERROR(INDEX('2026'!AO:AO, MAX(_xlfn._xlws.FILTER(ROW('2026'!I:I), ('2026'!I:I=Goalies!B61)*('2026'!AO:AO&lt;&gt;"")))),"")</f>
        <v>3.4803722076739225</v>
      </c>
      <c r="P61" s="65">
        <f t="shared" si="12"/>
        <v>3.4401999999999999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3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1"/>
        <v>-1.8100000000000023</v>
      </c>
      <c r="AD61">
        <f t="shared" si="32"/>
        <v>1163</v>
      </c>
      <c r="AE61">
        <f t="shared" si="33"/>
        <v>-1.3100000000000023</v>
      </c>
      <c r="AF61" s="7">
        <f t="shared" si="34"/>
        <v>-1.1263972484952729E-3</v>
      </c>
      <c r="AG61" s="37">
        <f t="shared" si="35"/>
        <v>0.89887360275150474</v>
      </c>
      <c r="AH61" s="60">
        <f t="shared" si="36"/>
        <v>3.0045502294954054</v>
      </c>
      <c r="AI61" s="60" cm="1">
        <f t="array" ref="AI61">SUMPRODUCT(($R$2:$R$1017=R61)*($Q$2:$Q$1017)*($AH$2:$AH$1017))/82</f>
        <v>2.84706540150962</v>
      </c>
      <c r="AJ61" s="5">
        <f t="shared" si="37"/>
        <v>1.0553147911187011</v>
      </c>
      <c r="AK61" s="98">
        <f t="shared" si="38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7"/>
        <v>SJS Yaroslav Askarov</v>
      </c>
      <c r="C62" t="s">
        <v>40</v>
      </c>
      <c r="D62" t="s">
        <v>183</v>
      </c>
      <c r="E62" s="6">
        <v>49.199999999999996</v>
      </c>
      <c r="F62" s="7">
        <f t="shared" si="28"/>
        <v>0.90770791075050716</v>
      </c>
      <c r="G62">
        <f t="shared" si="29"/>
        <v>44.659229208924948</v>
      </c>
      <c r="H62" s="7">
        <f>SUMIFS(G:G,C:C,C62)/82</f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2.9750000000000001</v>
      </c>
      <c r="M62" s="5" cm="1">
        <f t="array" ref="M62">INDEX('2026'!AM:AM, MAX(_xlfn._xlws.FILTER(ROW('2026'!E:E), ('2026'!E:E=Goalies!C62)*('2026'!AM:AM&lt;&gt;""))))</f>
        <v>3.34</v>
      </c>
      <c r="N62" s="5">
        <f t="shared" si="39"/>
        <v>3.2731999999999997</v>
      </c>
      <c r="O62" s="5" cm="1">
        <f t="array" ref="O62">IFERROR(INDEX('2026'!AO:AO, MAX(_xlfn._xlws.FILTER(ROW('2026'!I:I), ('2026'!I:I=Goalies!B62)*('2026'!AO:AO&lt;&gt;"")))),"")</f>
        <v>3.4357135723684338</v>
      </c>
      <c r="P62" s="65">
        <f t="shared" si="12"/>
        <v>3.2731999999999997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3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1"/>
        <v>10.900000000000006</v>
      </c>
      <c r="AD62">
        <f t="shared" si="32"/>
        <v>1479</v>
      </c>
      <c r="AE62">
        <f t="shared" si="33"/>
        <v>11.400000000000006</v>
      </c>
      <c r="AF62" s="7">
        <f t="shared" si="34"/>
        <v>7.7079107505071036E-3</v>
      </c>
      <c r="AG62" s="37">
        <f t="shared" si="35"/>
        <v>0.90770791075050716</v>
      </c>
      <c r="AH62" s="60">
        <f t="shared" si="36"/>
        <v>2.7420755161857628</v>
      </c>
      <c r="AI62" s="60" cm="1">
        <f t="array" ref="AI62">SUMPRODUCT(($R$2:$R$1017=R62)*($Q$2:$Q$1017)*($AH$2:$AH$1017))/82</f>
        <v>2.84706540150962</v>
      </c>
      <c r="AJ62" s="5">
        <f t="shared" si="37"/>
        <v>0.96312347258753261</v>
      </c>
      <c r="AK62" s="98">
        <f t="shared" si="38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7"/>
        <v>SEA Joey Daccord</v>
      </c>
      <c r="C63" t="s">
        <v>13</v>
      </c>
      <c r="D63" t="s">
        <v>184</v>
      </c>
      <c r="E63" s="6">
        <v>45.1</v>
      </c>
      <c r="F63" s="7">
        <f t="shared" si="28"/>
        <v>0.909918998527246</v>
      </c>
      <c r="G63">
        <f t="shared" si="29"/>
        <v>41.037346833578795</v>
      </c>
      <c r="H63" s="7">
        <f>SUMIFS(G:G,C:C,C63)/82</f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2.68</v>
      </c>
      <c r="M63" s="5" cm="1">
        <f t="array" ref="M63">INDEX('2026'!AM:AM, MAX(_xlfn._xlws.FILTER(ROW('2026'!E:E), ('2026'!E:E=Goalies!C63)*('2026'!AM:AM&lt;&gt;""))))</f>
        <v>3.16</v>
      </c>
      <c r="N63" s="5">
        <f t="shared" si="39"/>
        <v>3.16</v>
      </c>
      <c r="O63" s="5" cm="1">
        <f t="array" ref="O63">IFERROR(INDEX('2026'!AO:AO, MAX(_xlfn._xlws.FILTER(ROW('2026'!I:I), ('2026'!I:I=Goalies!B63)*('2026'!AO:AO&lt;&gt;"")))),"")</f>
        <v>3.2049093315995498</v>
      </c>
      <c r="P63" s="65">
        <f t="shared" si="12"/>
        <v>3.16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3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1"/>
        <v>10.969999999999999</v>
      </c>
      <c r="AD63">
        <f t="shared" si="32"/>
        <v>1358</v>
      </c>
      <c r="AE63">
        <f t="shared" si="33"/>
        <v>13.469999999999999</v>
      </c>
      <c r="AF63" s="7">
        <f t="shared" si="34"/>
        <v>9.9189985272459483E-3</v>
      </c>
      <c r="AG63" s="37">
        <f t="shared" si="35"/>
        <v>0.909918998527246</v>
      </c>
      <c r="AH63" s="60">
        <f t="shared" si="36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7"/>
        <v>1.0078715221010244</v>
      </c>
      <c r="AK63" s="98">
        <f t="shared" si="38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7"/>
        <v>SEA Philipp Grubauer</v>
      </c>
      <c r="C64" t="s">
        <v>13</v>
      </c>
      <c r="D64" t="s">
        <v>185</v>
      </c>
      <c r="E64" s="6">
        <v>24.599999999999998</v>
      </c>
      <c r="F64" s="7">
        <f t="shared" si="28"/>
        <v>0.91546332046332046</v>
      </c>
      <c r="G64">
        <f t="shared" si="29"/>
        <v>22.520397683397682</v>
      </c>
      <c r="H64" s="7">
        <f>SUMIFS(G:G,C:C,C64)/82</f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2.68</v>
      </c>
      <c r="M64" s="5" cm="1">
        <f t="array" ref="M64">INDEX('2026'!AM:AM, MAX(_xlfn._xlws.FILTER(ROW('2026'!E:E), ('2026'!E:E=Goalies!C64)*('2026'!AM:AM&lt;&gt;""))))</f>
        <v>3.16</v>
      </c>
      <c r="N64" s="5">
        <f t="shared" si="39"/>
        <v>3.16</v>
      </c>
      <c r="O64" s="5" cm="1">
        <f t="array" ref="O64">IFERROR(INDEX('2026'!AO:AO, MAX(_xlfn._xlws.FILTER(ROW('2026'!I:I), ('2026'!I:I=Goalies!B64)*('2026'!AO:AO&lt;&gt;"")))),"")</f>
        <v>3.2075714190171021</v>
      </c>
      <c r="P64" s="65">
        <f t="shared" si="12"/>
        <v>3.16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3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1"/>
        <v>18.520000000000003</v>
      </c>
      <c r="AD64">
        <f t="shared" si="32"/>
        <v>1036</v>
      </c>
      <c r="AE64">
        <f t="shared" si="33"/>
        <v>16.020000000000003</v>
      </c>
      <c r="AF64" s="7">
        <f t="shared" si="34"/>
        <v>1.5463320463320466E-2</v>
      </c>
      <c r="AG64" s="37">
        <f t="shared" si="35"/>
        <v>0.91546332046332046</v>
      </c>
      <c r="AH64" s="60">
        <f t="shared" si="36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7"/>
        <v>0.94583886152475849</v>
      </c>
      <c r="AK64" s="98">
        <f t="shared" si="38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7"/>
        <v>SEA Matt Murray</v>
      </c>
      <c r="C65" t="s">
        <v>13</v>
      </c>
      <c r="D65" t="s">
        <v>542</v>
      </c>
      <c r="E65" s="6">
        <v>12.299999999999999</v>
      </c>
      <c r="F65" s="7">
        <f t="shared" si="28"/>
        <v>0.90352059925093631</v>
      </c>
      <c r="G65">
        <f t="shared" si="29"/>
        <v>11.113303370786516</v>
      </c>
      <c r="H65" s="7">
        <f>SUMIFS(G:G,C:C,C65)/82</f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2.68</v>
      </c>
      <c r="M65" s="5" cm="1">
        <f t="array" ref="M65">INDEX('2026'!AM:AM, MAX(_xlfn._xlws.FILTER(ROW('2026'!E:E), ('2026'!E:E=Goalies!C65)*('2026'!AM:AM&lt;&gt;""))))</f>
        <v>3.16</v>
      </c>
      <c r="N65" s="5">
        <f t="shared" si="39"/>
        <v>3.16</v>
      </c>
      <c r="O65" s="5" cm="1">
        <f t="array" ref="O65">IFERROR(INDEX('2026'!AO:AO, MAX(_xlfn._xlws.FILTER(ROW('2026'!I:I), ('2026'!I:I=Goalies!B65)*('2026'!AO:AO&lt;&gt;"")))),"")</f>
        <v>3.3531136230376775</v>
      </c>
      <c r="P65" s="65">
        <f t="shared" si="12"/>
        <v>3.16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3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1"/>
        <v>5.32</v>
      </c>
      <c r="AD65">
        <f t="shared" si="32"/>
        <v>801</v>
      </c>
      <c r="AE65">
        <f t="shared" si="33"/>
        <v>2.8200000000000003</v>
      </c>
      <c r="AF65" s="7">
        <f t="shared" si="34"/>
        <v>3.52059925093633E-3</v>
      </c>
      <c r="AG65" s="37">
        <f t="shared" si="35"/>
        <v>0.90352059925093631</v>
      </c>
      <c r="AH65" s="60">
        <f t="shared" si="36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7"/>
        <v>1.0794600292467276</v>
      </c>
      <c r="AK65" s="98">
        <f t="shared" si="38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7"/>
        <v>STL Jordan Binnington</v>
      </c>
      <c r="C66" t="s">
        <v>12</v>
      </c>
      <c r="D66" t="s">
        <v>186</v>
      </c>
      <c r="E66" s="6">
        <v>45.1</v>
      </c>
      <c r="F66" s="7">
        <f t="shared" si="28"/>
        <v>0.89008533747090768</v>
      </c>
      <c r="G66">
        <f t="shared" si="29"/>
        <v>40.142848719937938</v>
      </c>
      <c r="H66" s="7">
        <f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2.72</v>
      </c>
      <c r="M66" s="5" cm="1">
        <f t="array" ref="M66">INDEX('2026'!AM:AM, MAX(_xlfn._xlws.FILTER(ROW('2026'!E:E), ('2026'!E:E=Goalies!C66)*('2026'!AM:AM&lt;&gt;""))))</f>
        <v>3.16</v>
      </c>
      <c r="N66" s="5">
        <f t="shared" si="39"/>
        <v>3.2232000000000003</v>
      </c>
      <c r="O66" s="5" cm="1">
        <f t="array" ref="O66">IFERROR(INDEX('2026'!AO:AO, MAX(_xlfn._xlws.FILTER(ROW('2026'!I:I), ('2026'!I:I=Goalies!B66)*('2026'!AO:AO&lt;&gt;"")))),"")</f>
        <v>3.1175944670236708</v>
      </c>
      <c r="P66" s="65">
        <f t="shared" si="12"/>
        <v>3.2232000000000003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3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1"/>
        <v>-15.780000000000001</v>
      </c>
      <c r="AD66">
        <f t="shared" si="32"/>
        <v>1289</v>
      </c>
      <c r="AE66">
        <f t="shared" si="33"/>
        <v>-12.780000000000001</v>
      </c>
      <c r="AF66" s="7">
        <f t="shared" si="34"/>
        <v>-9.9146625290923197E-3</v>
      </c>
      <c r="AG66" s="37">
        <f t="shared" si="35"/>
        <v>0.89008533747090768</v>
      </c>
      <c r="AH66" s="60">
        <f t="shared" si="36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7"/>
        <v>1.0647754112563312</v>
      </c>
      <c r="AK66" s="98">
        <f t="shared" si="38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7"/>
        <v>STL Joel Hofer</v>
      </c>
      <c r="C67" t="s">
        <v>12</v>
      </c>
      <c r="D67" t="s">
        <v>233</v>
      </c>
      <c r="E67" s="6">
        <v>36.9</v>
      </c>
      <c r="F67" s="7">
        <f t="shared" si="28"/>
        <v>0.90494453248811413</v>
      </c>
      <c r="G67">
        <f t="shared" si="29"/>
        <v>33.392453248811407</v>
      </c>
      <c r="H67" s="7">
        <f>SUMIFS(G:G,C:C,C67)/82</f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2.72</v>
      </c>
      <c r="M67" s="5" cm="1">
        <f t="array" ref="M67">INDEX('2026'!AM:AM, MAX(_xlfn._xlws.FILTER(ROW('2026'!E:E), ('2026'!E:E=Goalies!C67)*('2026'!AM:AM&lt;&gt;""))))</f>
        <v>3.16</v>
      </c>
      <c r="N67" s="5">
        <f t="shared" si="39"/>
        <v>3.0968</v>
      </c>
      <c r="O67" s="5" cm="1">
        <f t="array" ref="O67">IFERROR(INDEX('2026'!AO:AO, MAX(_xlfn._xlws.FILTER(ROW('2026'!I:I), ('2026'!I:I=Goalies!B67)*('2026'!AO:AO&lt;&gt;"")))),"")</f>
        <v>3.1187132979462997</v>
      </c>
      <c r="P67" s="65">
        <f t="shared" si="12"/>
        <v>3.0968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3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1"/>
        <v>4.740000000000002</v>
      </c>
      <c r="AD67">
        <f t="shared" si="32"/>
        <v>1262</v>
      </c>
      <c r="AE67">
        <f t="shared" si="33"/>
        <v>6.240000000000002</v>
      </c>
      <c r="AF67" s="7">
        <f t="shared" si="34"/>
        <v>4.9445324881141062E-3</v>
      </c>
      <c r="AG67" s="37">
        <f t="shared" si="35"/>
        <v>0.90494453248811413</v>
      </c>
      <c r="AH67" s="60">
        <f t="shared" si="36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7"/>
        <v>0.92083005290892861</v>
      </c>
      <c r="AK67" s="98">
        <f t="shared" si="38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4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5">AG68</f>
        <v>0.92014318010550111</v>
      </c>
      <c r="G68">
        <f t="shared" ref="G68:G86" si="56">E68*F68</f>
        <v>46.025561868877162</v>
      </c>
      <c r="H68" s="7">
        <f>SUMIFS(G:G,C:C,C68)/82</f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3.36</v>
      </c>
      <c r="M68" s="5" cm="1">
        <f t="array" ref="M68">INDEX('2026'!AM:AM, MAX(_xlfn._xlws.FILTER(ROW('2026'!E:E), ('2026'!E:E=Goalies!C68)*('2026'!AM:AM&lt;&gt;""))))</f>
        <v>2.63</v>
      </c>
      <c r="N68" s="5">
        <f t="shared" si="39"/>
        <v>2.5379499999999999</v>
      </c>
      <c r="O68" s="5" cm="1">
        <f t="array" ref="O68">IFERROR(INDEX('2026'!AO:AO, MAX(_xlfn._xlws.FILTER(ROW('2026'!I:I), ('2026'!I:I=Goalies!B68)*('2026'!AO:AO&lt;&gt;"")))),"")</f>
        <v>2.6063345471988395</v>
      </c>
      <c r="P68" s="65">
        <f t="shared" ref="P68:P86" si="57">M68*J68</f>
        <v>2.5379499999999999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3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58">AB68-AA68</f>
        <v>19.230000000000004</v>
      </c>
      <c r="AD68">
        <f t="shared" ref="AD68:AD86" si="59">SUM(T68,Z68)</f>
        <v>1327</v>
      </c>
      <c r="AE68">
        <f t="shared" ref="AE68:AE86" si="60">SUM(X68+AC68)</f>
        <v>26.730000000000004</v>
      </c>
      <c r="AF68" s="7">
        <f t="shared" ref="AF68:AF86" si="61">AE68/AD68</f>
        <v>2.0143180105501132E-2</v>
      </c>
      <c r="AG68" s="37">
        <f t="shared" ref="AG68:AG86" si="62">AF68+0.9</f>
        <v>0.92014318010550111</v>
      </c>
      <c r="AH68" s="60">
        <f t="shared" ref="AH68:AH86" si="63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4">AH68/AI68</f>
        <v>0.91557474006857886</v>
      </c>
      <c r="AK68" s="98">
        <f t="shared" ref="AK68:AK86" si="65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4"/>
        <v>TBL Jonas Johansson</v>
      </c>
      <c r="C69" t="s">
        <v>41</v>
      </c>
      <c r="D69" t="s">
        <v>188</v>
      </c>
      <c r="E69" s="6">
        <v>31.98</v>
      </c>
      <c r="F69" s="7">
        <f t="shared" si="55"/>
        <v>0.90126213592233007</v>
      </c>
      <c r="G69">
        <f t="shared" si="56"/>
        <v>28.822363106796114</v>
      </c>
      <c r="H69" s="7">
        <f>SUMIFS(G:G,C:C,C69)/82</f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3.36</v>
      </c>
      <c r="M69" s="5" cm="1">
        <f t="array" ref="M69">INDEX('2026'!AM:AM, MAX(_xlfn._xlws.FILTER(ROW('2026'!E:E), ('2026'!E:E=Goalies!C69)*('2026'!AM:AM&lt;&gt;""))))</f>
        <v>2.63</v>
      </c>
      <c r="N69" s="5">
        <f t="shared" si="39"/>
        <v>2.7614999999999998</v>
      </c>
      <c r="O69" s="5" cm="1">
        <f t="array" ref="O69">IFERROR(INDEX('2026'!AO:AO, MAX(_xlfn._xlws.FILTER(ROW('2026'!I:I), ('2026'!I:I=Goalies!B69)*('2026'!AO:AO&lt;&gt;"")))),"")</f>
        <v>2.9140532962876775</v>
      </c>
      <c r="P69" s="65">
        <f t="shared" si="57"/>
        <v>2.7614999999999998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3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58"/>
        <v>2.4299999999999997</v>
      </c>
      <c r="AD69">
        <f t="shared" si="59"/>
        <v>1133</v>
      </c>
      <c r="AE69">
        <f t="shared" si="60"/>
        <v>1.4299999999999997</v>
      </c>
      <c r="AF69" s="7">
        <f t="shared" si="61"/>
        <v>1.2621359223300968E-3</v>
      </c>
      <c r="AG69" s="37">
        <f t="shared" si="62"/>
        <v>0.90126213592233007</v>
      </c>
      <c r="AH69" s="60">
        <f t="shared" si="63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4"/>
        <v>1.1320497655337618</v>
      </c>
      <c r="AK69" s="98">
        <f t="shared" si="65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4"/>
        <v>TOR Anthony Stolarz</v>
      </c>
      <c r="C70" t="s">
        <v>18</v>
      </c>
      <c r="D70" t="s">
        <v>189</v>
      </c>
      <c r="E70" s="6">
        <v>28.7</v>
      </c>
      <c r="F70" s="7">
        <f t="shared" si="55"/>
        <v>0.90943969610636277</v>
      </c>
      <c r="G70">
        <f t="shared" si="56"/>
        <v>26.100919278252611</v>
      </c>
      <c r="H70" s="7">
        <f>SUMIFS(G:G,C:C,C70)/82</f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3.04</v>
      </c>
      <c r="M70" s="5" cm="1">
        <f t="array" ref="M70">INDEX('2026'!AM:AM, MAX(_xlfn._xlws.FILTER(ROW('2026'!E:E), ('2026'!E:E=Goalies!C70)*('2026'!AM:AM&lt;&gt;""))))</f>
        <v>3.0360578819139317</v>
      </c>
      <c r="N70" s="5">
        <f t="shared" si="39"/>
        <v>3.0664184607330709</v>
      </c>
      <c r="O70" s="5" cm="1">
        <f t="array" ref="O70">IFERROR(INDEX('2026'!AO:AO, MAX(_xlfn._xlws.FILTER(ROW('2026'!I:I), ('2026'!I:I=Goalies!B70)*('2026'!AO:AO&lt;&gt;"")))),"")</f>
        <v>2.9310428225254714</v>
      </c>
      <c r="P70" s="65">
        <f t="shared" si="57"/>
        <v>3.0664184607330709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3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58"/>
        <v>-0.56000000000000227</v>
      </c>
      <c r="AD70">
        <f t="shared" si="59"/>
        <v>1053</v>
      </c>
      <c r="AE70">
        <f t="shared" si="60"/>
        <v>9.9399999999999977</v>
      </c>
      <c r="AF70" s="7">
        <f t="shared" si="61"/>
        <v>9.4396961063627702E-3</v>
      </c>
      <c r="AG70" s="37">
        <f t="shared" si="62"/>
        <v>0.90943969610636277</v>
      </c>
      <c r="AH70" s="60">
        <f t="shared" si="63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4"/>
        <v>1.0096389350728341</v>
      </c>
      <c r="AK70" s="98">
        <f t="shared" si="65"/>
        <v>1.01</v>
      </c>
      <c r="AL70" s="5"/>
      <c r="AM70" s="7"/>
      <c r="AN70" s="91"/>
      <c r="AO70" s="37"/>
      <c r="AR70" s="75" t="s">
        <v>247</v>
      </c>
      <c r="AS70" s="75" t="s">
        <v>931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4"/>
        <v>TOR Joseph Woll</v>
      </c>
      <c r="C71" t="s">
        <v>18</v>
      </c>
      <c r="D71" t="s">
        <v>190</v>
      </c>
      <c r="E71" s="6">
        <v>28.7</v>
      </c>
      <c r="F71" s="7">
        <f t="shared" si="55"/>
        <v>0.91420433996383366</v>
      </c>
      <c r="G71">
        <f t="shared" si="56"/>
        <v>26.237664556962024</v>
      </c>
      <c r="H71" s="7">
        <f>SUMIFS(G:G,C:C,C71)/82</f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3.04</v>
      </c>
      <c r="M71" s="5" cm="1">
        <f t="array" ref="M71">INDEX('2026'!AM:AM, MAX(_xlfn._xlws.FILTER(ROW('2026'!E:E), ('2026'!E:E=Goalies!C71)*('2026'!AM:AM&lt;&gt;""))))</f>
        <v>3.0360578819139317</v>
      </c>
      <c r="N71" s="5">
        <f t="shared" si="39"/>
        <v>2.9449761454565135</v>
      </c>
      <c r="O71" s="5" cm="1">
        <f t="array" ref="O71">IFERROR(INDEX('2026'!AO:AO, MAX(_xlfn._xlws.FILTER(ROW('2026'!I:I), ('2026'!I:I=Goalies!B71)*('2026'!AO:AO&lt;&gt;"")))),"")</f>
        <v>3.030890874058159</v>
      </c>
      <c r="P71" s="65">
        <f t="shared" si="57"/>
        <v>2.9449761454565135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3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58"/>
        <v>6.2100000000000009</v>
      </c>
      <c r="AD71">
        <f t="shared" si="59"/>
        <v>1106</v>
      </c>
      <c r="AE71">
        <f t="shared" si="60"/>
        <v>15.71</v>
      </c>
      <c r="AF71" s="7">
        <f t="shared" si="61"/>
        <v>1.4204339963833636E-2</v>
      </c>
      <c r="AG71" s="37">
        <f t="shared" si="62"/>
        <v>0.91420433996383366</v>
      </c>
      <c r="AH71" s="60">
        <f t="shared" si="63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4"/>
        <v>0.95651886211119475</v>
      </c>
      <c r="AK71" s="98">
        <f t="shared" si="65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4"/>
        <v>TOR Dennis Hildeby</v>
      </c>
      <c r="C72" t="s">
        <v>18</v>
      </c>
      <c r="D72" t="s">
        <v>804</v>
      </c>
      <c r="E72" s="6">
        <v>24.599999999999998</v>
      </c>
      <c r="F72" s="7">
        <f t="shared" si="55"/>
        <v>0.90676284941388641</v>
      </c>
      <c r="G72">
        <f t="shared" si="56"/>
        <v>22.306366095581605</v>
      </c>
      <c r="H72" s="7">
        <f>SUMIFS(G:G,C:C,C72)/82</f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3.04</v>
      </c>
      <c r="M72" s="5" cm="1">
        <f t="array" ref="M72">INDEX('2026'!AM:AM, MAX(_xlfn._xlws.FILTER(ROW('2026'!E:E), ('2026'!E:E=Goalies!C72)*('2026'!AM:AM&lt;&gt;""))))</f>
        <v>3.0360578819139317</v>
      </c>
      <c r="N72" s="5">
        <f t="shared" si="39"/>
        <v>3.142319907780919</v>
      </c>
      <c r="O72" s="5" cm="1">
        <f t="array" ref="O72">IFERROR(INDEX('2026'!AO:AO, MAX(_xlfn._xlws.FILTER(ROW('2026'!I:I), ('2026'!I:I=Goalies!B72)*('2026'!AO:AO&lt;&gt;"")))),"")</f>
        <v>3.0956928231886445</v>
      </c>
      <c r="P72" s="65">
        <f t="shared" si="57"/>
        <v>3.142319907780919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3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58"/>
        <v>10</v>
      </c>
      <c r="AD72">
        <f t="shared" si="59"/>
        <v>1109</v>
      </c>
      <c r="AE72">
        <f t="shared" si="60"/>
        <v>7.5</v>
      </c>
      <c r="AF72" s="7">
        <f t="shared" si="61"/>
        <v>6.762849413886384E-3</v>
      </c>
      <c r="AG72" s="37">
        <f t="shared" si="62"/>
        <v>0.90676284941388641</v>
      </c>
      <c r="AH72" s="60">
        <f t="shared" si="63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4"/>
        <v>1.0394825699519674</v>
      </c>
      <c r="AK72" s="98">
        <f t="shared" si="65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4"/>
        <v>UTA Karel Vejmelka</v>
      </c>
      <c r="C73" t="s">
        <v>15</v>
      </c>
      <c r="D73" t="s">
        <v>191</v>
      </c>
      <c r="E73" s="6">
        <v>57.4</v>
      </c>
      <c r="F73" s="7">
        <f t="shared" si="55"/>
        <v>0.90962500000000002</v>
      </c>
      <c r="G73">
        <f t="shared" si="56"/>
        <v>52.212474999999998</v>
      </c>
      <c r="H73" s="7">
        <f>SUMIFS(G:G,C:C,C73)/82</f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3.0350444847776963</v>
      </c>
      <c r="M73" s="5" cm="1">
        <f t="array" ref="M73">INDEX('2026'!AM:AM, MAX(_xlfn._xlws.FILTER(ROW('2026'!E:E), ('2026'!E:E=Goalies!C73)*('2026'!AM:AM&lt;&gt;""))))</f>
        <v>2.9292746173710973</v>
      </c>
      <c r="N73" s="5">
        <f t="shared" si="39"/>
        <v>2.8413963788499643</v>
      </c>
      <c r="O73" s="5" cm="1">
        <f t="array" ref="O73">IFERROR(INDEX('2026'!AO:AO, MAX(_xlfn._xlws.FILTER(ROW('2026'!I:I), ('2026'!I:I=Goalies!B73)*('2026'!AO:AO&lt;&gt;"")))),"")</f>
        <v>2.894978476738594</v>
      </c>
      <c r="P73" s="65">
        <f t="shared" si="57"/>
        <v>2.8413963788499643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3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58"/>
        <v>11.36</v>
      </c>
      <c r="AD73">
        <f t="shared" si="59"/>
        <v>1440</v>
      </c>
      <c r="AE73">
        <f t="shared" si="60"/>
        <v>13.86</v>
      </c>
      <c r="AF73" s="7">
        <f t="shared" si="61"/>
        <v>9.6249999999999999E-3</v>
      </c>
      <c r="AG73" s="37">
        <f t="shared" si="62"/>
        <v>0.90962500000000002</v>
      </c>
      <c r="AH73" s="60">
        <f t="shared" si="63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4"/>
        <v>0.96353592963389056</v>
      </c>
      <c r="AK73" s="98">
        <f t="shared" si="65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4"/>
        <v>UTA Vitek Vanecek</v>
      </c>
      <c r="C74" t="s">
        <v>15</v>
      </c>
      <c r="D74" t="s">
        <v>192</v>
      </c>
      <c r="E74" s="6">
        <v>24.599999999999998</v>
      </c>
      <c r="F74" s="7">
        <f t="shared" si="55"/>
        <v>0.8982244897959184</v>
      </c>
      <c r="G74">
        <f t="shared" si="56"/>
        <v>22.096322448979592</v>
      </c>
      <c r="H74" s="7">
        <f>SUMIFS(G:G,C:C,C74)/82</f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3.0350444847776963</v>
      </c>
      <c r="M74" s="5" cm="1">
        <f t="array" ref="M74">INDEX('2026'!AM:AM, MAX(_xlfn._xlws.FILTER(ROW('2026'!E:E), ('2026'!E:E=Goalies!C74)*('2026'!AM:AM&lt;&gt;""))))</f>
        <v>2.9292746173710973</v>
      </c>
      <c r="N74" s="5">
        <f t="shared" si="39"/>
        <v>3.0757383482396521</v>
      </c>
      <c r="O74" s="5" cm="1">
        <f t="array" ref="O74">IFERROR(INDEX('2026'!AO:AO, MAX(_xlfn._xlws.FILTER(ROW('2026'!I:I), ('2026'!I:I=Goalies!B74)*('2026'!AO:AO&lt;&gt;"")))),"")</f>
        <v>3.0000275959392768</v>
      </c>
      <c r="P74" s="65">
        <f t="shared" si="57"/>
        <v>3.0757383482396521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3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58"/>
        <v>0.75999999999999801</v>
      </c>
      <c r="AD74">
        <f t="shared" si="59"/>
        <v>980</v>
      </c>
      <c r="AE74">
        <f t="shared" si="60"/>
        <v>-1.740000000000002</v>
      </c>
      <c r="AF74" s="7">
        <f t="shared" si="61"/>
        <v>-1.7755102040816347E-3</v>
      </c>
      <c r="AG74" s="37">
        <f t="shared" si="62"/>
        <v>0.8982244897959184</v>
      </c>
      <c r="AH74" s="60">
        <f t="shared" si="63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4"/>
        <v>1.0850828308542551</v>
      </c>
      <c r="AK74" s="98">
        <f t="shared" si="65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4"/>
        <v>VAN Thatcher Demko</v>
      </c>
      <c r="C75" t="s">
        <v>23</v>
      </c>
      <c r="D75" t="s">
        <v>193</v>
      </c>
      <c r="E75" s="6">
        <v>41</v>
      </c>
      <c r="F75" s="7">
        <f t="shared" si="55"/>
        <v>0.91617241379310344</v>
      </c>
      <c r="G75">
        <f t="shared" si="56"/>
        <v>37.563068965517239</v>
      </c>
      <c r="H75" s="7">
        <f>SUMIFS(G:G,C:C,C75)/82</f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2.7306440378440109</v>
      </c>
      <c r="M75" s="5" cm="1">
        <f t="array" ref="M75">INDEX('2026'!AM:AM, MAX(_xlfn._xlws.FILTER(ROW('2026'!E:E), ('2026'!E:E=Goalies!C75)*('2026'!AM:AM&lt;&gt;""))))</f>
        <v>3.2447859602313525</v>
      </c>
      <c r="N75" s="5">
        <f t="shared" si="39"/>
        <v>3.1636663112255685</v>
      </c>
      <c r="O75" s="5" cm="1">
        <f t="array" ref="O75">IFERROR(INDEX('2026'!AO:AO, MAX(_xlfn._xlws.FILTER(ROW('2026'!I:I), ('2026'!I:I=Goalies!B75)*('2026'!AO:AO&lt;&gt;"")))),"")</f>
        <v>3.1164576245900628</v>
      </c>
      <c r="P75" s="65">
        <f t="shared" si="57"/>
        <v>3.1636663112255685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3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58"/>
        <v>13.259999999999998</v>
      </c>
      <c r="AD75">
        <f t="shared" si="59"/>
        <v>1160</v>
      </c>
      <c r="AE75">
        <f t="shared" si="60"/>
        <v>18.759999999999998</v>
      </c>
      <c r="AF75" s="7">
        <f t="shared" si="61"/>
        <v>1.6172413793103448E-2</v>
      </c>
      <c r="AG75" s="37">
        <f t="shared" si="62"/>
        <v>0.91617241379310344</v>
      </c>
      <c r="AH75" s="60">
        <f t="shared" si="63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4"/>
        <v>0.916408309426616</v>
      </c>
      <c r="AK75" s="98">
        <f t="shared" si="65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4"/>
        <v>VAN Kevin Lankinen</v>
      </c>
      <c r="C76" t="s">
        <v>23</v>
      </c>
      <c r="D76" t="s">
        <v>194</v>
      </c>
      <c r="E76" s="6">
        <v>36.9</v>
      </c>
      <c r="F76" s="7">
        <f t="shared" si="55"/>
        <v>0.90146067415730335</v>
      </c>
      <c r="G76">
        <f t="shared" si="56"/>
        <v>33.26389887640449</v>
      </c>
      <c r="H76" s="7">
        <f>SUMIFS(G:G,C:C,C76)/82</f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2.7306440378440109</v>
      </c>
      <c r="M76" s="5" cm="1">
        <f t="array" ref="M76">INDEX('2026'!AM:AM, MAX(_xlfn._xlws.FILTER(ROW('2026'!E:E), ('2026'!E:E=Goalies!C76)*('2026'!AM:AM&lt;&gt;""))))</f>
        <v>3.2447859602313525</v>
      </c>
      <c r="N76" s="5">
        <f t="shared" si="39"/>
        <v>3.342129539038293</v>
      </c>
      <c r="O76" s="5" cm="1">
        <f t="array" ref="O76">IFERROR(INDEX('2026'!AO:AO, MAX(_xlfn._xlws.FILTER(ROW('2026'!I:I), ('2026'!I:I=Goalies!B76)*('2026'!AO:AO&lt;&gt;"")))),"")</f>
        <v>3.3247992205618235</v>
      </c>
      <c r="P76" s="65">
        <f t="shared" si="57"/>
        <v>3.342129539038293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3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58"/>
        <v>1.8199999999999932</v>
      </c>
      <c r="AD76">
        <f t="shared" si="59"/>
        <v>1246</v>
      </c>
      <c r="AE76">
        <f t="shared" si="60"/>
        <v>1.8199999999999932</v>
      </c>
      <c r="AF76" s="7">
        <f t="shared" si="61"/>
        <v>1.4606741573033653E-3</v>
      </c>
      <c r="AG76" s="37">
        <f t="shared" si="62"/>
        <v>0.90146067415730335</v>
      </c>
      <c r="AH76" s="60">
        <f t="shared" si="63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4"/>
        <v>1.0772379486708259</v>
      </c>
      <c r="AK76" s="98">
        <f t="shared" si="65"/>
        <v>1.03</v>
      </c>
      <c r="AL76" s="5"/>
      <c r="AM76" s="7"/>
      <c r="AN76" s="91"/>
      <c r="AO76" s="37"/>
      <c r="AR76" s="75" t="s">
        <v>247</v>
      </c>
      <c r="AS76" s="75" t="s">
        <v>959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4"/>
        <v>VAN Nikita Tolopilo</v>
      </c>
      <c r="C77" t="s">
        <v>23</v>
      </c>
      <c r="D77" s="33" t="s">
        <v>1294</v>
      </c>
      <c r="E77" s="6">
        <v>4.1000000000000005</v>
      </c>
      <c r="F77" s="7">
        <f t="shared" si="55"/>
        <v>0.89564864864864868</v>
      </c>
      <c r="G77">
        <f t="shared" si="56"/>
        <v>3.67215945945946</v>
      </c>
      <c r="H77" s="7">
        <f>SUMIFS(G:G,C:C,C77)/82</f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2.7306440378440109</v>
      </c>
      <c r="M77" s="5" cm="1">
        <f t="array" ref="M77">INDEX('2026'!AM:AM, MAX(_xlfn._xlws.FILTER(ROW('2026'!E:E), ('2026'!E:E=Goalies!C77)*('2026'!AM:AM&lt;&gt;""))))</f>
        <v>3.2447859602313525</v>
      </c>
      <c r="N77" s="5">
        <f t="shared" si="39"/>
        <v>3.5043688370498609</v>
      </c>
      <c r="O77" s="5" cm="1">
        <f t="array" ref="O77">IFERROR(INDEX('2026'!AO:AO, MAX(_xlfn._xlws.FILTER(ROW('2026'!I:I), ('2026'!I:I=Goalies!B77)*('2026'!AO:AO&lt;&gt;"")))),"")</f>
        <v>3.0833552458585332</v>
      </c>
      <c r="P77" s="65">
        <f t="shared" si="57"/>
        <v>3.5043688370498609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3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58"/>
        <v>-3.22</v>
      </c>
      <c r="AD77">
        <f t="shared" si="59"/>
        <v>740</v>
      </c>
      <c r="AE77">
        <f t="shared" si="60"/>
        <v>-3.22</v>
      </c>
      <c r="AF77" s="7">
        <f t="shared" si="61"/>
        <v>-4.3513513513513515E-3</v>
      </c>
      <c r="AG77" s="37">
        <f t="shared" si="62"/>
        <v>0.89564864864864868</v>
      </c>
      <c r="AH77" s="60">
        <f t="shared" si="63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4"/>
        <v>1.140775367696407</v>
      </c>
      <c r="AK77" s="98">
        <f t="shared" si="65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4"/>
        <v>VGK Adin Hill</v>
      </c>
      <c r="C78" t="s">
        <v>25</v>
      </c>
      <c r="D78" t="s">
        <v>195</v>
      </c>
      <c r="E78" s="6">
        <v>32.800000000000004</v>
      </c>
      <c r="F78" s="7">
        <f t="shared" si="55"/>
        <v>0.90647655259822557</v>
      </c>
      <c r="G78">
        <f t="shared" si="56"/>
        <v>29.732430925221802</v>
      </c>
      <c r="H78" s="7">
        <f>SUMIFS(G:G,C:C,C78)/82</f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3.17</v>
      </c>
      <c r="M78" s="5" cm="1">
        <f t="array" ref="M78">INDEX('2026'!AM:AM, MAX(_xlfn._xlws.FILTER(ROW('2026'!E:E), ('2026'!E:E=Goalies!C78)*('2026'!AM:AM&lt;&gt;""))))</f>
        <v>2.7908734250185327</v>
      </c>
      <c r="N78" s="5">
        <f t="shared" si="39"/>
        <v>2.7908734250185327</v>
      </c>
      <c r="O78" s="5" cm="1">
        <f t="array" ref="O78">IFERROR(INDEX('2026'!AO:AO, MAX(_xlfn._xlws.FILTER(ROW('2026'!I:I), ('2026'!I:I=Goalies!B78)*('2026'!AO:AO&lt;&gt;"")))),"")</f>
        <v>2.6690163449249975</v>
      </c>
      <c r="P78" s="65">
        <f t="shared" si="57"/>
        <v>2.7908734250185327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3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58"/>
        <v>-0.39000000000000057</v>
      </c>
      <c r="AD78">
        <f t="shared" si="59"/>
        <v>789</v>
      </c>
      <c r="AE78">
        <f t="shared" si="60"/>
        <v>5.1099999999999994</v>
      </c>
      <c r="AF78" s="7">
        <f t="shared" si="61"/>
        <v>6.476552598225601E-3</v>
      </c>
      <c r="AG78" s="37">
        <f t="shared" si="62"/>
        <v>0.90647655259822557</v>
      </c>
      <c r="AH78" s="60">
        <f t="shared" si="63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4"/>
        <v>0.95182226463982256</v>
      </c>
      <c r="AK78" s="98">
        <f t="shared" si="65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4"/>
        <v>VGK Akira Schmid</v>
      </c>
      <c r="C79" t="s">
        <v>25</v>
      </c>
      <c r="D79" t="s">
        <v>196</v>
      </c>
      <c r="E79" s="6">
        <v>27.060000000000002</v>
      </c>
      <c r="F79" s="7">
        <f t="shared" si="55"/>
        <v>0.9025948275862069</v>
      </c>
      <c r="G79">
        <f t="shared" si="56"/>
        <v>24.424216034482761</v>
      </c>
      <c r="H79" s="7">
        <f>SUMIFS(G:G,C:C,C79)/82</f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3.17</v>
      </c>
      <c r="M79" s="5" cm="1">
        <f t="array" ref="M79">INDEX('2026'!AM:AM, MAX(_xlfn._xlws.FILTER(ROW('2026'!E:E), ('2026'!E:E=Goalies!C79)*('2026'!AM:AM&lt;&gt;""))))</f>
        <v>2.7908734250185327</v>
      </c>
      <c r="N79" s="5">
        <f t="shared" si="39"/>
        <v>2.7629646907683476</v>
      </c>
      <c r="O79" s="5" cm="1">
        <f t="array" ref="O79">IFERROR(INDEX('2026'!AO:AO, MAX(_xlfn._xlws.FILTER(ROW('2026'!I:I), ('2026'!I:I=Goalies!B79)*('2026'!AO:AO&lt;&gt;"")))),"")</f>
        <v>2.7682145119787132</v>
      </c>
      <c r="P79" s="65">
        <f t="shared" si="57"/>
        <v>2.7629646907683476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3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58"/>
        <v>3.009999999999998</v>
      </c>
      <c r="AD79">
        <f t="shared" si="59"/>
        <v>1160</v>
      </c>
      <c r="AE79">
        <f t="shared" si="60"/>
        <v>3.009999999999998</v>
      </c>
      <c r="AF79" s="7">
        <f t="shared" si="61"/>
        <v>2.5948275862068947E-3</v>
      </c>
      <c r="AG79" s="37">
        <f t="shared" si="62"/>
        <v>0.9025948275862069</v>
      </c>
      <c r="AH79" s="60">
        <f t="shared" si="63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4"/>
        <v>0.99132799709829633</v>
      </c>
      <c r="AK79" s="98">
        <f t="shared" si="65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4"/>
        <v>VGK Carl Lindbom</v>
      </c>
      <c r="C80" t="s">
        <v>25</v>
      </c>
      <c r="D80" t="s">
        <v>585</v>
      </c>
      <c r="E80" s="6">
        <v>8.2000000000000011</v>
      </c>
      <c r="F80" s="7">
        <f t="shared" si="55"/>
        <v>0.89256616800920596</v>
      </c>
      <c r="G80">
        <f t="shared" si="56"/>
        <v>7.3190425776754902</v>
      </c>
      <c r="H80" s="7">
        <f>SUMIFS(G:G,C:C,C80)/82</f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3.17</v>
      </c>
      <c r="M80" s="5" cm="1">
        <f t="array" ref="M80">INDEX('2026'!AM:AM, MAX(_xlfn._xlws.FILTER(ROW('2026'!E:E), ('2026'!E:E=Goalies!C80)*('2026'!AM:AM&lt;&gt;""))))</f>
        <v>2.7908734250185327</v>
      </c>
      <c r="N80" s="5">
        <f t="shared" si="39"/>
        <v>2.9304170962694593</v>
      </c>
      <c r="O80" s="5" cm="1">
        <f t="array" ref="O80">IFERROR(INDEX('2026'!AO:AO, MAX(_xlfn._xlws.FILTER(ROW('2026'!I:I), ('2026'!I:I=Goalies!B80)*('2026'!AO:AO&lt;&gt;"")))),"")</f>
        <v>2.8793749338225942</v>
      </c>
      <c r="P80" s="65">
        <f t="shared" si="57"/>
        <v>2.9304170962694593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3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58"/>
        <v>-1.4600000000000009</v>
      </c>
      <c r="AD80">
        <f t="shared" si="59"/>
        <v>869</v>
      </c>
      <c r="AE80">
        <f t="shared" si="60"/>
        <v>-6.4600000000000009</v>
      </c>
      <c r="AF80" s="7">
        <f t="shared" si="61"/>
        <v>-7.4338319907940173E-3</v>
      </c>
      <c r="AG80" s="37">
        <f t="shared" si="62"/>
        <v>0.89256616800920596</v>
      </c>
      <c r="AH80" s="60">
        <f t="shared" si="63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4"/>
        <v>1.093393326543175</v>
      </c>
      <c r="AK80" s="98">
        <f t="shared" si="65"/>
        <v>1.05</v>
      </c>
      <c r="AL80" s="5"/>
      <c r="AM80" s="7"/>
      <c r="AN80" s="91"/>
      <c r="AO80" s="37"/>
      <c r="AR80" s="75" t="s">
        <v>248</v>
      </c>
      <c r="AS80" s="75" t="s">
        <v>1199</v>
      </c>
      <c r="AT80" s="75" t="s">
        <v>25</v>
      </c>
      <c r="AU80" s="75" t="s">
        <v>1164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1164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4"/>
        <v>VGK Carter Hart</v>
      </c>
      <c r="C81" t="s">
        <v>25</v>
      </c>
      <c r="D81" t="s">
        <v>1164</v>
      </c>
      <c r="E81" s="6">
        <v>13.940000000000001</v>
      </c>
      <c r="F81" s="7">
        <f t="shared" si="55"/>
        <v>0.89434829059829057</v>
      </c>
      <c r="G81">
        <f t="shared" si="56"/>
        <v>12.467215170940172</v>
      </c>
      <c r="H81" s="7">
        <f>SUMIFS(G:G,C:C,C81)/82</f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3.17</v>
      </c>
      <c r="M81" s="5" cm="1">
        <f t="array" ref="M81">INDEX('2026'!AM:AM, MAX(_xlfn._xlws.FILTER(ROW('2026'!E:E), ('2026'!E:E=Goalies!C81)*('2026'!AM:AM&lt;&gt;""))))</f>
        <v>2.7908734250185327</v>
      </c>
      <c r="N81" s="5">
        <f t="shared" si="39"/>
        <v>2.8187821592687179</v>
      </c>
      <c r="O81" s="5" cm="1">
        <f t="array" ref="O81">IFERROR(INDEX('2026'!AO:AO, MAX(_xlfn._xlws.FILTER(ROW('2026'!I:I), ('2026'!I:I=Goalies!B81)*('2026'!AO:AO&lt;&gt;"")))),"")</f>
        <v>2.7768908811835011</v>
      </c>
      <c r="P81" s="65">
        <f t="shared" si="57"/>
        <v>2.8187821592687179</v>
      </c>
      <c r="Q81" s="6">
        <v>13.940000000000001</v>
      </c>
      <c r="R81" t="s">
        <v>25</v>
      </c>
      <c r="S81" t="s">
        <v>1164</v>
      </c>
      <c r="T81">
        <v>700</v>
      </c>
      <c r="U81">
        <v>625</v>
      </c>
      <c r="V81">
        <v>75</v>
      </c>
      <c r="W81">
        <v>70</v>
      </c>
      <c r="X81">
        <f t="shared" si="53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58"/>
        <v>-0.28999999999999915</v>
      </c>
      <c r="AD81">
        <f t="shared" si="59"/>
        <v>936</v>
      </c>
      <c r="AE81">
        <f t="shared" si="60"/>
        <v>-5.2899999999999991</v>
      </c>
      <c r="AF81" s="7">
        <f t="shared" si="61"/>
        <v>-5.6517094017094005E-3</v>
      </c>
      <c r="AG81" s="37">
        <f t="shared" si="62"/>
        <v>0.89434829059829057</v>
      </c>
      <c r="AH81" s="60">
        <f t="shared" si="63"/>
        <v>2.82225347024269</v>
      </c>
      <c r="AI81" s="60" cm="1">
        <f t="array" ref="AI81">SUMPRODUCT(($R$2:$R$1017=R81)*($Q$2:$Q$1017)*($AH$2:$AH$1017))/82</f>
        <v>2.6247269789307737</v>
      </c>
      <c r="AJ81" s="5">
        <f t="shared" si="64"/>
        <v>1.0752560143959742</v>
      </c>
      <c r="AK81" s="98">
        <f t="shared" si="65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4"/>
        <v>WPG Connor Hellebuyck</v>
      </c>
      <c r="C82" t="s">
        <v>16</v>
      </c>
      <c r="D82" t="s">
        <v>199</v>
      </c>
      <c r="E82" s="6">
        <v>46.739999999999995</v>
      </c>
      <c r="F82" s="7">
        <f t="shared" si="55"/>
        <v>0.92253869969040248</v>
      </c>
      <c r="G82">
        <f t="shared" si="56"/>
        <v>43.119458823529406</v>
      </c>
      <c r="H82" s="7">
        <f>SUMIFS(G:G,C:C,C82)/82</f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2.8548723341635704</v>
      </c>
      <c r="M82" s="5" cm="1">
        <f t="array" ref="M82">INDEX('2026'!AM:AM, MAX(_xlfn._xlws.FILTER(ROW('2026'!E:E), ('2026'!E:E=Goalies!C82)*('2026'!AM:AM&lt;&gt;""))))</f>
        <v>3.0126844234997172</v>
      </c>
      <c r="N82" s="5">
        <f t="shared" si="39"/>
        <v>2.9072404686772271</v>
      </c>
      <c r="O82" s="5" cm="1">
        <f t="array" ref="O82">IFERROR(INDEX('2026'!AO:AO, MAX(_xlfn._xlws.FILTER(ROW('2026'!I:I), ('2026'!I:I=Goalies!B82)*('2026'!AO:AO&lt;&gt;"")))),"")</f>
        <v>2.8973384908072388</v>
      </c>
      <c r="P82" s="65">
        <f t="shared" si="57"/>
        <v>2.9072404686772271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3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58"/>
        <v>18.620000000000005</v>
      </c>
      <c r="AD82">
        <f t="shared" si="59"/>
        <v>1292</v>
      </c>
      <c r="AE82">
        <f t="shared" si="60"/>
        <v>29.120000000000005</v>
      </c>
      <c r="AF82" s="7">
        <f t="shared" si="61"/>
        <v>2.2538699690402481E-2</v>
      </c>
      <c r="AG82" s="37">
        <f t="shared" si="62"/>
        <v>0.92253869969040248</v>
      </c>
      <c r="AH82" s="60">
        <f t="shared" si="63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4"/>
        <v>0.88777793553880102</v>
      </c>
      <c r="AK82" s="98">
        <f t="shared" si="65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4"/>
        <v>WPG Eric Comrie</v>
      </c>
      <c r="C83" t="s">
        <v>16</v>
      </c>
      <c r="D83" t="s">
        <v>200</v>
      </c>
      <c r="E83" s="6">
        <v>31.16</v>
      </c>
      <c r="F83" s="7">
        <f t="shared" si="55"/>
        <v>0.89985752448797862</v>
      </c>
      <c r="G83">
        <f t="shared" si="56"/>
        <v>28.039560463045415</v>
      </c>
      <c r="H83" s="7">
        <f>SUMIFS(G:G,C:C,C83)/82</f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2.8548723341635704</v>
      </c>
      <c r="M83" s="5" cm="1">
        <f t="array" ref="M83">INDEX('2026'!AM:AM, MAX(_xlfn._xlws.FILTER(ROW('2026'!E:E), ('2026'!E:E=Goalies!C83)*('2026'!AM:AM&lt;&gt;""))))</f>
        <v>3.0126844234997172</v>
      </c>
      <c r="N83" s="5">
        <f t="shared" si="39"/>
        <v>3.1934454889097004</v>
      </c>
      <c r="O83" s="5" cm="1">
        <f t="array" ref="O83">IFERROR(INDEX('2026'!AO:AO, MAX(_xlfn._xlws.FILTER(ROW('2026'!I:I), ('2026'!I:I=Goalies!B83)*('2026'!AO:AO&lt;&gt;"")))),"")</f>
        <v>3.0963337510954476</v>
      </c>
      <c r="P83" s="65">
        <f t="shared" si="57"/>
        <v>3.1934454889097004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3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58"/>
        <v>-1.6599999999999966</v>
      </c>
      <c r="AD83">
        <f t="shared" si="59"/>
        <v>1123</v>
      </c>
      <c r="AE83">
        <f t="shared" si="60"/>
        <v>-0.15999999999999659</v>
      </c>
      <c r="AF83" s="7">
        <f t="shared" si="61"/>
        <v>-1.4247551202136829E-4</v>
      </c>
      <c r="AG83" s="37">
        <f t="shared" si="62"/>
        <v>0.89985752448797862</v>
      </c>
      <c r="AH83" s="60">
        <f t="shared" si="63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4"/>
        <v>1.1477251196981515</v>
      </c>
      <c r="AK83" s="98">
        <f t="shared" si="65"/>
        <v>1.06</v>
      </c>
      <c r="AN83" s="92"/>
      <c r="AR83" s="75" t="s">
        <v>248</v>
      </c>
      <c r="AS83" s="75" t="s">
        <v>1304</v>
      </c>
      <c r="AT83" s="75" t="s">
        <v>16</v>
      </c>
      <c r="AU83" s="75" t="s">
        <v>1167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1298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4"/>
        <v>WPG Thomas Milic</v>
      </c>
      <c r="C84" t="s">
        <v>16</v>
      </c>
      <c r="D84" t="s">
        <v>1167</v>
      </c>
      <c r="E84" s="6">
        <v>4.1000000000000005</v>
      </c>
      <c r="F84" s="7">
        <f t="shared" si="55"/>
        <v>0.89908136482939638</v>
      </c>
      <c r="G84">
        <f t="shared" si="56"/>
        <v>3.6862335958005255</v>
      </c>
      <c r="H84" s="7">
        <f>SUMIFS(G:G,C:C,C84)/82</f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2.8548723341635704</v>
      </c>
      <c r="M84" s="5" cm="1">
        <f t="array" ref="M84">INDEX('2026'!AM:AM, MAX(_xlfn._xlws.FILTER(ROW('2026'!E:E), ('2026'!E:E=Goalies!C84)*('2026'!AM:AM&lt;&gt;""))))</f>
        <v>3.0126844234997172</v>
      </c>
      <c r="N84" s="5">
        <f t="shared" si="39"/>
        <v>3.3139528658496893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57"/>
        <v>3.3139528658496893</v>
      </c>
      <c r="Q84" s="6">
        <v>4.1000000000000005</v>
      </c>
      <c r="R84" t="s">
        <v>16</v>
      </c>
      <c r="S84" t="s">
        <v>1167</v>
      </c>
      <c r="T84">
        <v>700</v>
      </c>
      <c r="U84">
        <v>631.5</v>
      </c>
      <c r="V84">
        <v>68.5</v>
      </c>
      <c r="W84">
        <v>70</v>
      </c>
      <c r="X84">
        <f t="shared" si="53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58"/>
        <v>-2.2000000000000002</v>
      </c>
      <c r="AD84">
        <f t="shared" si="59"/>
        <v>762</v>
      </c>
      <c r="AE84">
        <f t="shared" si="60"/>
        <v>-0.70000000000000018</v>
      </c>
      <c r="AF84" s="7">
        <f t="shared" si="61"/>
        <v>-9.1863517060367474E-4</v>
      </c>
      <c r="AG84" s="37">
        <f t="shared" si="62"/>
        <v>0.89908136482939638</v>
      </c>
      <c r="AH84" s="60">
        <f t="shared" si="63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4"/>
        <v>1.1566206251517215</v>
      </c>
      <c r="AK84" s="98">
        <f t="shared" si="65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4"/>
        <v>WSH Logan Thompson</v>
      </c>
      <c r="C85" t="s">
        <v>49</v>
      </c>
      <c r="D85" t="s">
        <v>197</v>
      </c>
      <c r="E85" s="6">
        <v>54.940000000000005</v>
      </c>
      <c r="F85" s="7">
        <f t="shared" si="55"/>
        <v>0.9242520215633423</v>
      </c>
      <c r="G85">
        <f t="shared" si="56"/>
        <v>50.778406064690031</v>
      </c>
      <c r="H85" s="7">
        <f>SUMIFS(G:G,C:C,C85)/82</f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3.0449999999999999</v>
      </c>
      <c r="M85" s="5" cm="1">
        <f t="array" ref="M85">INDEX('2026'!AM:AM, MAX(_xlfn._xlws.FILTER(ROW('2026'!E:E), ('2026'!E:E=Goalies!C85)*('2026'!AM:AM&lt;&gt;""))))</f>
        <v>3.0275070377221338</v>
      </c>
      <c r="N85" s="5">
        <f t="shared" si="39"/>
        <v>2.9518193617790804</v>
      </c>
      <c r="O85" s="5" cm="1">
        <f t="array" ref="O85">IFERROR(INDEX('2026'!AO:AO, MAX(_xlfn._xlws.FILTER(ROW('2026'!I:I), ('2026'!I:I=Goalies!B85)*('2026'!AO:AO&lt;&gt;"")))),"")</f>
        <v>2.9884523540502164</v>
      </c>
      <c r="P85" s="65">
        <f t="shared" si="57"/>
        <v>2.9518193617790804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3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58"/>
        <v>28.989999999999995</v>
      </c>
      <c r="AD85">
        <f t="shared" si="59"/>
        <v>1484</v>
      </c>
      <c r="AE85">
        <f t="shared" si="60"/>
        <v>35.989999999999995</v>
      </c>
      <c r="AF85" s="7">
        <f t="shared" si="61"/>
        <v>2.4252021563342316E-2</v>
      </c>
      <c r="AG85" s="37">
        <f t="shared" si="62"/>
        <v>0.9242520215633423</v>
      </c>
      <c r="AH85" s="60">
        <f t="shared" si="63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4"/>
        <v>0.92648428591919574</v>
      </c>
      <c r="AK85" s="98">
        <f t="shared" si="65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4"/>
        <v>WSH Charlie Lindgren</v>
      </c>
      <c r="C86" t="s">
        <v>49</v>
      </c>
      <c r="D86" t="s">
        <v>198</v>
      </c>
      <c r="E86" s="6">
        <v>27.060000000000002</v>
      </c>
      <c r="F86" s="7">
        <f t="shared" si="55"/>
        <v>0.90603827751196175</v>
      </c>
      <c r="G86">
        <f t="shared" si="56"/>
        <v>24.517395789473689</v>
      </c>
      <c r="H86" s="7">
        <f>SUMIFS(G:G,C:C,C86)/82</f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3.0449999999999999</v>
      </c>
      <c r="M86" s="5" cm="1">
        <f t="array" ref="M86">INDEX('2026'!AM:AM, MAX(_xlfn._xlws.FILTER(ROW('2026'!E:E), ('2026'!E:E=Goalies!C86)*('2026'!AM:AM&lt;&gt;""))))</f>
        <v>3.0275070377221338</v>
      </c>
      <c r="N86" s="5">
        <f t="shared" si="39"/>
        <v>3.1486073192310191</v>
      </c>
      <c r="O86" s="5" cm="1">
        <f t="array" ref="O86">IFERROR(INDEX('2026'!AO:AO, MAX(_xlfn._xlws.FILTER(ROW('2026'!I:I), ('2026'!I:I=Goalies!B86)*('2026'!AO:AO&lt;&gt;"")))),"")</f>
        <v>3.0115478307303785</v>
      </c>
      <c r="P86" s="65">
        <f t="shared" si="57"/>
        <v>3.1486073192310191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3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58"/>
        <v>2.8100000000000023</v>
      </c>
      <c r="AD86">
        <f t="shared" si="59"/>
        <v>1045</v>
      </c>
      <c r="AE86">
        <f t="shared" si="60"/>
        <v>6.3100000000000023</v>
      </c>
      <c r="AF86" s="7">
        <f t="shared" si="61"/>
        <v>6.0382775119617246E-3</v>
      </c>
      <c r="AG86" s="37">
        <f t="shared" si="62"/>
        <v>0.90603827751196175</v>
      </c>
      <c r="AH86" s="60">
        <f t="shared" si="63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4"/>
        <v>1.1492591770731475</v>
      </c>
      <c r="AK86" s="98">
        <f t="shared" si="65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3.0054291948620571</v>
      </c>
      <c r="M88" s="7">
        <f>AVERAGE(M2:M86)</f>
        <v>3.0270651198997944</v>
      </c>
      <c r="N88" s="7">
        <f>AVERAGE(N2:N86)</f>
        <v>3.075600089663411</v>
      </c>
      <c r="O88" s="7">
        <f>AVERAGE(O2:O86)</f>
        <v>3.0541937249042745</v>
      </c>
      <c r="P88" s="7">
        <f>AVERAGE(P2:P86)</f>
        <v>3.0694204091812325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1169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2026-01-21T17:13:10Z</dcterms:modified>
</cp:coreProperties>
</file>