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231BAA95-AEA9-6A4F-BA68-EAEF6C24AA6F}" xr6:coauthVersionLast="47" xr6:coauthVersionMax="47" xr10:uidLastSave="{00000000-0000-0000-0000-000000000000}"/>
  <bookViews>
    <workbookView xWindow="0" yWindow="760" windowWidth="32380" windowHeight="16360" firstSheet="1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12" i="9" l="1"/>
  <c r="A1613" i="9"/>
  <c r="A1614" i="9"/>
  <c r="A1615" i="9"/>
  <c r="A1616" i="9"/>
  <c r="A1617" i="9"/>
  <c r="A1618" i="9"/>
  <c r="A1619" i="9"/>
  <c r="A1620" i="9"/>
  <c r="N1742" i="10"/>
  <c r="P1742" i="10" s="1"/>
  <c r="V1742" i="10"/>
  <c r="W1742" i="10"/>
  <c r="Z1742" i="10"/>
  <c r="AA1742" i="10"/>
  <c r="AB1742" i="10"/>
  <c r="AC1742" i="10"/>
  <c r="AD1742" i="10"/>
  <c r="AE1742" i="10"/>
  <c r="AF1742" i="10"/>
  <c r="AI1742" i="10" a="1"/>
  <c r="AI1742" i="10" s="1"/>
  <c r="N1743" i="10"/>
  <c r="O1742" i="10" s="1"/>
  <c r="V1743" i="10"/>
  <c r="W1743" i="10"/>
  <c r="Z1743" i="10"/>
  <c r="AA1743" i="10"/>
  <c r="AB1743" i="10"/>
  <c r="AC1743" i="10"/>
  <c r="AD1743" i="10"/>
  <c r="AE1743" i="10"/>
  <c r="AF1743" i="10"/>
  <c r="AI1743" i="10" a="1"/>
  <c r="AI1743" i="10" s="1"/>
  <c r="N1744" i="10"/>
  <c r="P1744" i="10" s="1"/>
  <c r="V1744" i="10"/>
  <c r="W1744" i="10"/>
  <c r="Z1744" i="10"/>
  <c r="AA1744" i="10"/>
  <c r="AB1744" i="10"/>
  <c r="AC1744" i="10"/>
  <c r="AD1744" i="10"/>
  <c r="AE1744" i="10"/>
  <c r="AF1744" i="10"/>
  <c r="AI1744" i="10" a="1"/>
  <c r="AI1744" i="10" s="1"/>
  <c r="N1745" i="10"/>
  <c r="O1744" i="10" s="1"/>
  <c r="V1745" i="10"/>
  <c r="W1745" i="10"/>
  <c r="Z1745" i="10"/>
  <c r="AA1745" i="10"/>
  <c r="AB1745" i="10"/>
  <c r="AC1745" i="10"/>
  <c r="AD1745" i="10"/>
  <c r="AE1745" i="10"/>
  <c r="AF1745" i="10"/>
  <c r="AI1745" i="10" a="1"/>
  <c r="AI1745" i="10" s="1"/>
  <c r="N1746" i="10"/>
  <c r="P1746" i="10" s="1"/>
  <c r="V1746" i="10"/>
  <c r="W1746" i="10"/>
  <c r="Z1746" i="10"/>
  <c r="AA1746" i="10"/>
  <c r="AB1746" i="10"/>
  <c r="AC1746" i="10"/>
  <c r="AD1746" i="10"/>
  <c r="AE1746" i="10"/>
  <c r="AF1746" i="10"/>
  <c r="AI1746" i="10" a="1"/>
  <c r="AI1746" i="10" s="1"/>
  <c r="N1747" i="10"/>
  <c r="O1746" i="10" s="1"/>
  <c r="V1747" i="10"/>
  <c r="W1747" i="10"/>
  <c r="Z1747" i="10"/>
  <c r="AA1747" i="10"/>
  <c r="AB1747" i="10"/>
  <c r="AC1747" i="10"/>
  <c r="AD1747" i="10"/>
  <c r="AE1747" i="10"/>
  <c r="AF1747" i="10"/>
  <c r="AI1747" i="10" a="1"/>
  <c r="AI1747" i="10" s="1"/>
  <c r="N1722" i="10"/>
  <c r="P1722" i="10" s="1"/>
  <c r="V1722" i="10"/>
  <c r="W1722" i="10"/>
  <c r="Z1722" i="10"/>
  <c r="AA1722" i="10"/>
  <c r="AB1722" i="10"/>
  <c r="AC1722" i="10"/>
  <c r="AD1722" i="10"/>
  <c r="AE1722" i="10"/>
  <c r="AF1722" i="10"/>
  <c r="AI1722" i="10" a="1"/>
  <c r="AI1722" i="10" s="1"/>
  <c r="N1723" i="10"/>
  <c r="O1722" i="10" s="1"/>
  <c r="O1723" i="10"/>
  <c r="V1723" i="10"/>
  <c r="W1723" i="10"/>
  <c r="AA1723" i="10"/>
  <c r="AB1723" i="10"/>
  <c r="AC1723" i="10"/>
  <c r="AD1723" i="10"/>
  <c r="AE1723" i="10"/>
  <c r="AF1723" i="10"/>
  <c r="AI1723" i="10" a="1"/>
  <c r="AI1723" i="10" s="1"/>
  <c r="AK1723" i="10" s="1"/>
  <c r="N1724" i="10"/>
  <c r="P1724" i="10" s="1"/>
  <c r="V1724" i="10"/>
  <c r="W1724" i="10"/>
  <c r="AA1724" i="10"/>
  <c r="AB1724" i="10"/>
  <c r="AC1724" i="10"/>
  <c r="AD1724" i="10"/>
  <c r="AE1724" i="10"/>
  <c r="AF1724" i="10"/>
  <c r="AI1724" i="10" a="1"/>
  <c r="AI1724" i="10" s="1"/>
  <c r="N1725" i="10"/>
  <c r="O1725" i="10"/>
  <c r="Q1725" i="10"/>
  <c r="V1725" i="10"/>
  <c r="W1725" i="10"/>
  <c r="Z1725" i="10"/>
  <c r="AA1725" i="10"/>
  <c r="AB1725" i="10"/>
  <c r="AC1725" i="10"/>
  <c r="AD1725" i="10"/>
  <c r="AE1725" i="10"/>
  <c r="AF1725" i="10"/>
  <c r="AI1725" i="10" a="1"/>
  <c r="AI1725" i="10" s="1"/>
  <c r="AK1725" i="10" s="1"/>
  <c r="N1726" i="10"/>
  <c r="O1727" i="10" s="1"/>
  <c r="V1726" i="10"/>
  <c r="W1726" i="10"/>
  <c r="Z1726" i="10"/>
  <c r="AA1726" i="10"/>
  <c r="AB1726" i="10"/>
  <c r="AC1726" i="10"/>
  <c r="AD1726" i="10"/>
  <c r="AE1726" i="10"/>
  <c r="AF1726" i="10"/>
  <c r="AI1726" i="10" a="1"/>
  <c r="AI1726" i="10" s="1"/>
  <c r="AK1726" i="10" s="1"/>
  <c r="AM1726" i="10"/>
  <c r="N1727" i="10"/>
  <c r="V1727" i="10"/>
  <c r="W1727" i="10"/>
  <c r="AA1727" i="10"/>
  <c r="AB1727" i="10"/>
  <c r="AC1727" i="10"/>
  <c r="AD1727" i="10"/>
  <c r="AE1727" i="10"/>
  <c r="AF1727" i="10"/>
  <c r="AI1727" i="10" a="1"/>
  <c r="AI1727" i="10" s="1"/>
  <c r="N1728" i="10"/>
  <c r="V1728" i="10"/>
  <c r="W1728" i="10"/>
  <c r="Z1728" i="10"/>
  <c r="AA1728" i="10"/>
  <c r="AB1728" i="10"/>
  <c r="AC1728" i="10"/>
  <c r="AD1728" i="10"/>
  <c r="AE1728" i="10"/>
  <c r="AF1728" i="10"/>
  <c r="AI1728" i="10" a="1"/>
  <c r="AI1728" i="10" s="1"/>
  <c r="N1729" i="10"/>
  <c r="V1729" i="10"/>
  <c r="W1729" i="10"/>
  <c r="Z1729" i="10"/>
  <c r="AA1729" i="10"/>
  <c r="AB1729" i="10"/>
  <c r="AC1729" i="10"/>
  <c r="AD1729" i="10"/>
  <c r="AE1729" i="10"/>
  <c r="AF1729" i="10"/>
  <c r="AI1729" i="10" a="1"/>
  <c r="AI1729" i="10" s="1"/>
  <c r="AK1729" i="10" s="1"/>
  <c r="N1730" i="10"/>
  <c r="V1730" i="10"/>
  <c r="W1730" i="10"/>
  <c r="Z1730" i="10"/>
  <c r="AA1730" i="10"/>
  <c r="AB1730" i="10"/>
  <c r="AC1730" i="10"/>
  <c r="AD1730" i="10"/>
  <c r="AE1730" i="10"/>
  <c r="AF1730" i="10"/>
  <c r="AI1730" i="10" a="1"/>
  <c r="AI1730" i="10" s="1"/>
  <c r="AK1730" i="10" s="1"/>
  <c r="N1731" i="10"/>
  <c r="O1730" i="10" s="1"/>
  <c r="V1731" i="10"/>
  <c r="W1731" i="10"/>
  <c r="AA1731" i="10"/>
  <c r="AB1731" i="10"/>
  <c r="AC1731" i="10"/>
  <c r="AD1731" i="10"/>
  <c r="AE1731" i="10"/>
  <c r="AF1731" i="10"/>
  <c r="AI1731" i="10" a="1"/>
  <c r="AI1731" i="10" s="1"/>
  <c r="AK1731" i="10" s="1"/>
  <c r="N1732" i="10"/>
  <c r="V1732" i="10"/>
  <c r="W1732" i="10"/>
  <c r="Z1732" i="10"/>
  <c r="AA1732" i="10"/>
  <c r="AB1732" i="10"/>
  <c r="AC1732" i="10"/>
  <c r="AD1732" i="10"/>
  <c r="AE1732" i="10"/>
  <c r="AF1732" i="10"/>
  <c r="AI1732" i="10" a="1"/>
  <c r="AI1732" i="10" s="1"/>
  <c r="AK1732" i="10" s="1"/>
  <c r="AM1732" i="10"/>
  <c r="N1733" i="10"/>
  <c r="O1732" i="10" s="1"/>
  <c r="V1733" i="10"/>
  <c r="W1733" i="10"/>
  <c r="Z1733" i="10"/>
  <c r="AA1733" i="10"/>
  <c r="AB1733" i="10"/>
  <c r="AC1733" i="10"/>
  <c r="AD1733" i="10"/>
  <c r="AE1733" i="10"/>
  <c r="AF1733" i="10"/>
  <c r="AI1733" i="10" a="1"/>
  <c r="AI1733" i="10" s="1"/>
  <c r="AK1733" i="10" s="1"/>
  <c r="N1734" i="10"/>
  <c r="V1734" i="10"/>
  <c r="W1734" i="10"/>
  <c r="Z1734" i="10"/>
  <c r="AA1734" i="10"/>
  <c r="AB1734" i="10"/>
  <c r="AC1734" i="10"/>
  <c r="AD1734" i="10"/>
  <c r="AE1734" i="10"/>
  <c r="AF1734" i="10"/>
  <c r="AI1734" i="10" a="1"/>
  <c r="AI1734" i="10" s="1"/>
  <c r="AK1734" i="10" s="1"/>
  <c r="N1735" i="10"/>
  <c r="O1734" i="10" s="1"/>
  <c r="V1735" i="10"/>
  <c r="W1735" i="10"/>
  <c r="AA1735" i="10"/>
  <c r="AB1735" i="10"/>
  <c r="AC1735" i="10"/>
  <c r="AD1735" i="10"/>
  <c r="AE1735" i="10"/>
  <c r="AF1735" i="10"/>
  <c r="AI1735" i="10" a="1"/>
  <c r="AI1735" i="10" s="1"/>
  <c r="AK1735" i="10" s="1"/>
  <c r="AM1735" i="10"/>
  <c r="N1736" i="10"/>
  <c r="O1737" i="10" s="1"/>
  <c r="V1736" i="10"/>
  <c r="W1736" i="10"/>
  <c r="Z1736" i="10"/>
  <c r="AA1736" i="10"/>
  <c r="AB1736" i="10"/>
  <c r="AC1736" i="10"/>
  <c r="AD1736" i="10"/>
  <c r="AE1736" i="10"/>
  <c r="AF1736" i="10"/>
  <c r="AI1736" i="10" a="1"/>
  <c r="AI1736" i="10" s="1"/>
  <c r="AK1736" i="10" s="1"/>
  <c r="N1737" i="10"/>
  <c r="V1737" i="10"/>
  <c r="W1737" i="10"/>
  <c r="AA1737" i="10"/>
  <c r="AB1737" i="10"/>
  <c r="AC1737" i="10"/>
  <c r="AD1737" i="10"/>
  <c r="AE1737" i="10"/>
  <c r="AF1737" i="10"/>
  <c r="AI1737" i="10" a="1"/>
  <c r="AI1737" i="10" s="1"/>
  <c r="AK1737" i="10" s="1"/>
  <c r="Y1736" i="10" s="1"/>
  <c r="N1738" i="10"/>
  <c r="P1738" i="10" s="1"/>
  <c r="V1738" i="10"/>
  <c r="W1738" i="10"/>
  <c r="Z1738" i="10"/>
  <c r="AA1738" i="10"/>
  <c r="AB1738" i="10"/>
  <c r="AC1738" i="10"/>
  <c r="AD1738" i="10"/>
  <c r="AE1738" i="10"/>
  <c r="AF1738" i="10"/>
  <c r="AI1738" i="10" a="1"/>
  <c r="AI1738" i="10" s="1"/>
  <c r="AK1738" i="10" s="1"/>
  <c r="N1739" i="10"/>
  <c r="V1739" i="10"/>
  <c r="W1739" i="10"/>
  <c r="Z1739" i="10"/>
  <c r="AA1739" i="10"/>
  <c r="AB1739" i="10"/>
  <c r="AC1739" i="10"/>
  <c r="AD1739" i="10"/>
  <c r="AE1739" i="10"/>
  <c r="AF1739" i="10"/>
  <c r="AI1739" i="10" a="1"/>
  <c r="AI1739" i="10" s="1"/>
  <c r="AK1739" i="10" s="1"/>
  <c r="Y1738" i="10" s="1"/>
  <c r="N1740" i="10"/>
  <c r="P1740" i="10" s="1"/>
  <c r="V1740" i="10"/>
  <c r="W1740" i="10"/>
  <c r="Z1740" i="10"/>
  <c r="AA1740" i="10"/>
  <c r="AB1740" i="10"/>
  <c r="AC1740" i="10"/>
  <c r="AD1740" i="10"/>
  <c r="AE1740" i="10"/>
  <c r="AF1740" i="10"/>
  <c r="AI1740" i="10" a="1"/>
  <c r="AI1740" i="10" s="1"/>
  <c r="AK1740" i="10" s="1"/>
  <c r="AM1740" i="10"/>
  <c r="N1741" i="10"/>
  <c r="O1740" i="10" s="1"/>
  <c r="V1741" i="10"/>
  <c r="W1741" i="10"/>
  <c r="AA1741" i="10"/>
  <c r="AB1741" i="10"/>
  <c r="AC1741" i="10"/>
  <c r="AD1741" i="10"/>
  <c r="AE1741" i="10"/>
  <c r="AF1741" i="10"/>
  <c r="AI1741" i="10" a="1"/>
  <c r="AI1741" i="10"/>
  <c r="AK1741" i="10" s="1"/>
  <c r="Y1740" i="10" s="1"/>
  <c r="AM1741" i="10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V1712" i="10"/>
  <c r="W1712" i="10"/>
  <c r="AC1712" i="10"/>
  <c r="AD1712" i="10"/>
  <c r="AE1712" i="10"/>
  <c r="AF1712" i="10"/>
  <c r="AI1712" i="10" a="1"/>
  <c r="AI1712" i="10" s="1"/>
  <c r="V1713" i="10"/>
  <c r="W1713" i="10"/>
  <c r="AC1713" i="10"/>
  <c r="AD1713" i="10"/>
  <c r="AE1713" i="10"/>
  <c r="AF1713" i="10"/>
  <c r="AI1713" i="10" a="1"/>
  <c r="AI1713" i="10"/>
  <c r="V1714" i="10"/>
  <c r="W1714" i="10"/>
  <c r="AC1714" i="10"/>
  <c r="AD1714" i="10"/>
  <c r="AE1714" i="10"/>
  <c r="AF1714" i="10"/>
  <c r="AI1714" i="10" a="1"/>
  <c r="AI1714" i="10" s="1"/>
  <c r="V1715" i="10"/>
  <c r="W1715" i="10"/>
  <c r="AC1715" i="10"/>
  <c r="AD1715" i="10"/>
  <c r="AE1715" i="10"/>
  <c r="AF1715" i="10"/>
  <c r="AI1715" i="10" a="1"/>
  <c r="AI1715" i="10" s="1"/>
  <c r="V1716" i="10"/>
  <c r="W1716" i="10"/>
  <c r="AC1716" i="10"/>
  <c r="AD1716" i="10"/>
  <c r="AE1716" i="10"/>
  <c r="AF1716" i="10"/>
  <c r="AI1716" i="10" a="1"/>
  <c r="AI1716" i="10" s="1"/>
  <c r="V1717" i="10"/>
  <c r="W1717" i="10"/>
  <c r="AC1717" i="10"/>
  <c r="AD1717" i="10"/>
  <c r="AE1717" i="10"/>
  <c r="AF1717" i="10"/>
  <c r="AI1717" i="10" a="1"/>
  <c r="AI1717" i="10" s="1"/>
  <c r="AK1717" i="10" s="1"/>
  <c r="Y1716" i="10" s="1"/>
  <c r="V1718" i="10"/>
  <c r="W1718" i="10"/>
  <c r="AC1718" i="10"/>
  <c r="AD1718" i="10"/>
  <c r="AE1718" i="10"/>
  <c r="AF1718" i="10"/>
  <c r="AI1718" i="10" a="1"/>
  <c r="AI1718" i="10" s="1"/>
  <c r="V1719" i="10"/>
  <c r="W1719" i="10"/>
  <c r="AC1719" i="10"/>
  <c r="AD1719" i="10"/>
  <c r="AE1719" i="10"/>
  <c r="AF1719" i="10"/>
  <c r="AI1719" i="10" a="1"/>
  <c r="AI1719" i="10" s="1"/>
  <c r="AK1719" i="10" s="1"/>
  <c r="V1720" i="10"/>
  <c r="W1720" i="10"/>
  <c r="AC1720" i="10"/>
  <c r="AD1720" i="10"/>
  <c r="AE1720" i="10"/>
  <c r="AF1720" i="10"/>
  <c r="AI1720" i="10" a="1"/>
  <c r="AI1720" i="10"/>
  <c r="V1721" i="10"/>
  <c r="W1721" i="10"/>
  <c r="AC1721" i="10"/>
  <c r="AD1721" i="10"/>
  <c r="AE1721" i="10"/>
  <c r="AF1721" i="10"/>
  <c r="AI1721" i="10" a="1"/>
  <c r="AI1721" i="10" s="1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V1711" i="10"/>
  <c r="W1711" i="10"/>
  <c r="AC1711" i="10"/>
  <c r="AD1711" i="10"/>
  <c r="AE1711" i="10"/>
  <c r="AF1711" i="10"/>
  <c r="AI1711" i="10" a="1"/>
  <c r="AI1711" i="10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AM1723" i="10" l="1"/>
  <c r="AM1729" i="10"/>
  <c r="X1728" i="10" s="1"/>
  <c r="R1728" i="10" s="1"/>
  <c r="AM1734" i="10"/>
  <c r="AQ1734" i="10" s="1"/>
  <c r="AM1731" i="10"/>
  <c r="X1730" i="10" s="1"/>
  <c r="AM1733" i="10"/>
  <c r="X1732" i="10" s="1"/>
  <c r="AV1732" i="10" s="1"/>
  <c r="AM1730" i="10"/>
  <c r="AQ1730" i="10" s="1"/>
  <c r="AK1745" i="10"/>
  <c r="AM1745" i="10"/>
  <c r="AM1744" i="10"/>
  <c r="AK1744" i="10"/>
  <c r="Q1745" i="10"/>
  <c r="Q1743" i="10"/>
  <c r="Q1747" i="10"/>
  <c r="P1747" i="10"/>
  <c r="P1745" i="10"/>
  <c r="P1743" i="10"/>
  <c r="O1745" i="10"/>
  <c r="O1743" i="10"/>
  <c r="O1747" i="10"/>
  <c r="S1740" i="10"/>
  <c r="AN1740" i="10" s="1"/>
  <c r="Q1739" i="10"/>
  <c r="Q1741" i="10"/>
  <c r="X1741" i="10"/>
  <c r="AT1741" i="10" s="1"/>
  <c r="AQ1740" i="10"/>
  <c r="Y1739" i="10"/>
  <c r="P1729" i="10"/>
  <c r="P1734" i="10"/>
  <c r="Y1733" i="10"/>
  <c r="AM1722" i="10"/>
  <c r="AK1722" i="10"/>
  <c r="X1740" i="10"/>
  <c r="O1741" i="10"/>
  <c r="AM1738" i="10"/>
  <c r="AM1739" i="10"/>
  <c r="X1734" i="10"/>
  <c r="P1727" i="10"/>
  <c r="Y1724" i="10"/>
  <c r="P1732" i="10"/>
  <c r="Y1731" i="10"/>
  <c r="P1725" i="10"/>
  <c r="P1737" i="10"/>
  <c r="Y1734" i="10"/>
  <c r="S1734" i="10" s="1"/>
  <c r="P1730" i="10"/>
  <c r="AM1736" i="10"/>
  <c r="P1735" i="10"/>
  <c r="Y1732" i="10"/>
  <c r="S1732" i="10" s="1"/>
  <c r="O1728" i="10"/>
  <c r="P1739" i="10"/>
  <c r="O1733" i="10"/>
  <c r="P1728" i="10"/>
  <c r="Y1727" i="10"/>
  <c r="X1722" i="10"/>
  <c r="X1727" i="10"/>
  <c r="AQ1726" i="10"/>
  <c r="O1738" i="10"/>
  <c r="S1738" i="10" s="1"/>
  <c r="O1735" i="10"/>
  <c r="Y1741" i="10"/>
  <c r="O1739" i="10"/>
  <c r="P1733" i="10"/>
  <c r="Y1730" i="10"/>
  <c r="S1730" i="10" s="1"/>
  <c r="O1726" i="10"/>
  <c r="Y1737" i="10"/>
  <c r="O1731" i="10"/>
  <c r="P1726" i="10"/>
  <c r="O1724" i="10"/>
  <c r="P1731" i="10"/>
  <c r="Y1728" i="10"/>
  <c r="Y1722" i="10"/>
  <c r="S1722" i="10" s="1"/>
  <c r="P1741" i="10"/>
  <c r="AM1737" i="10"/>
  <c r="O1736" i="10"/>
  <c r="S1736" i="10" s="1"/>
  <c r="X1733" i="10"/>
  <c r="AT1733" i="10" s="1"/>
  <c r="AQ1732" i="10"/>
  <c r="P1736" i="10"/>
  <c r="Y1735" i="10"/>
  <c r="O1729" i="10"/>
  <c r="AM1725" i="10"/>
  <c r="Q1723" i="10"/>
  <c r="P1723" i="10"/>
  <c r="AK1715" i="10"/>
  <c r="Y1714" i="10" s="1"/>
  <c r="AM1715" i="10"/>
  <c r="X1714" i="10" s="1"/>
  <c r="AM1716" i="10"/>
  <c r="AK1716" i="10"/>
  <c r="AK1713" i="10"/>
  <c r="AM1713" i="10"/>
  <c r="AK1721" i="10"/>
  <c r="AM1721" i="10"/>
  <c r="Y1718" i="10"/>
  <c r="AM1714" i="10"/>
  <c r="AM1719" i="10"/>
  <c r="F54" i="14"/>
  <c r="G54" i="14" s="1"/>
  <c r="AH54" i="14"/>
  <c r="AQ1733" i="10" l="1"/>
  <c r="X1735" i="10"/>
  <c r="AT1735" i="10" s="1"/>
  <c r="X1731" i="10"/>
  <c r="AT1731" i="10" s="1"/>
  <c r="AX1731" i="10" s="1"/>
  <c r="AQ1729" i="10"/>
  <c r="Y1745" i="10"/>
  <c r="U1745" i="10" s="1"/>
  <c r="X1745" i="10"/>
  <c r="R1745" i="10" s="1"/>
  <c r="AL1745" i="10" s="1"/>
  <c r="AQ1744" i="10"/>
  <c r="X1744" i="10"/>
  <c r="AQ1745" i="10"/>
  <c r="Q1744" i="10"/>
  <c r="Q1742" i="10"/>
  <c r="Y1744" i="10"/>
  <c r="S1744" i="10" s="1"/>
  <c r="Q1746" i="10"/>
  <c r="AT1732" i="10"/>
  <c r="AX1732" i="10" s="1"/>
  <c r="R1732" i="10"/>
  <c r="AL1732" i="10" s="1"/>
  <c r="S1733" i="10"/>
  <c r="AN1733" i="10" s="1"/>
  <c r="R1733" i="10"/>
  <c r="AL1733" i="10" s="1"/>
  <c r="R1731" i="10"/>
  <c r="AL1731" i="10" s="1"/>
  <c r="S1739" i="10"/>
  <c r="AN1739" i="10" s="1"/>
  <c r="AN1730" i="10"/>
  <c r="AX1735" i="10"/>
  <c r="AU1734" i="10"/>
  <c r="AY1734" i="10" s="1"/>
  <c r="AN1734" i="10"/>
  <c r="AN1732" i="10"/>
  <c r="AW1733" i="10"/>
  <c r="AN1736" i="10"/>
  <c r="AN1722" i="10"/>
  <c r="AV1735" i="10"/>
  <c r="AW1734" i="10" s="1"/>
  <c r="R1727" i="10"/>
  <c r="X1736" i="10"/>
  <c r="AV1733" i="10"/>
  <c r="AW1732" i="10" s="1"/>
  <c r="T1727" i="10"/>
  <c r="Q1726" i="10"/>
  <c r="AU1730" i="10"/>
  <c r="AY1730" i="10" s="1"/>
  <c r="X1739" i="10"/>
  <c r="T1739" i="10" s="1"/>
  <c r="AQ1738" i="10"/>
  <c r="S1728" i="10"/>
  <c r="R1735" i="10"/>
  <c r="AL1735" i="10" s="1"/>
  <c r="Q1736" i="10"/>
  <c r="U1736" i="10" s="1"/>
  <c r="Y1723" i="10"/>
  <c r="Q1731" i="10"/>
  <c r="AV1741" i="10"/>
  <c r="AW1740" i="10" s="1"/>
  <c r="T1741" i="10"/>
  <c r="Q1740" i="10"/>
  <c r="U1740" i="10" s="1"/>
  <c r="Q1734" i="10"/>
  <c r="U1734" i="10" s="1"/>
  <c r="T1735" i="10"/>
  <c r="X1723" i="10"/>
  <c r="T1723" i="10" s="1"/>
  <c r="AQ1722" i="10"/>
  <c r="AX1741" i="10"/>
  <c r="AU1740" i="10"/>
  <c r="AY1740" i="10" s="1"/>
  <c r="Q1737" i="10"/>
  <c r="T1733" i="10"/>
  <c r="Q1732" i="10"/>
  <c r="U1732" i="10" s="1"/>
  <c r="T1731" i="10"/>
  <c r="Q1730" i="10"/>
  <c r="U1730" i="10" s="1"/>
  <c r="Q1728" i="10"/>
  <c r="U1728" i="10" s="1"/>
  <c r="Q1727" i="10"/>
  <c r="Q1729" i="10"/>
  <c r="T1728" i="10"/>
  <c r="X1737" i="10"/>
  <c r="T1737" i="10" s="1"/>
  <c r="AQ1736" i="10"/>
  <c r="Q1724" i="10"/>
  <c r="AN1738" i="10"/>
  <c r="Q1735" i="10"/>
  <c r="Q1733" i="10"/>
  <c r="U1733" i="10" s="1"/>
  <c r="T1732" i="10"/>
  <c r="Q1722" i="10"/>
  <c r="U1722" i="10" s="1"/>
  <c r="AX1733" i="10"/>
  <c r="AU1732" i="10"/>
  <c r="AY1732" i="10" s="1"/>
  <c r="R1741" i="10"/>
  <c r="AL1741" i="10" s="1"/>
  <c r="U1739" i="10"/>
  <c r="X1738" i="10"/>
  <c r="AQ1739" i="10"/>
  <c r="Q1738" i="10"/>
  <c r="U1738" i="10" s="1"/>
  <c r="X1724" i="10"/>
  <c r="AQ1725" i="10"/>
  <c r="AV1731" i="10"/>
  <c r="AW1730" i="10" s="1"/>
  <c r="Y1720" i="10"/>
  <c r="Y1712" i="10"/>
  <c r="X1718" i="10"/>
  <c r="X1712" i="10"/>
  <c r="X1715" i="10"/>
  <c r="Y1717" i="10"/>
  <c r="X1720" i="10"/>
  <c r="X1717" i="10"/>
  <c r="BF1732" i="10" l="1"/>
  <c r="BF1733" i="10" s="1"/>
  <c r="BB1733" i="10" s="1"/>
  <c r="AU1733" i="10"/>
  <c r="AY1733" i="10" s="1"/>
  <c r="BI1733" i="10"/>
  <c r="BE1733" i="10" s="1"/>
  <c r="BH1733" i="10"/>
  <c r="BH1732" i="10" s="1"/>
  <c r="BD1732" i="10" s="1"/>
  <c r="AT1745" i="10"/>
  <c r="AX1745" i="10" s="1"/>
  <c r="BG1733" i="10"/>
  <c r="BC1733" i="10" s="1"/>
  <c r="AV1745" i="10"/>
  <c r="AW1744" i="10" s="1"/>
  <c r="U1744" i="10"/>
  <c r="R1744" i="10"/>
  <c r="AL1744" i="10" s="1"/>
  <c r="T1744" i="10"/>
  <c r="AT1744" i="10"/>
  <c r="S1745" i="10"/>
  <c r="T1745" i="10"/>
  <c r="AN1744" i="10"/>
  <c r="AV1744" i="10"/>
  <c r="AV1723" i="10"/>
  <c r="AW1722" i="10" s="1"/>
  <c r="AT1723" i="10"/>
  <c r="R1723" i="10"/>
  <c r="AL1723" i="10" s="1"/>
  <c r="AZ1733" i="10"/>
  <c r="BA1733" i="10"/>
  <c r="BO1733" i="10"/>
  <c r="R1739" i="10"/>
  <c r="AL1739" i="10" s="1"/>
  <c r="AV1739" i="10"/>
  <c r="AW1738" i="10" s="1"/>
  <c r="AT1739" i="10"/>
  <c r="BQ1733" i="10"/>
  <c r="R1738" i="10"/>
  <c r="AL1738" i="10" s="1"/>
  <c r="T1738" i="10"/>
  <c r="AV1738" i="10"/>
  <c r="AT1738" i="10"/>
  <c r="AV1737" i="10"/>
  <c r="AW1736" i="10" s="1"/>
  <c r="R1737" i="10"/>
  <c r="AL1737" i="10" s="1"/>
  <c r="AT1737" i="10"/>
  <c r="BP1733" i="10"/>
  <c r="T1724" i="10"/>
  <c r="R1724" i="10"/>
  <c r="AZ1732" i="10"/>
  <c r="BA1732" i="10"/>
  <c r="BN1732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AU1744" i="10" l="1"/>
  <c r="AY1744" i="10" s="1"/>
  <c r="BI1732" i="10"/>
  <c r="BE1732" i="10" s="1"/>
  <c r="BB1732" i="10"/>
  <c r="BG1732" i="10"/>
  <c r="BC1732" i="10" s="1"/>
  <c r="BD1733" i="10"/>
  <c r="AN1745" i="10"/>
  <c r="BN1744" i="10"/>
  <c r="AW1745" i="10"/>
  <c r="BO1745" i="10"/>
  <c r="BP1745" i="10"/>
  <c r="BQ1745" i="10"/>
  <c r="BH1745" i="10"/>
  <c r="BI1745" i="10"/>
  <c r="BF1744" i="10"/>
  <c r="AU1745" i="10"/>
  <c r="AY1745" i="10" s="1"/>
  <c r="AZ1745" i="10" s="1"/>
  <c r="BG1745" i="10"/>
  <c r="AX1744" i="10"/>
  <c r="AX1738" i="10"/>
  <c r="AU1739" i="10"/>
  <c r="AY1739" i="10" s="1"/>
  <c r="BF1738" i="10"/>
  <c r="BH1739" i="10"/>
  <c r="BI1739" i="10"/>
  <c r="BG1739" i="10"/>
  <c r="BP1739" i="10"/>
  <c r="BQ1739" i="10"/>
  <c r="BO1739" i="10"/>
  <c r="BN1738" i="10"/>
  <c r="AW1739" i="10"/>
  <c r="BN1733" i="10"/>
  <c r="BJ1733" i="10" s="1"/>
  <c r="BJ1732" i="10"/>
  <c r="AX1723" i="10"/>
  <c r="AU1722" i="10"/>
  <c r="AY1722" i="10" s="1"/>
  <c r="BK1733" i="10"/>
  <c r="BO1732" i="10"/>
  <c r="BK1732" i="10" s="1"/>
  <c r="BP1732" i="10"/>
  <c r="BL1732" i="10" s="1"/>
  <c r="BL1733" i="10"/>
  <c r="BQ1732" i="10"/>
  <c r="BM1732" i="10" s="1"/>
  <c r="BM1733" i="10"/>
  <c r="AX1737" i="10"/>
  <c r="AU1736" i="10"/>
  <c r="AY1736" i="10" s="1"/>
  <c r="AX1739" i="10"/>
  <c r="AU1738" i="10"/>
  <c r="AY1738" i="10" s="1"/>
  <c r="BA1745" i="10" l="1"/>
  <c r="BP1744" i="10"/>
  <c r="BL1744" i="10" s="1"/>
  <c r="BL1745" i="10"/>
  <c r="BO1744" i="10"/>
  <c r="BK1744" i="10" s="1"/>
  <c r="BK1745" i="10"/>
  <c r="BI1744" i="10"/>
  <c r="BE1744" i="10" s="1"/>
  <c r="BE1745" i="10"/>
  <c r="BA1744" i="10"/>
  <c r="AZ1744" i="10"/>
  <c r="BB1744" i="10"/>
  <c r="BF1745" i="10"/>
  <c r="BB1745" i="10" s="1"/>
  <c r="BC1745" i="10"/>
  <c r="BG1744" i="10"/>
  <c r="BC1744" i="10" s="1"/>
  <c r="BH1744" i="10"/>
  <c r="BD1744" i="10" s="1"/>
  <c r="BD1745" i="10"/>
  <c r="BQ1744" i="10"/>
  <c r="BM1744" i="10" s="1"/>
  <c r="BM1745" i="10"/>
  <c r="BN1745" i="10"/>
  <c r="BJ1745" i="10" s="1"/>
  <c r="BJ1744" i="10"/>
  <c r="AZ1738" i="10"/>
  <c r="BA1738" i="10"/>
  <c r="BN1739" i="10"/>
  <c r="BJ1739" i="10" s="1"/>
  <c r="BJ1738" i="10"/>
  <c r="BK1739" i="10"/>
  <c r="BO1738" i="10"/>
  <c r="BK1738" i="10" s="1"/>
  <c r="AZ1739" i="10"/>
  <c r="BA1739" i="10"/>
  <c r="BQ1738" i="10"/>
  <c r="BM1738" i="10" s="1"/>
  <c r="BM1739" i="10"/>
  <c r="BP1738" i="10"/>
  <c r="BL1738" i="10" s="1"/>
  <c r="BL1739" i="10"/>
  <c r="BC1739" i="10"/>
  <c r="BG1738" i="10"/>
  <c r="BC1738" i="10" s="1"/>
  <c r="BE1739" i="10"/>
  <c r="BI1738" i="10"/>
  <c r="BE1738" i="10" s="1"/>
  <c r="BH1738" i="10"/>
  <c r="BD1738" i="10" s="1"/>
  <c r="BD1739" i="10"/>
  <c r="BB1738" i="10"/>
  <c r="BF1739" i="10"/>
  <c r="BB1739" i="10" s="1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11" i="10"/>
  <c r="Z1711" i="10" s="1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Z1723" i="10" s="1"/>
  <c r="I1724" i="10"/>
  <c r="I1725" i="10"/>
  <c r="I1726" i="10"/>
  <c r="I1727" i="10"/>
  <c r="Z1727" i="10" s="1"/>
  <c r="I1728" i="10"/>
  <c r="I1729" i="10"/>
  <c r="I1730" i="10"/>
  <c r="I1731" i="10"/>
  <c r="Z1731" i="10" s="1"/>
  <c r="I1732" i="10"/>
  <c r="I1733" i="10"/>
  <c r="I1734" i="10"/>
  <c r="I1735" i="10"/>
  <c r="Z1735" i="10" s="1"/>
  <c r="I1736" i="10"/>
  <c r="I1737" i="10"/>
  <c r="Z1737" i="10" s="1"/>
  <c r="I1738" i="10"/>
  <c r="I1739" i="10"/>
  <c r="I1740" i="10"/>
  <c r="I1741" i="10"/>
  <c r="Z1741" i="10" s="1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Q1735" i="10" l="1"/>
  <c r="AT1734" i="10"/>
  <c r="R1734" i="10"/>
  <c r="AL1734" i="10" s="1"/>
  <c r="AV1734" i="10"/>
  <c r="T1734" i="10"/>
  <c r="S1735" i="10"/>
  <c r="AN1735" i="10" s="1"/>
  <c r="U1735" i="10"/>
  <c r="S1737" i="10"/>
  <c r="AN1737" i="10" s="1"/>
  <c r="AQ1737" i="10"/>
  <c r="T1736" i="10"/>
  <c r="U1737" i="10"/>
  <c r="AT1736" i="10"/>
  <c r="AV1736" i="10"/>
  <c r="R1736" i="10"/>
  <c r="AL1736" i="10" s="1"/>
  <c r="AQ1723" i="10"/>
  <c r="T1722" i="10"/>
  <c r="R1722" i="10"/>
  <c r="AL1722" i="10" s="1"/>
  <c r="AT1722" i="10"/>
  <c r="AV1722" i="10"/>
  <c r="S1723" i="10"/>
  <c r="AN1723" i="10" s="1"/>
  <c r="U1723" i="10"/>
  <c r="AJ1743" i="10" a="1"/>
  <c r="AJ1743" i="10" s="1"/>
  <c r="AJ1745" i="10" a="1"/>
  <c r="AJ1745" i="10" s="1"/>
  <c r="AO1745" i="10" s="1"/>
  <c r="AP1745" i="10" s="1"/>
  <c r="AJ1742" i="10" a="1"/>
  <c r="AJ1742" i="10" s="1"/>
  <c r="AO1742" i="10" s="1"/>
  <c r="AJ1746" i="10" a="1"/>
  <c r="AJ1746" i="10" s="1"/>
  <c r="Z1724" i="10"/>
  <c r="AJ1744" i="10" a="1"/>
  <c r="AJ1744" i="10" s="1"/>
  <c r="AO1744" i="10" s="1"/>
  <c r="AP1744" i="10" s="1"/>
  <c r="AJ1747" i="10" a="1"/>
  <c r="AJ1747" i="10" s="1"/>
  <c r="AQ1731" i="10"/>
  <c r="AV1730" i="10"/>
  <c r="T1730" i="10"/>
  <c r="R1730" i="10"/>
  <c r="AL1730" i="10" s="1"/>
  <c r="S1731" i="10"/>
  <c r="AN1731" i="10" s="1"/>
  <c r="AT1730" i="10"/>
  <c r="U1731" i="10"/>
  <c r="AJ1723" i="10" a="1"/>
  <c r="AJ1723" i="10" s="1"/>
  <c r="AO1723" i="10" s="1"/>
  <c r="AP1723" i="10" s="1"/>
  <c r="AJ1722" i="10" a="1"/>
  <c r="AJ1722" i="10" s="1"/>
  <c r="AO1722" i="10" s="1"/>
  <c r="AP1722" i="10" s="1"/>
  <c r="S1727" i="10"/>
  <c r="U1727" i="10"/>
  <c r="AQ1741" i="10"/>
  <c r="AT1740" i="10"/>
  <c r="S1741" i="10"/>
  <c r="AN1741" i="10" s="1"/>
  <c r="U1741" i="10"/>
  <c r="T1740" i="10"/>
  <c r="AV1740" i="10"/>
  <c r="R1740" i="10"/>
  <c r="AL1740" i="10" s="1"/>
  <c r="AJ1734" i="10" a="1"/>
  <c r="AJ1734" i="10" s="1"/>
  <c r="AO1734" i="10" s="1"/>
  <c r="AP1734" i="10" s="1"/>
  <c r="AJ1729" i="10" a="1"/>
  <c r="AJ1729" i="10" s="1"/>
  <c r="AO1729" i="10" s="1"/>
  <c r="AJ1724" i="10" a="1"/>
  <c r="AJ1724" i="10" s="1"/>
  <c r="AJ1726" i="10" a="1"/>
  <c r="AJ1726" i="10" s="1"/>
  <c r="AO1726" i="10" s="1"/>
  <c r="AJ1738" i="10" a="1"/>
  <c r="AJ1738" i="10" s="1"/>
  <c r="AO1738" i="10" s="1"/>
  <c r="AP1738" i="10" s="1"/>
  <c r="AJ1735" i="10" a="1"/>
  <c r="AJ1735" i="10" s="1"/>
  <c r="AO1735" i="10" s="1"/>
  <c r="AP1735" i="10" s="1"/>
  <c r="AJ1725" i="10" a="1"/>
  <c r="AJ1725" i="10" s="1"/>
  <c r="AO1725" i="10" s="1"/>
  <c r="AJ1728" i="10" a="1"/>
  <c r="AJ1728" i="10" s="1"/>
  <c r="AO1728" i="10" s="1"/>
  <c r="AP1728" i="10" s="1"/>
  <c r="AJ1727" i="10" a="1"/>
  <c r="AJ1727" i="10" s="1"/>
  <c r="AO1727" i="10" s="1"/>
  <c r="AJ1730" i="10" a="1"/>
  <c r="AJ1730" i="10" s="1"/>
  <c r="AO1730" i="10" s="1"/>
  <c r="AP1730" i="10" s="1"/>
  <c r="AJ1731" i="10" a="1"/>
  <c r="AJ1731" i="10" s="1"/>
  <c r="AO1731" i="10" s="1"/>
  <c r="AJ1737" i="10" a="1"/>
  <c r="AJ1737" i="10" s="1"/>
  <c r="AO1737" i="10" s="1"/>
  <c r="AP1737" i="10" s="1"/>
  <c r="AJ1739" i="10" a="1"/>
  <c r="AJ1739" i="10" s="1"/>
  <c r="AO1739" i="10" s="1"/>
  <c r="AP1739" i="10" s="1"/>
  <c r="AJ1740" i="10" a="1"/>
  <c r="AJ1740" i="10" s="1"/>
  <c r="AO1740" i="10" s="1"/>
  <c r="AP1740" i="10" s="1"/>
  <c r="AJ1741" i="10" a="1"/>
  <c r="AJ1741" i="10" s="1"/>
  <c r="AO1741" i="10" s="1"/>
  <c r="AJ1732" i="10" a="1"/>
  <c r="AJ1732" i="10" s="1"/>
  <c r="AO1732" i="10" s="1"/>
  <c r="AP1732" i="10" s="1"/>
  <c r="AJ1733" i="10" a="1"/>
  <c r="AJ1733" i="10" s="1"/>
  <c r="AO1733" i="10" s="1"/>
  <c r="AP1733" i="10" s="1"/>
  <c r="AJ1736" i="10" a="1"/>
  <c r="AJ1736" i="10" s="1"/>
  <c r="AO1736" i="10" s="1"/>
  <c r="AP1736" i="10" s="1"/>
  <c r="Z1712" i="10"/>
  <c r="AJ1712" i="10" a="1"/>
  <c r="AJ1712" i="10" s="1"/>
  <c r="AJ1714" i="10" a="1"/>
  <c r="AJ1714" i="10" s="1"/>
  <c r="Z1714" i="10"/>
  <c r="AJ1717" i="10" a="1"/>
  <c r="AJ1717" i="10" s="1"/>
  <c r="Z1717" i="10"/>
  <c r="Z1713" i="10"/>
  <c r="AJ1713" i="10" a="1"/>
  <c r="AJ1713" i="10" s="1"/>
  <c r="Z1721" i="10"/>
  <c r="AJ1721" i="10" a="1"/>
  <c r="AJ1721" i="10" s="1"/>
  <c r="Z1716" i="10"/>
  <c r="AJ1716" i="10" a="1"/>
  <c r="AJ1716" i="10" s="1"/>
  <c r="AJ1720" i="10" a="1"/>
  <c r="AJ1720" i="10" s="1"/>
  <c r="AO1720" i="10" s="1"/>
  <c r="Z1720" i="10"/>
  <c r="Z1719" i="10"/>
  <c r="AJ1719" i="10" a="1"/>
  <c r="AJ1719" i="10" s="1"/>
  <c r="AJ1715" i="10" a="1"/>
  <c r="AJ1715" i="10" s="1"/>
  <c r="Z1715" i="10"/>
  <c r="AJ1718" i="10" a="1"/>
  <c r="AJ1718" i="10" s="1"/>
  <c r="Z1718" i="10"/>
  <c r="AJ1711" i="10" a="1"/>
  <c r="AJ1711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W1735" i="10" l="1"/>
  <c r="BN1734" i="10"/>
  <c r="BQ1735" i="10"/>
  <c r="BP1735" i="10"/>
  <c r="BO1735" i="10"/>
  <c r="BG1735" i="10"/>
  <c r="BF1734" i="10"/>
  <c r="BI1735" i="10"/>
  <c r="AU1735" i="10"/>
  <c r="AY1735" i="10" s="1"/>
  <c r="BH1735" i="10"/>
  <c r="AX1734" i="10"/>
  <c r="BN1736" i="10"/>
  <c r="BQ1737" i="10"/>
  <c r="AW1737" i="10"/>
  <c r="BO1737" i="10"/>
  <c r="BP1737" i="10"/>
  <c r="AX1736" i="10"/>
  <c r="BH1737" i="10"/>
  <c r="BF1736" i="10"/>
  <c r="BI1737" i="10"/>
  <c r="AU1737" i="10"/>
  <c r="AY1737" i="10" s="1"/>
  <c r="BG1737" i="10"/>
  <c r="AW1723" i="10"/>
  <c r="BP1723" i="10"/>
  <c r="BO1723" i="10"/>
  <c r="BQ1723" i="10"/>
  <c r="BN1722" i="10"/>
  <c r="AU1723" i="10"/>
  <c r="AY1723" i="10" s="1"/>
  <c r="AX1722" i="10"/>
  <c r="BH1723" i="10"/>
  <c r="BG1723" i="10"/>
  <c r="BF1722" i="10"/>
  <c r="BI1723" i="10"/>
  <c r="S1724" i="10"/>
  <c r="U1724" i="10"/>
  <c r="AP1731" i="10"/>
  <c r="AP1741" i="10"/>
  <c r="AP1727" i="10"/>
  <c r="AW1731" i="10"/>
  <c r="BQ1731" i="10"/>
  <c r="BP1731" i="10"/>
  <c r="BN1730" i="10"/>
  <c r="BO1731" i="10"/>
  <c r="BH1731" i="10"/>
  <c r="AU1731" i="10"/>
  <c r="AY1731" i="10" s="1"/>
  <c r="BI1731" i="10"/>
  <c r="BF1730" i="10"/>
  <c r="BG1731" i="10"/>
  <c r="AX1730" i="10"/>
  <c r="BQ1741" i="10"/>
  <c r="AW1741" i="10"/>
  <c r="BO1741" i="10"/>
  <c r="BN1740" i="10"/>
  <c r="BP1741" i="10"/>
  <c r="BH1741" i="10"/>
  <c r="AU1741" i="10"/>
  <c r="AY1741" i="10" s="1"/>
  <c r="BI1741" i="10"/>
  <c r="AX1740" i="10"/>
  <c r="BG1741" i="10"/>
  <c r="BF1740" i="10"/>
  <c r="AQ1719" i="10"/>
  <c r="AQ1721" i="10"/>
  <c r="AQ1715" i="10"/>
  <c r="AQ1713" i="10"/>
  <c r="AQ1716" i="10"/>
  <c r="AV1717" i="10"/>
  <c r="AW1716" i="10" s="1"/>
  <c r="AT1717" i="10"/>
  <c r="AQ1714" i="10"/>
  <c r="AT1715" i="10"/>
  <c r="AV1715" i="10"/>
  <c r="AW1714" i="10" s="1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BD1735" i="10" l="1"/>
  <c r="BH1734" i="10"/>
  <c r="BD1734" i="10" s="1"/>
  <c r="BA1734" i="10"/>
  <c r="AZ1734" i="10"/>
  <c r="BE1735" i="10"/>
  <c r="BI1734" i="10"/>
  <c r="BE1734" i="10" s="1"/>
  <c r="BB1734" i="10"/>
  <c r="BF1735" i="10"/>
  <c r="BB1735" i="10" s="1"/>
  <c r="BC1735" i="10"/>
  <c r="BG1734" i="10"/>
  <c r="BC1734" i="10" s="1"/>
  <c r="BK1735" i="10"/>
  <c r="BO1734" i="10"/>
  <c r="BK1734" i="10" s="1"/>
  <c r="BA1735" i="10"/>
  <c r="AZ1735" i="10"/>
  <c r="BL1735" i="10"/>
  <c r="BP1734" i="10"/>
  <c r="BL1734" i="10" s="1"/>
  <c r="BQ1734" i="10"/>
  <c r="BM1734" i="10" s="1"/>
  <c r="BM1735" i="10"/>
  <c r="BJ1734" i="10"/>
  <c r="BN1735" i="10"/>
  <c r="BJ1735" i="10" s="1"/>
  <c r="BA1737" i="10"/>
  <c r="AZ1737" i="10"/>
  <c r="BH1736" i="10"/>
  <c r="BD1736" i="10" s="1"/>
  <c r="BD1737" i="10"/>
  <c r="BG1736" i="10"/>
  <c r="BC1736" i="10" s="1"/>
  <c r="BC1737" i="10"/>
  <c r="AZ1736" i="10"/>
  <c r="BA1736" i="10"/>
  <c r="BP1736" i="10"/>
  <c r="BL1736" i="10" s="1"/>
  <c r="BL1737" i="10"/>
  <c r="BB1736" i="10"/>
  <c r="BF1737" i="10"/>
  <c r="BB1737" i="10" s="1"/>
  <c r="BO1736" i="10"/>
  <c r="BK1736" i="10" s="1"/>
  <c r="BK1737" i="10"/>
  <c r="BI1736" i="10"/>
  <c r="BE1736" i="10" s="1"/>
  <c r="BE1737" i="10"/>
  <c r="BQ1736" i="10"/>
  <c r="BM1736" i="10" s="1"/>
  <c r="BM1737" i="10"/>
  <c r="BJ1736" i="10"/>
  <c r="BN1737" i="10"/>
  <c r="BJ1737" i="10" s="1"/>
  <c r="BI1722" i="10"/>
  <c r="BE1722" i="10" s="1"/>
  <c r="BE1723" i="10"/>
  <c r="BB1722" i="10"/>
  <c r="BF1723" i="10"/>
  <c r="BB1723" i="10" s="1"/>
  <c r="BG1722" i="10"/>
  <c r="BC1722" i="10" s="1"/>
  <c r="BC1723" i="10"/>
  <c r="BH1722" i="10"/>
  <c r="BD1722" i="10" s="1"/>
  <c r="BD1723" i="10"/>
  <c r="BA1722" i="10"/>
  <c r="AZ1722" i="10"/>
  <c r="AZ1723" i="10"/>
  <c r="BA1723" i="10"/>
  <c r="BN1723" i="10"/>
  <c r="BJ1723" i="10" s="1"/>
  <c r="BJ1722" i="10"/>
  <c r="BQ1722" i="10"/>
  <c r="BM1722" i="10" s="1"/>
  <c r="BM1723" i="10"/>
  <c r="BO1722" i="10"/>
  <c r="BK1722" i="10" s="1"/>
  <c r="BK1723" i="10"/>
  <c r="BP1722" i="10"/>
  <c r="BL1722" i="10" s="1"/>
  <c r="BL1723" i="10"/>
  <c r="AZ1730" i="10"/>
  <c r="BA1730" i="10"/>
  <c r="BC1731" i="10"/>
  <c r="BG1730" i="10"/>
  <c r="BC1730" i="10" s="1"/>
  <c r="BE1731" i="10"/>
  <c r="BI1730" i="10"/>
  <c r="BE1730" i="10" s="1"/>
  <c r="BA1731" i="10"/>
  <c r="AZ1731" i="10"/>
  <c r="BD1731" i="10"/>
  <c r="BH1730" i="10"/>
  <c r="BD1730" i="10" s="1"/>
  <c r="BK1731" i="10"/>
  <c r="BO1730" i="10"/>
  <c r="BK1730" i="10" s="1"/>
  <c r="BN1731" i="10"/>
  <c r="BJ1731" i="10" s="1"/>
  <c r="BJ1730" i="10"/>
  <c r="BP1730" i="10"/>
  <c r="BL1730" i="10" s="1"/>
  <c r="BL1731" i="10"/>
  <c r="BQ1730" i="10"/>
  <c r="BM1730" i="10" s="1"/>
  <c r="BM1731" i="10"/>
  <c r="BB1730" i="10"/>
  <c r="BF1731" i="10"/>
  <c r="BB1731" i="10" s="1"/>
  <c r="BC1741" i="10"/>
  <c r="BG1740" i="10"/>
  <c r="BC1740" i="10" s="1"/>
  <c r="BA1740" i="10"/>
  <c r="AZ1740" i="10"/>
  <c r="BB1740" i="10"/>
  <c r="BF1741" i="10"/>
  <c r="BB1741" i="10" s="1"/>
  <c r="BI1740" i="10"/>
  <c r="BE1740" i="10" s="1"/>
  <c r="BE1741" i="10"/>
  <c r="BA1741" i="10"/>
  <c r="AZ1741" i="10"/>
  <c r="BL1741" i="10"/>
  <c r="BP1740" i="10"/>
  <c r="BL1740" i="10" s="1"/>
  <c r="BH1740" i="10"/>
  <c r="BD1740" i="10" s="1"/>
  <c r="BD1741" i="10"/>
  <c r="BN1741" i="10"/>
  <c r="BJ1741" i="10" s="1"/>
  <c r="BJ1740" i="10"/>
  <c r="BK1741" i="10"/>
  <c r="BO1740" i="10"/>
  <c r="BK1740" i="10" s="1"/>
  <c r="BQ1740" i="10"/>
  <c r="BM1740" i="10" s="1"/>
  <c r="BM1741" i="10"/>
  <c r="AU1714" i="10"/>
  <c r="AU171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AH79" i="14" l="1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H54" i="14" l="1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I40" i="14" l="1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 l="1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11" i="10"/>
  <c r="N1711" i="10" s="1"/>
  <c r="A1712" i="10"/>
  <c r="N1712" i="10" s="1"/>
  <c r="A1713" i="10"/>
  <c r="N1713" i="10" s="1"/>
  <c r="A1714" i="10"/>
  <c r="N1714" i="10" s="1"/>
  <c r="A1715" i="10"/>
  <c r="N1715" i="10" s="1"/>
  <c r="A1716" i="10"/>
  <c r="N1716" i="10" s="1"/>
  <c r="A1717" i="10"/>
  <c r="N1717" i="10" s="1"/>
  <c r="A1718" i="10"/>
  <c r="N1718" i="10" s="1"/>
  <c r="A1719" i="10"/>
  <c r="N1719" i="10" s="1"/>
  <c r="A1720" i="10"/>
  <c r="N1720" i="10" s="1"/>
  <c r="A1721" i="10"/>
  <c r="N1721" i="10" s="1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712" i="10" l="1"/>
  <c r="S1712" i="10" s="1"/>
  <c r="P1713" i="10"/>
  <c r="O1711" i="10"/>
  <c r="Q1711" i="10"/>
  <c r="O1720" i="10"/>
  <c r="S1720" i="10" s="1"/>
  <c r="AP1720" i="10" s="1"/>
  <c r="P1721" i="10"/>
  <c r="Q1720" i="10" s="1"/>
  <c r="U1720" i="10" s="1"/>
  <c r="P1720" i="10"/>
  <c r="O1721" i="10"/>
  <c r="R1720" i="10"/>
  <c r="P1719" i="10"/>
  <c r="O1718" i="10"/>
  <c r="S1718" i="10" s="1"/>
  <c r="P1718" i="10"/>
  <c r="O1719" i="10"/>
  <c r="R1718" i="10"/>
  <c r="O1717" i="10"/>
  <c r="S1717" i="10" s="1"/>
  <c r="P1716" i="10"/>
  <c r="Q1717" i="10" s="1"/>
  <c r="U1717" i="10" s="1"/>
  <c r="P1715" i="10"/>
  <c r="O1714" i="10"/>
  <c r="R1715" i="10"/>
  <c r="AL1715" i="10" s="1"/>
  <c r="AK1743" i="10" s="1"/>
  <c r="AX1715" i="10"/>
  <c r="O1715" i="10"/>
  <c r="P1714" i="10"/>
  <c r="R1714" i="10"/>
  <c r="O1713" i="10"/>
  <c r="P1712" i="10"/>
  <c r="R1712" i="10"/>
  <c r="P1717" i="10"/>
  <c r="O1716" i="10"/>
  <c r="R1717" i="10"/>
  <c r="AX1717" i="10"/>
  <c r="P1711" i="10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Y1742" i="10" l="1"/>
  <c r="S1716" i="10"/>
  <c r="AM1747" i="10" s="1"/>
  <c r="AY1716" i="10"/>
  <c r="Q1716" i="10"/>
  <c r="U1716" i="10" s="1"/>
  <c r="T1717" i="10"/>
  <c r="AK1742" i="10" s="1"/>
  <c r="Y1743" i="10" s="1"/>
  <c r="Q1713" i="10"/>
  <c r="T1712" i="10"/>
  <c r="Q1715" i="10"/>
  <c r="T1714" i="10"/>
  <c r="AM1712" i="10"/>
  <c r="AK1712" i="10"/>
  <c r="AL1712" i="10" s="1"/>
  <c r="AK1727" i="10" s="1"/>
  <c r="S1714" i="10"/>
  <c r="AN1714" i="10" s="1"/>
  <c r="AM1724" i="10" s="1"/>
  <c r="AY1714" i="10"/>
  <c r="Q1714" i="10"/>
  <c r="U1714" i="10" s="1"/>
  <c r="T1715" i="10"/>
  <c r="Q1719" i="10"/>
  <c r="T1718" i="10"/>
  <c r="Q1718" i="10"/>
  <c r="U1718" i="10" s="1"/>
  <c r="Q1721" i="10"/>
  <c r="T1720" i="10"/>
  <c r="AM1718" i="10"/>
  <c r="Q1712" i="10"/>
  <c r="U1712" i="10" s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S1742" i="10" l="1"/>
  <c r="U1742" i="10"/>
  <c r="X1746" i="10"/>
  <c r="AQ1747" i="10"/>
  <c r="U1743" i="10"/>
  <c r="S1743" i="10"/>
  <c r="X1725" i="10"/>
  <c r="AQ1724" i="10"/>
  <c r="AN1724" i="10"/>
  <c r="Y1726" i="10"/>
  <c r="AV1727" i="10"/>
  <c r="AW1726" i="10" s="1"/>
  <c r="AT1727" i="10"/>
  <c r="AL1727" i="10"/>
  <c r="AT1712" i="10"/>
  <c r="AU1713" i="10" s="1"/>
  <c r="AY1713" i="10" s="1"/>
  <c r="Y1713" i="10"/>
  <c r="U1713" i="10" s="1"/>
  <c r="AV1712" i="10"/>
  <c r="AW1713" i="10" s="1"/>
  <c r="AM1728" i="10"/>
  <c r="X1719" i="10"/>
  <c r="AQ1718" i="10"/>
  <c r="AN1712" i="10"/>
  <c r="AM1727" i="10" s="1"/>
  <c r="X1713" i="10"/>
  <c r="AQ1712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R1746" i="10" l="1"/>
  <c r="T1746" i="10"/>
  <c r="S1713" i="10"/>
  <c r="AP1742" i="10"/>
  <c r="AX1712" i="10"/>
  <c r="AQ1728" i="10"/>
  <c r="X1729" i="10"/>
  <c r="AN1728" i="10"/>
  <c r="AX1727" i="10"/>
  <c r="AU1726" i="10"/>
  <c r="AY1726" i="10" s="1"/>
  <c r="S1726" i="10"/>
  <c r="U1726" i="10"/>
  <c r="X1726" i="10"/>
  <c r="AQ1727" i="10"/>
  <c r="AN1727" i="10"/>
  <c r="T1725" i="10"/>
  <c r="AV1725" i="10"/>
  <c r="AW1724" i="10" s="1"/>
  <c r="R1725" i="10"/>
  <c r="AL1725" i="10" s="1"/>
  <c r="AT1725" i="10"/>
  <c r="AN1713" i="10"/>
  <c r="AM1746" i="10" s="1"/>
  <c r="R1719" i="10"/>
  <c r="T1719" i="10"/>
  <c r="R1713" i="10"/>
  <c r="T1713" i="10"/>
  <c r="AT1713" i="10"/>
  <c r="AV1713" i="10"/>
  <c r="AW1712" i="10" s="1"/>
  <c r="AV1719" i="10"/>
  <c r="AW1718" i="10" s="1"/>
  <c r="AT1719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AL1719" i="10" l="1"/>
  <c r="AL1713" i="10"/>
  <c r="AK1746" i="10" s="1"/>
  <c r="AV1746" i="10" s="1"/>
  <c r="X1747" i="10"/>
  <c r="AQ1746" i="10"/>
  <c r="AX1725" i="10"/>
  <c r="AU1724" i="10"/>
  <c r="AY1724" i="10" s="1"/>
  <c r="AT1726" i="10"/>
  <c r="AV1726" i="10"/>
  <c r="R1726" i="10"/>
  <c r="AL1726" i="10" s="1"/>
  <c r="T1726" i="10"/>
  <c r="AN1726" i="10"/>
  <c r="AP1726" i="10"/>
  <c r="AT1729" i="10"/>
  <c r="AV1729" i="10"/>
  <c r="AW1728" i="10" s="1"/>
  <c r="R1729" i="10"/>
  <c r="AL1729" i="10" s="1"/>
  <c r="T1729" i="10"/>
  <c r="BP1713" i="10"/>
  <c r="BP1712" i="10" s="1"/>
  <c r="BL1712" i="10" s="1"/>
  <c r="BQ1713" i="10"/>
  <c r="BQ1712" i="10" s="1"/>
  <c r="BM1712" i="10" s="1"/>
  <c r="BN1712" i="10"/>
  <c r="BN1713" i="10" s="1"/>
  <c r="BJ1713" i="10" s="1"/>
  <c r="BO1713" i="10"/>
  <c r="BO1712" i="10" s="1"/>
  <c r="BK1712" i="10" s="1"/>
  <c r="BI1713" i="10"/>
  <c r="BH1713" i="10"/>
  <c r="BG1713" i="10"/>
  <c r="BF1712" i="10"/>
  <c r="AU1718" i="10"/>
  <c r="AY1718" i="10" s="1"/>
  <c r="AX1719" i="10"/>
  <c r="AU1712" i="10"/>
  <c r="AY1712" i="10" s="1"/>
  <c r="AX1713" i="10"/>
  <c r="R5" i="16" a="1"/>
  <c r="R5" i="16" s="1"/>
  <c r="Y1747" i="10" l="1"/>
  <c r="U1747" i="10" s="1"/>
  <c r="AT1746" i="10"/>
  <c r="AU1747" i="10" s="1"/>
  <c r="AY1747" i="10" s="1"/>
  <c r="AL1746" i="10"/>
  <c r="AW1747" i="10"/>
  <c r="R1747" i="10"/>
  <c r="T1747" i="10"/>
  <c r="AU1728" i="10"/>
  <c r="AY1728" i="10" s="1"/>
  <c r="AX1729" i="10"/>
  <c r="BO1727" i="10"/>
  <c r="AW1727" i="10"/>
  <c r="BN1726" i="10"/>
  <c r="BP1727" i="10"/>
  <c r="BQ1727" i="10"/>
  <c r="BH1727" i="10"/>
  <c r="AX1726" i="10"/>
  <c r="BI1727" i="10"/>
  <c r="BF1726" i="10"/>
  <c r="BG1727" i="10"/>
  <c r="AU1727" i="10"/>
  <c r="AY1727" i="10" s="1"/>
  <c r="BM1713" i="10"/>
  <c r="BJ1712" i="10"/>
  <c r="BL1713" i="10"/>
  <c r="BK1713" i="10"/>
  <c r="BD1713" i="10"/>
  <c r="BH1712" i="10"/>
  <c r="BD1712" i="10" s="1"/>
  <c r="BI1712" i="10"/>
  <c r="BE1712" i="10" s="1"/>
  <c r="BE1713" i="10"/>
  <c r="AZ1712" i="10"/>
  <c r="BA1712" i="10"/>
  <c r="BF1713" i="10"/>
  <c r="BB1713" i="10" s="1"/>
  <c r="BB1712" i="10"/>
  <c r="BG1712" i="10"/>
  <c r="BC1712" i="10" s="1"/>
  <c r="BC1713" i="10"/>
  <c r="AZ1713" i="10"/>
  <c r="BA1713" i="10"/>
  <c r="D58" i="16"/>
  <c r="AX1746" i="10" l="1"/>
  <c r="S1747" i="10"/>
  <c r="AN1747" i="10" s="1"/>
  <c r="AZ1727" i="10"/>
  <c r="BA1727" i="10"/>
  <c r="BG1726" i="10"/>
  <c r="BC1726" i="10" s="1"/>
  <c r="BC1727" i="10"/>
  <c r="BF1727" i="10"/>
  <c r="BB1727" i="10" s="1"/>
  <c r="BB1726" i="10"/>
  <c r="BE1727" i="10"/>
  <c r="BI1726" i="10"/>
  <c r="BE1726" i="10" s="1"/>
  <c r="AZ1726" i="10"/>
  <c r="BA1726" i="10"/>
  <c r="BD1727" i="10"/>
  <c r="BH1726" i="10"/>
  <c r="BD1726" i="10" s="1"/>
  <c r="BQ1726" i="10"/>
  <c r="BM1726" i="10" s="1"/>
  <c r="BM1727" i="10"/>
  <c r="BL1727" i="10"/>
  <c r="BP1726" i="10"/>
  <c r="BL1726" i="10" s="1"/>
  <c r="BN1727" i="10"/>
  <c r="BJ1727" i="10" s="1"/>
  <c r="BJ1726" i="10"/>
  <c r="BK1727" i="10"/>
  <c r="BO1726" i="10"/>
  <c r="BK1726" i="10" s="1"/>
  <c r="G58" i="16"/>
  <c r="A58" i="16"/>
  <c r="D60" i="16"/>
  <c r="X1711" i="10" l="1"/>
  <c r="A60" i="16"/>
  <c r="G60" i="16"/>
  <c r="R1711" i="10" l="1"/>
  <c r="T1711" i="10"/>
  <c r="D57" i="16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M1717" i="10" l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716" i="10" l="1"/>
  <c r="AQ1717" i="10"/>
  <c r="AM1742" i="10"/>
  <c r="AO1712" i="10"/>
  <c r="AP1712" i="10" s="1"/>
  <c r="AO1713" i="10"/>
  <c r="AP1713" i="10" s="1"/>
  <c r="AO1746" i="10" s="1"/>
  <c r="X1743" i="10" l="1"/>
  <c r="AQ1742" i="10"/>
  <c r="AN1742" i="10"/>
  <c r="AT1716" i="10"/>
  <c r="R1716" i="10"/>
  <c r="T1716" i="10"/>
  <c r="AV1716" i="10"/>
  <c r="AK1747" i="10" l="1"/>
  <c r="Y1746" i="10" s="1"/>
  <c r="R1743" i="10"/>
  <c r="AL1743" i="10" s="1"/>
  <c r="T1743" i="10"/>
  <c r="AV1743" i="10"/>
  <c r="AW1742" i="10" s="1"/>
  <c r="AT1743" i="10"/>
  <c r="AW1717" i="10"/>
  <c r="BN1716" i="10"/>
  <c r="BO1717" i="10"/>
  <c r="BP1717" i="10"/>
  <c r="BQ1717" i="10"/>
  <c r="BF1716" i="10"/>
  <c r="AU1717" i="10"/>
  <c r="AY1717" i="10" s="1"/>
  <c r="BG1717" i="10"/>
  <c r="BI1717" i="10"/>
  <c r="AX1716" i="10"/>
  <c r="BH1717" i="10"/>
  <c r="D39" i="16"/>
  <c r="G39" i="16" s="1"/>
  <c r="AO1716" i="10"/>
  <c r="AP1716" i="10" s="1"/>
  <c r="AO1747" i="10" s="1"/>
  <c r="AP1747" i="10" s="1"/>
  <c r="AL1747" i="10" l="1"/>
  <c r="AT1747" i="10"/>
  <c r="AV1747" i="10"/>
  <c r="BP1747" i="10" s="1"/>
  <c r="AX1743" i="10"/>
  <c r="AU1742" i="10"/>
  <c r="AY1742" i="10" s="1"/>
  <c r="BH1747" i="10"/>
  <c r="AU1746" i="10"/>
  <c r="AY1746" i="10" s="1"/>
  <c r="AX1747" i="10"/>
  <c r="BG1747" i="10"/>
  <c r="BF1746" i="10"/>
  <c r="BI1747" i="10"/>
  <c r="AW1746" i="10"/>
  <c r="S1746" i="10"/>
  <c r="U1746" i="10"/>
  <c r="BA1716" i="10"/>
  <c r="AZ1716" i="10"/>
  <c r="BB1716" i="10"/>
  <c r="BF1717" i="10"/>
  <c r="BB1717" i="10" s="1"/>
  <c r="BE1717" i="10"/>
  <c r="BI1716" i="10"/>
  <c r="BE1716" i="10" s="1"/>
  <c r="BQ1716" i="10"/>
  <c r="BM1716" i="10" s="1"/>
  <c r="BM1717" i="10"/>
  <c r="BL1717" i="10"/>
  <c r="BP1716" i="10"/>
  <c r="BL1716" i="10" s="1"/>
  <c r="BO1716" i="10"/>
  <c r="BK1716" i="10" s="1"/>
  <c r="BK1717" i="10"/>
  <c r="BH1716" i="10"/>
  <c r="BD1716" i="10" s="1"/>
  <c r="BD1717" i="10"/>
  <c r="BG1716" i="10"/>
  <c r="BC1716" i="10" s="1"/>
  <c r="BC1717" i="10"/>
  <c r="AZ1717" i="10"/>
  <c r="BA1717" i="10"/>
  <c r="BN1717" i="10"/>
  <c r="BJ1717" i="10" s="1"/>
  <c r="BJ1716" i="10"/>
  <c r="Y1711" i="10"/>
  <c r="A39" i="16"/>
  <c r="O39" i="16"/>
  <c r="N39" i="16"/>
  <c r="M39" i="16"/>
  <c r="L39" i="16"/>
  <c r="BQ1747" i="10" l="1"/>
  <c r="BQ1746" i="10" s="1"/>
  <c r="BM1746" i="10" s="1"/>
  <c r="BN1746" i="10"/>
  <c r="BN1747" i="10" s="1"/>
  <c r="BJ1747" i="10" s="1"/>
  <c r="BO1747" i="10"/>
  <c r="BK1747" i="10" s="1"/>
  <c r="BG1746" i="10"/>
  <c r="BC1746" i="10" s="1"/>
  <c r="BC1747" i="10"/>
  <c r="BE1747" i="10"/>
  <c r="BI1746" i="10"/>
  <c r="BE1746" i="10" s="1"/>
  <c r="BD1747" i="10"/>
  <c r="BH1746" i="10"/>
  <c r="BD1746" i="10" s="1"/>
  <c r="AN1746" i="10"/>
  <c r="AP1746" i="10"/>
  <c r="BB1746" i="10"/>
  <c r="BF1747" i="10"/>
  <c r="BB1747" i="10" s="1"/>
  <c r="BL1747" i="10"/>
  <c r="BP1746" i="10"/>
  <c r="BL1746" i="10" s="1"/>
  <c r="BA1747" i="10"/>
  <c r="AZ1747" i="10"/>
  <c r="AZ1746" i="10"/>
  <c r="BA1746" i="10"/>
  <c r="AO1711" i="10"/>
  <c r="S1711" i="10"/>
  <c r="U1711" i="10"/>
  <c r="AO1717" i="10"/>
  <c r="AP1717" i="10" s="1"/>
  <c r="T39" i="16"/>
  <c r="AV37" i="10" s="1"/>
  <c r="BM1747" i="10" l="1"/>
  <c r="BJ1746" i="10"/>
  <c r="BO1746" i="10"/>
  <c r="BK1746" i="10" s="1"/>
  <c r="AP1711" i="10"/>
  <c r="D5" i="16"/>
  <c r="AM1711" i="10"/>
  <c r="AN1711" i="10" s="1"/>
  <c r="D40" i="16"/>
  <c r="AO1719" i="10" l="1"/>
  <c r="AQ1711" i="10"/>
  <c r="G5" i="16"/>
  <c r="A5" i="16"/>
  <c r="A40" i="16"/>
  <c r="G40" i="16"/>
  <c r="AU1711" i="10" l="1"/>
  <c r="AY1711" i="10" s="1"/>
  <c r="AK1720" i="10"/>
  <c r="D37" i="16"/>
  <c r="A37" i="16" s="1"/>
  <c r="N5" i="16"/>
  <c r="L5" i="16"/>
  <c r="M5" i="16"/>
  <c r="O5" i="16"/>
  <c r="AK1711" i="10"/>
  <c r="D15" i="16"/>
  <c r="A15" i="16" s="1"/>
  <c r="N40" i="16"/>
  <c r="M40" i="16"/>
  <c r="L40" i="16"/>
  <c r="O40" i="16"/>
  <c r="Y1721" i="10" l="1"/>
  <c r="AT1720" i="10"/>
  <c r="AV1720" i="10"/>
  <c r="AL1720" i="10"/>
  <c r="AT1711" i="10"/>
  <c r="D16" i="16" s="1"/>
  <c r="AV1711" i="10"/>
  <c r="AL1711" i="10"/>
  <c r="AW1711" i="10"/>
  <c r="G37" i="16"/>
  <c r="O37" i="16" s="1"/>
  <c r="D35" i="16"/>
  <c r="AO1715" i="10"/>
  <c r="T5" i="16"/>
  <c r="AV3" i="10" s="1"/>
  <c r="G15" i="16"/>
  <c r="L15" i="16" s="1"/>
  <c r="AO1721" i="10"/>
  <c r="T40" i="16"/>
  <c r="AV38" i="10" s="1"/>
  <c r="BN37" i="10" s="1"/>
  <c r="AW1721" i="10" l="1"/>
  <c r="AX1720" i="10"/>
  <c r="AU1721" i="10"/>
  <c r="AY1721" i="10" s="1"/>
  <c r="S1721" i="10"/>
  <c r="U1721" i="10"/>
  <c r="BQ1711" i="10"/>
  <c r="BP1711" i="10"/>
  <c r="BL1711" i="10" s="1"/>
  <c r="BO1711" i="10"/>
  <c r="BG1711" i="10"/>
  <c r="BH1711" i="10"/>
  <c r="BI1711" i="10"/>
  <c r="A16" i="16"/>
  <c r="G16" i="16"/>
  <c r="AX1711" i="10"/>
  <c r="N37" i="16"/>
  <c r="L37" i="16"/>
  <c r="M37" i="16"/>
  <c r="G35" i="16"/>
  <c r="M35" i="16" s="1"/>
  <c r="A35" i="16"/>
  <c r="D34" i="16"/>
  <c r="M15" i="16"/>
  <c r="T15" i="16" s="1"/>
  <c r="AV13" i="10" s="1"/>
  <c r="N15" i="16"/>
  <c r="O15" i="16"/>
  <c r="D9" i="16"/>
  <c r="A9" i="16" s="1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P1721" i="10" l="1"/>
  <c r="AN1721" i="10"/>
  <c r="BN1711" i="10"/>
  <c r="BJ1711" i="10" s="1"/>
  <c r="BK1711" i="10"/>
  <c r="BM1711" i="10"/>
  <c r="AO1718" i="10"/>
  <c r="AP1718" i="10" s="1"/>
  <c r="M16" i="16"/>
  <c r="N16" i="16"/>
  <c r="L16" i="16"/>
  <c r="O16" i="16"/>
  <c r="BE1711" i="10"/>
  <c r="BD1711" i="10"/>
  <c r="BC1711" i="10"/>
  <c r="BF1711" i="10"/>
  <c r="BB1711" i="10" s="1"/>
  <c r="AM1720" i="10"/>
  <c r="AZ1711" i="10"/>
  <c r="BA1711" i="10"/>
  <c r="T37" i="16"/>
  <c r="AV35" i="10" s="1"/>
  <c r="N35" i="16"/>
  <c r="O35" i="16"/>
  <c r="L35" i="16"/>
  <c r="T35" i="16" s="1"/>
  <c r="AV33" i="10" s="1"/>
  <c r="A34" i="16"/>
  <c r="G34" i="16"/>
  <c r="D24" i="16"/>
  <c r="D10" i="16"/>
  <c r="G9" i="16"/>
  <c r="N9" i="16" s="1"/>
  <c r="D6" i="16"/>
  <c r="G6" i="16" s="1"/>
  <c r="M6" i="16" s="1"/>
  <c r="D29" i="16"/>
  <c r="BQ37" i="10"/>
  <c r="BM37" i="10" s="1"/>
  <c r="AA39" i="16" s="1"/>
  <c r="BO37" i="10"/>
  <c r="BK37" i="10" s="1"/>
  <c r="Y39" i="16" s="1"/>
  <c r="BL38" i="10"/>
  <c r="Z40" i="16" s="1"/>
  <c r="X1721" i="10" l="1"/>
  <c r="AQ1720" i="10"/>
  <c r="AN1720" i="10"/>
  <c r="AK1718" i="10"/>
  <c r="T16" i="16"/>
  <c r="AV14" i="10" s="1"/>
  <c r="BN13" i="10" s="1"/>
  <c r="BJ13" i="10" s="1"/>
  <c r="X15" i="16" s="1"/>
  <c r="D27" i="16"/>
  <c r="A27" i="16" s="1"/>
  <c r="D28" i="16"/>
  <c r="A28" i="16" s="1"/>
  <c r="D12" i="16"/>
  <c r="O34" i="16"/>
  <c r="M34" i="16"/>
  <c r="L34" i="16"/>
  <c r="N34" i="16"/>
  <c r="D20" i="16"/>
  <c r="G20" i="16" s="1"/>
  <c r="AO1714" i="10"/>
  <c r="AP1714" i="10" s="1"/>
  <c r="AO1724" i="10" s="1"/>
  <c r="AP1724" i="10" s="1"/>
  <c r="D22" i="16"/>
  <c r="G10" i="16"/>
  <c r="A10" i="16"/>
  <c r="D8" i="16"/>
  <c r="O9" i="16"/>
  <c r="L9" i="16"/>
  <c r="M9" i="16"/>
  <c r="A24" i="16"/>
  <c r="G24" i="16"/>
  <c r="O6" i="16"/>
  <c r="N6" i="16"/>
  <c r="L6" i="16"/>
  <c r="A6" i="16"/>
  <c r="G29" i="16"/>
  <c r="A29" i="16"/>
  <c r="D30" i="16"/>
  <c r="Y1719" i="10" l="1"/>
  <c r="AT1718" i="10"/>
  <c r="AV1718" i="10"/>
  <c r="AK1728" i="10"/>
  <c r="D31" i="16"/>
  <c r="A31" i="16" s="1"/>
  <c r="D13" i="16"/>
  <c r="T1721" i="10"/>
  <c r="R1721" i="10"/>
  <c r="AT1721" i="10"/>
  <c r="D26" i="16" s="1"/>
  <c r="G26" i="16" s="1"/>
  <c r="AV1721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A20" i="16"/>
  <c r="BN14" i="10"/>
  <c r="BJ14" i="10" s="1"/>
  <c r="X16" i="16" s="1"/>
  <c r="G27" i="16"/>
  <c r="L27" i="16" s="1"/>
  <c r="G22" i="16"/>
  <c r="A22" i="16"/>
  <c r="G28" i="16"/>
  <c r="M28" i="16" s="1"/>
  <c r="G12" i="16"/>
  <c r="A12" i="16"/>
  <c r="T34" i="16"/>
  <c r="AV32" i="10" s="1"/>
  <c r="D36" i="16"/>
  <c r="D38" i="16"/>
  <c r="G8" i="16"/>
  <c r="A8" i="16"/>
  <c r="M10" i="16"/>
  <c r="L10" i="16"/>
  <c r="O10" i="16"/>
  <c r="N10" i="16"/>
  <c r="T9" i="16"/>
  <c r="AV7" i="10" s="1"/>
  <c r="N24" i="16"/>
  <c r="O24" i="16"/>
  <c r="L24" i="16"/>
  <c r="M24" i="16"/>
  <c r="T6" i="16"/>
  <c r="AV4" i="10" s="1"/>
  <c r="BP4" i="10" s="1"/>
  <c r="BP3" i="10" s="1"/>
  <c r="BL3" i="10" s="1"/>
  <c r="Z5" i="16" s="1"/>
  <c r="D18" i="16"/>
  <c r="O20" i="16"/>
  <c r="L20" i="16"/>
  <c r="M20" i="16"/>
  <c r="N20" i="16"/>
  <c r="O29" i="16"/>
  <c r="L29" i="16"/>
  <c r="M29" i="16"/>
  <c r="N29" i="16"/>
  <c r="G30" i="16"/>
  <c r="A30" i="16"/>
  <c r="AL1721" i="10" l="1"/>
  <c r="D23" i="16"/>
  <c r="A23" i="16" s="1"/>
  <c r="Y1729" i="10"/>
  <c r="AV1728" i="10"/>
  <c r="AL1728" i="10"/>
  <c r="AT1728" i="10"/>
  <c r="D21" i="16" s="1"/>
  <c r="G31" i="16"/>
  <c r="A26" i="16"/>
  <c r="O22" i="14" a="1"/>
  <c r="O22" i="14" s="1"/>
  <c r="O39" i="14" a="1"/>
  <c r="O39" i="14" s="1"/>
  <c r="O29" i="14" a="1"/>
  <c r="O29" i="14" s="1"/>
  <c r="O32" i="14" a="1"/>
  <c r="O32" i="14" s="1"/>
  <c r="O58" i="14" a="1"/>
  <c r="O58" i="14" s="1"/>
  <c r="O10" i="14" a="1"/>
  <c r="O10" i="14" s="1"/>
  <c r="O52" i="14" a="1"/>
  <c r="O52" i="14" s="1"/>
  <c r="O65" i="14" a="1"/>
  <c r="O65" i="14" s="1"/>
  <c r="O21" i="14" a="1"/>
  <c r="O21" i="14" s="1"/>
  <c r="O53" i="14" a="1"/>
  <c r="O53" i="14" s="1"/>
  <c r="O36" i="14" a="1"/>
  <c r="O36" i="14" s="1"/>
  <c r="O33" i="14" a="1"/>
  <c r="O33" i="14" s="1"/>
  <c r="O49" i="14" a="1"/>
  <c r="O49" i="14" s="1"/>
  <c r="O3" i="14" a="1"/>
  <c r="O3" i="14" s="1"/>
  <c r="O6" i="14" a="1"/>
  <c r="O6" i="14" s="1"/>
  <c r="O44" i="14" a="1"/>
  <c r="O44" i="14" s="1"/>
  <c r="O20" i="14" a="1"/>
  <c r="O20" i="14" s="1"/>
  <c r="O77" i="14" a="1"/>
  <c r="O77" i="14" s="1"/>
  <c r="O81" i="14" a="1"/>
  <c r="O81" i="14" s="1"/>
  <c r="O34" i="14" a="1"/>
  <c r="O34" i="14" s="1"/>
  <c r="O60" i="14" a="1"/>
  <c r="O60" i="14" s="1"/>
  <c r="O83" i="14" a="1"/>
  <c r="O83" i="14" s="1"/>
  <c r="O35" i="14" a="1"/>
  <c r="O35" i="14" s="1"/>
  <c r="O73" i="14" a="1"/>
  <c r="O73" i="14" s="1"/>
  <c r="O23" i="14" a="1"/>
  <c r="O23" i="14" s="1"/>
  <c r="O79" i="14" a="1"/>
  <c r="O79" i="14" s="1"/>
  <c r="O63" i="14" a="1"/>
  <c r="O63" i="14" s="1"/>
  <c r="O4" i="14" a="1"/>
  <c r="O4" i="14" s="1"/>
  <c r="O28" i="14" a="1"/>
  <c r="O28" i="14" s="1"/>
  <c r="O67" i="14" a="1"/>
  <c r="O67" i="14" s="1"/>
  <c r="O78" i="14" a="1"/>
  <c r="O78" i="14" s="1"/>
  <c r="O12" i="14" a="1"/>
  <c r="O12" i="14" s="1"/>
  <c r="O24" i="14" a="1"/>
  <c r="O24" i="14" s="1"/>
  <c r="O50" i="14" a="1"/>
  <c r="O50" i="14" s="1"/>
  <c r="O62" i="14" a="1"/>
  <c r="O62" i="14" s="1"/>
  <c r="O72" i="14" a="1"/>
  <c r="O72" i="14" s="1"/>
  <c r="O86" i="14" a="1"/>
  <c r="O86" i="14" s="1"/>
  <c r="O57" i="14" a="1"/>
  <c r="O57" i="14" s="1"/>
  <c r="O74" i="14" a="1"/>
  <c r="O74" i="14" s="1"/>
  <c r="O69" i="14" a="1"/>
  <c r="O69" i="14" s="1"/>
  <c r="O19" i="14" a="1"/>
  <c r="O19" i="14" s="1"/>
  <c r="O25" i="14" a="1"/>
  <c r="O25" i="14" s="1"/>
  <c r="O61" i="14" a="1"/>
  <c r="O61" i="14" s="1"/>
  <c r="O27" i="14" a="1"/>
  <c r="O27" i="14" s="1"/>
  <c r="O47" i="14" a="1"/>
  <c r="O47" i="14" s="1"/>
  <c r="O45" i="14" a="1"/>
  <c r="O45" i="14" s="1"/>
  <c r="O9" i="14" a="1"/>
  <c r="O9" i="14" s="1"/>
  <c r="O82" i="14" a="1"/>
  <c r="O82" i="14" s="1"/>
  <c r="O54" i="14" a="1"/>
  <c r="O54" i="14" s="1"/>
  <c r="O11" i="14" a="1"/>
  <c r="O11" i="14" s="1"/>
  <c r="O14" i="14" a="1"/>
  <c r="O14" i="14" s="1"/>
  <c r="O26" i="14" a="1"/>
  <c r="O26" i="14" s="1"/>
  <c r="O80" i="14" a="1"/>
  <c r="O80" i="14" s="1"/>
  <c r="O2" i="14" a="1"/>
  <c r="O2" i="14" s="1"/>
  <c r="O16" i="14" a="1"/>
  <c r="O16" i="14" s="1"/>
  <c r="O59" i="14" a="1"/>
  <c r="O59" i="14" s="1"/>
  <c r="O70" i="14" a="1"/>
  <c r="O70" i="14" s="1"/>
  <c r="O46" i="14" a="1"/>
  <c r="O46" i="14" s="1"/>
  <c r="O55" i="14" a="1"/>
  <c r="O55" i="14" s="1"/>
  <c r="O13" i="14" a="1"/>
  <c r="O13" i="14" s="1"/>
  <c r="O84" i="14" a="1"/>
  <c r="O84" i="14" s="1"/>
  <c r="O5" i="14" a="1"/>
  <c r="O5" i="14" s="1"/>
  <c r="O17" i="14" a="1"/>
  <c r="O17" i="14" s="1"/>
  <c r="O48" i="14" a="1"/>
  <c r="O48" i="14" s="1"/>
  <c r="O15" i="14" a="1"/>
  <c r="O15" i="14" s="1"/>
  <c r="O38" i="14" a="1"/>
  <c r="O38" i="14" s="1"/>
  <c r="O18" i="14" a="1"/>
  <c r="O18" i="14" s="1"/>
  <c r="O8" i="14" a="1"/>
  <c r="O8" i="14" s="1"/>
  <c r="O64" i="14" a="1"/>
  <c r="O64" i="14" s="1"/>
  <c r="O56" i="14" a="1"/>
  <c r="O56" i="14" s="1"/>
  <c r="O40" i="14" a="1"/>
  <c r="O40" i="14" s="1"/>
  <c r="O71" i="14" a="1"/>
  <c r="O71" i="14" s="1"/>
  <c r="O37" i="14" a="1"/>
  <c r="O37" i="14" s="1"/>
  <c r="O68" i="14" a="1"/>
  <c r="O68" i="14" s="1"/>
  <c r="O30" i="14" a="1"/>
  <c r="O30" i="14" s="1"/>
  <c r="O76" i="14" a="1"/>
  <c r="O76" i="14" s="1"/>
  <c r="O43" i="14" a="1"/>
  <c r="O43" i="14" s="1"/>
  <c r="O41" i="14" a="1"/>
  <c r="O41" i="14" s="1"/>
  <c r="O85" i="14" a="1"/>
  <c r="O85" i="14" s="1"/>
  <c r="O51" i="14" a="1"/>
  <c r="O51" i="14" s="1"/>
  <c r="O75" i="14" a="1"/>
  <c r="O75" i="14" s="1"/>
  <c r="O42" i="14" a="1"/>
  <c r="O42" i="14" s="1"/>
  <c r="O7" i="14" a="1"/>
  <c r="O7" i="14" s="1"/>
  <c r="O66" i="14" a="1"/>
  <c r="O66" i="14" s="1"/>
  <c r="AW1720" i="10"/>
  <c r="BO1721" i="10"/>
  <c r="BP1721" i="10"/>
  <c r="BQ1721" i="10"/>
  <c r="BN1720" i="10"/>
  <c r="AX1721" i="10"/>
  <c r="AU1720" i="10"/>
  <c r="AY1720" i="10" s="1"/>
  <c r="BG1721" i="10"/>
  <c r="BH1721" i="10"/>
  <c r="BF1720" i="10"/>
  <c r="BI1721" i="10"/>
  <c r="G13" i="16"/>
  <c r="A13" i="16"/>
  <c r="BN1718" i="10"/>
  <c r="BO1719" i="10"/>
  <c r="BP1719" i="10"/>
  <c r="BQ1719" i="10"/>
  <c r="AW1719" i="10"/>
  <c r="BF1718" i="10"/>
  <c r="AU1719" i="10"/>
  <c r="AY1719" i="10" s="1"/>
  <c r="BG1719" i="10"/>
  <c r="AX1718" i="10"/>
  <c r="BH1719" i="10"/>
  <c r="BI1719" i="10"/>
  <c r="U1719" i="10"/>
  <c r="S1719" i="10"/>
  <c r="BM14" i="10"/>
  <c r="AA16" i="16" s="1"/>
  <c r="BP13" i="10"/>
  <c r="BL13" i="10" s="1"/>
  <c r="Z15" i="16" s="1"/>
  <c r="BK14" i="10"/>
  <c r="Y16" i="16" s="1"/>
  <c r="N27" i="16"/>
  <c r="O27" i="16"/>
  <c r="M27" i="16"/>
  <c r="T27" i="16" s="1"/>
  <c r="AV25" i="10" s="1"/>
  <c r="N28" i="16"/>
  <c r="O28" i="16"/>
  <c r="L28" i="16"/>
  <c r="M12" i="16"/>
  <c r="O12" i="16"/>
  <c r="L12" i="16"/>
  <c r="N12" i="16"/>
  <c r="M22" i="16"/>
  <c r="O22" i="16"/>
  <c r="L22" i="16"/>
  <c r="N22" i="16"/>
  <c r="G38" i="16"/>
  <c r="A38" i="16"/>
  <c r="G36" i="16"/>
  <c r="A36" i="16"/>
  <c r="T10" i="16"/>
  <c r="AV8" i="10" s="1"/>
  <c r="BQ8" i="10" s="1"/>
  <c r="BQ7" i="10" s="1"/>
  <c r="BM7" i="10" s="1"/>
  <c r="AA9" i="16" s="1"/>
  <c r="O8" i="16"/>
  <c r="M8" i="16"/>
  <c r="N8" i="16"/>
  <c r="L8" i="16"/>
  <c r="T24" i="16"/>
  <c r="AV22" i="10" s="1"/>
  <c r="M26" i="16"/>
  <c r="L26" i="16"/>
  <c r="N26" i="16"/>
  <c r="O26" i="16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T20" i="16"/>
  <c r="AV18" i="10" s="1"/>
  <c r="A18" i="16"/>
  <c r="G18" i="16"/>
  <c r="N30" i="16"/>
  <c r="M30" i="16"/>
  <c r="L30" i="16"/>
  <c r="O30" i="16"/>
  <c r="T29" i="16"/>
  <c r="AV27" i="10" s="1"/>
  <c r="D11" i="16" l="1"/>
  <c r="A11" i="16" s="1"/>
  <c r="G23" i="16"/>
  <c r="N23" i="16" s="1"/>
  <c r="G21" i="16"/>
  <c r="A21" i="16"/>
  <c r="BG1729" i="10"/>
  <c r="BI1729" i="10"/>
  <c r="AU1729" i="10"/>
  <c r="AY1729" i="10" s="1"/>
  <c r="BF1728" i="10"/>
  <c r="AX1728" i="10"/>
  <c r="BH1729" i="10"/>
  <c r="BN1728" i="10"/>
  <c r="BP1729" i="10"/>
  <c r="BQ1729" i="10"/>
  <c r="BO1729" i="10"/>
  <c r="AW1729" i="10"/>
  <c r="S1729" i="10"/>
  <c r="U1729" i="10"/>
  <c r="T28" i="16"/>
  <c r="AV26" i="10" s="1"/>
  <c r="BO26" i="10" s="1"/>
  <c r="BK26" i="10" s="1"/>
  <c r="Y28" i="16" s="1"/>
  <c r="O88" i="14"/>
  <c r="N31" i="16"/>
  <c r="O31" i="16"/>
  <c r="M31" i="16"/>
  <c r="L31" i="16"/>
  <c r="AZ1720" i="10"/>
  <c r="BA1720" i="10"/>
  <c r="AP1719" i="10"/>
  <c r="BI1718" i="10"/>
  <c r="BE1718" i="10" s="1"/>
  <c r="BE1719" i="10"/>
  <c r="BD1719" i="10"/>
  <c r="BH1718" i="10"/>
  <c r="BD1718" i="10" s="1"/>
  <c r="BA1718" i="10"/>
  <c r="AZ1718" i="10"/>
  <c r="BC1719" i="10"/>
  <c r="BG1718" i="10"/>
  <c r="BC1718" i="10" s="1"/>
  <c r="BA1719" i="10"/>
  <c r="AZ1719" i="10"/>
  <c r="BF1719" i="10"/>
  <c r="BB1719" i="10" s="1"/>
  <c r="BB1718" i="10"/>
  <c r="BQ1718" i="10"/>
  <c r="BM1718" i="10" s="1"/>
  <c r="BM1719" i="10"/>
  <c r="BP1718" i="10"/>
  <c r="BL1718" i="10" s="1"/>
  <c r="BL1719" i="10"/>
  <c r="BO1718" i="10"/>
  <c r="BK1718" i="10" s="1"/>
  <c r="BK1719" i="10"/>
  <c r="BJ1718" i="10"/>
  <c r="BN1719" i="10"/>
  <c r="BJ1719" i="10" s="1"/>
  <c r="N13" i="16"/>
  <c r="O13" i="16"/>
  <c r="L13" i="16"/>
  <c r="M13" i="16"/>
  <c r="BI1720" i="10"/>
  <c r="BE1720" i="10" s="1"/>
  <c r="BE1721" i="10"/>
  <c r="BB1720" i="10"/>
  <c r="BF1721" i="10"/>
  <c r="BB1721" i="10" s="1"/>
  <c r="BH1720" i="10"/>
  <c r="BD1720" i="10" s="1"/>
  <c r="BD1721" i="10"/>
  <c r="BC1721" i="10"/>
  <c r="BG1720" i="10"/>
  <c r="BC1720" i="10" s="1"/>
  <c r="AZ1721" i="10"/>
  <c r="BA1721" i="10"/>
  <c r="BN1721" i="10"/>
  <c r="BJ1721" i="10" s="1"/>
  <c r="BJ1720" i="10"/>
  <c r="BM1721" i="10"/>
  <c r="BQ1720" i="10"/>
  <c r="BM1720" i="10" s="1"/>
  <c r="BP1720" i="10"/>
  <c r="BL1720" i="10" s="1"/>
  <c r="BL1721" i="10"/>
  <c r="BO1720" i="10"/>
  <c r="BK1720" i="10" s="1"/>
  <c r="BK1721" i="10"/>
  <c r="T22" i="16"/>
  <c r="AV20" i="10" s="1"/>
  <c r="T12" i="16"/>
  <c r="AV10" i="10" s="1"/>
  <c r="T8" i="16"/>
  <c r="AV6" i="10" s="1"/>
  <c r="O38" i="16"/>
  <c r="L38" i="16"/>
  <c r="N38" i="16"/>
  <c r="M38" i="16"/>
  <c r="BO8" i="10"/>
  <c r="BK8" i="10" s="1"/>
  <c r="Y10" i="16" s="1"/>
  <c r="BN7" i="10"/>
  <c r="BJ7" i="10" s="1"/>
  <c r="X9" i="16" s="1"/>
  <c r="BP8" i="10"/>
  <c r="BL8" i="10" s="1"/>
  <c r="Z10" i="16" s="1"/>
  <c r="M36" i="16"/>
  <c r="L36" i="16"/>
  <c r="N36" i="16"/>
  <c r="O36" i="16"/>
  <c r="BM8" i="10"/>
  <c r="AA10" i="16" s="1"/>
  <c r="T26" i="16"/>
  <c r="AV24" i="10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T30" i="16"/>
  <c r="AV28" i="10" s="1"/>
  <c r="BQ28" i="10" s="1"/>
  <c r="M23" i="16" l="1"/>
  <c r="G11" i="16"/>
  <c r="O11" i="16" s="1"/>
  <c r="L23" i="16"/>
  <c r="T23" i="16" s="1"/>
  <c r="AV21" i="10" s="1"/>
  <c r="O23" i="16"/>
  <c r="BA1729" i="10"/>
  <c r="AZ1729" i="10"/>
  <c r="M21" i="16"/>
  <c r="N21" i="16"/>
  <c r="O21" i="16"/>
  <c r="L21" i="16"/>
  <c r="AN1729" i="10"/>
  <c r="AP1729" i="10"/>
  <c r="BK1729" i="10"/>
  <c r="BO1728" i="10"/>
  <c r="BK1728" i="10" s="1"/>
  <c r="BQ1728" i="10"/>
  <c r="BM1728" i="10" s="1"/>
  <c r="BM1729" i="10"/>
  <c r="BL1729" i="10"/>
  <c r="BP1728" i="10"/>
  <c r="BL1728" i="10" s="1"/>
  <c r="BN1729" i="10"/>
  <c r="BJ1729" i="10" s="1"/>
  <c r="BJ1728" i="10"/>
  <c r="BH1728" i="10"/>
  <c r="BD1728" i="10" s="1"/>
  <c r="BD1729" i="10"/>
  <c r="AZ1728" i="10"/>
  <c r="BA1728" i="10"/>
  <c r="BF1729" i="10"/>
  <c r="BB1729" i="10" s="1"/>
  <c r="BB1728" i="10"/>
  <c r="BI1728" i="10"/>
  <c r="BE1728" i="10" s="1"/>
  <c r="BE1729" i="10"/>
  <c r="BG1728" i="10"/>
  <c r="BC1728" i="10" s="1"/>
  <c r="BC1729" i="10"/>
  <c r="BQ26" i="10"/>
  <c r="BQ25" i="10" s="1"/>
  <c r="BM25" i="10" s="1"/>
  <c r="AA27" i="16" s="1"/>
  <c r="BN25" i="10"/>
  <c r="BJ25" i="10" s="1"/>
  <c r="X27" i="16" s="1"/>
  <c r="BP26" i="10"/>
  <c r="BL26" i="10" s="1"/>
  <c r="Z28" i="16" s="1"/>
  <c r="T13" i="16"/>
  <c r="AV11" i="10" s="1"/>
  <c r="T31" i="16"/>
  <c r="AV29" i="10" s="1"/>
  <c r="AK1714" i="10"/>
  <c r="D33" i="16"/>
  <c r="A33" i="16" s="1"/>
  <c r="D14" i="16"/>
  <c r="BO25" i="10"/>
  <c r="BK25" i="10" s="1"/>
  <c r="Y27" i="16" s="1"/>
  <c r="T36" i="16"/>
  <c r="AV34" i="10" s="1"/>
  <c r="BP34" i="10" s="1"/>
  <c r="T38" i="16"/>
  <c r="AV36" i="10" s="1"/>
  <c r="BP7" i="10"/>
  <c r="BL7" i="10" s="1"/>
  <c r="Z9" i="16" s="1"/>
  <c r="BO7" i="10"/>
  <c r="BK7" i="10" s="1"/>
  <c r="Y9" i="16" s="1"/>
  <c r="BN8" i="10"/>
  <c r="BJ8" i="10" s="1"/>
  <c r="X10" i="16" s="1"/>
  <c r="T18" i="16"/>
  <c r="AV16" i="10" s="1"/>
  <c r="BN27" i="10"/>
  <c r="BN28" i="10" s="1"/>
  <c r="BJ28" i="10" s="1"/>
  <c r="X30" i="16" s="1"/>
  <c r="BP28" i="10"/>
  <c r="BL28" i="10" s="1"/>
  <c r="Z30" i="16" s="1"/>
  <c r="BO28" i="10"/>
  <c r="BO27" i="10" s="1"/>
  <c r="BK27" i="10" s="1"/>
  <c r="Y29" i="16" s="1"/>
  <c r="BQ27" i="10"/>
  <c r="BM27" i="10" s="1"/>
  <c r="AA29" i="16" s="1"/>
  <c r="BM28" i="10"/>
  <c r="AA30" i="16" s="1"/>
  <c r="N11" i="16" l="1"/>
  <c r="M11" i="16"/>
  <c r="L11" i="16"/>
  <c r="BO22" i="10"/>
  <c r="BP22" i="10"/>
  <c r="BL22" i="10" s="1"/>
  <c r="Z24" i="16" s="1"/>
  <c r="BQ22" i="10"/>
  <c r="BM22" i="10" s="1"/>
  <c r="AA24" i="16" s="1"/>
  <c r="BN21" i="10"/>
  <c r="BJ21" i="10" s="1"/>
  <c r="X23" i="16" s="1"/>
  <c r="BP25" i="10"/>
  <c r="BL25" i="10" s="1"/>
  <c r="Z27" i="16" s="1"/>
  <c r="T21" i="16"/>
  <c r="AV19" i="10" s="1"/>
  <c r="BM26" i="10"/>
  <c r="AA28" i="16" s="1"/>
  <c r="BN26" i="10"/>
  <c r="BJ26" i="10" s="1"/>
  <c r="X28" i="16" s="1"/>
  <c r="L50" i="14" a="1"/>
  <c r="L50" i="14" s="1"/>
  <c r="L68" i="14" a="1"/>
  <c r="L68" i="14" s="1"/>
  <c r="L22" i="14" a="1"/>
  <c r="L22" i="14" s="1"/>
  <c r="A14" i="16"/>
  <c r="G14" i="16"/>
  <c r="Y1715" i="10"/>
  <c r="AT1714" i="10"/>
  <c r="AV1714" i="10"/>
  <c r="AL1714" i="10"/>
  <c r="AK1724" i="10" s="1"/>
  <c r="L63" i="14" s="1" a="1"/>
  <c r="L63" i="14" s="1"/>
  <c r="D32" i="16"/>
  <c r="G33" i="16"/>
  <c r="O33" i="16" s="1"/>
  <c r="BN33" i="10"/>
  <c r="BJ33" i="10" s="1"/>
  <c r="X35" i="16" s="1"/>
  <c r="BQ34" i="10"/>
  <c r="BM34" i="10" s="1"/>
  <c r="AA36" i="16" s="1"/>
  <c r="BO34" i="10"/>
  <c r="BO33" i="10" s="1"/>
  <c r="BK33" i="10" s="1"/>
  <c r="Y35" i="16" s="1"/>
  <c r="BN35" i="10"/>
  <c r="BQ36" i="10"/>
  <c r="BO36" i="10"/>
  <c r="BP36" i="10"/>
  <c r="BL34" i="10"/>
  <c r="Z36" i="16" s="1"/>
  <c r="BP33" i="10"/>
  <c r="BL33" i="10" s="1"/>
  <c r="Z35" i="16" s="1"/>
  <c r="BJ27" i="10"/>
  <c r="X29" i="16" s="1"/>
  <c r="BP27" i="10"/>
  <c r="BL27" i="10" s="1"/>
  <c r="Z29" i="16" s="1"/>
  <c r="BK28" i="10"/>
  <c r="Y30" i="16" s="1"/>
  <c r="T11" i="16" l="1"/>
  <c r="AV9" i="10" s="1"/>
  <c r="BN9" i="10" s="1"/>
  <c r="BN10" i="10" s="1"/>
  <c r="BJ10" i="10" s="1"/>
  <c r="X12" i="16" s="1"/>
  <c r="BP21" i="10"/>
  <c r="BL21" i="10" s="1"/>
  <c r="Z23" i="16" s="1"/>
  <c r="BQ21" i="10"/>
  <c r="BM21" i="10" s="1"/>
  <c r="AA23" i="16" s="1"/>
  <c r="BN22" i="10"/>
  <c r="BJ22" i="10" s="1"/>
  <c r="X24" i="16" s="1"/>
  <c r="BO21" i="10"/>
  <c r="BK21" i="10" s="1"/>
  <c r="Y23" i="16" s="1"/>
  <c r="BK22" i="10"/>
  <c r="Y24" i="16" s="1"/>
  <c r="L59" i="14" a="1"/>
  <c r="L59" i="14" s="1"/>
  <c r="L47" i="14" a="1"/>
  <c r="L47" i="14" s="1"/>
  <c r="L83" i="14" a="1"/>
  <c r="L83" i="14" s="1"/>
  <c r="L19" i="14" a="1"/>
  <c r="L19" i="14" s="1"/>
  <c r="L74" i="14" a="1"/>
  <c r="L74" i="14" s="1"/>
  <c r="L77" i="14" a="1"/>
  <c r="L77" i="14" s="1"/>
  <c r="L81" i="14" a="1"/>
  <c r="L81" i="14" s="1"/>
  <c r="L51" i="14" a="1"/>
  <c r="L51" i="14" s="1"/>
  <c r="L7" i="14" a="1"/>
  <c r="L7" i="14" s="1"/>
  <c r="L6" i="14" a="1"/>
  <c r="L6" i="14" s="1"/>
  <c r="L70" i="14" a="1"/>
  <c r="L70" i="14" s="1"/>
  <c r="L26" i="14" a="1"/>
  <c r="L26" i="14" s="1"/>
  <c r="L23" i="14" a="1"/>
  <c r="L23" i="14" s="1"/>
  <c r="L61" i="14" a="1"/>
  <c r="L61" i="14" s="1"/>
  <c r="L40" i="14" a="1"/>
  <c r="L40" i="14" s="1"/>
  <c r="L42" i="14" a="1"/>
  <c r="L42" i="14" s="1"/>
  <c r="L78" i="14" a="1"/>
  <c r="L78" i="14" s="1"/>
  <c r="L28" i="14" a="1"/>
  <c r="L28" i="14" s="1"/>
  <c r="L86" i="14" a="1"/>
  <c r="L86" i="14" s="1"/>
  <c r="L43" i="14" a="1"/>
  <c r="L43" i="14" s="1"/>
  <c r="L10" i="14" a="1"/>
  <c r="L10" i="14" s="1"/>
  <c r="L3" i="14" a="1"/>
  <c r="L3" i="14" s="1"/>
  <c r="L30" i="14" a="1"/>
  <c r="L30" i="14" s="1"/>
  <c r="L24" i="14" a="1"/>
  <c r="L24" i="14" s="1"/>
  <c r="L12" i="14" a="1"/>
  <c r="L12" i="14" s="1"/>
  <c r="L13" i="14" a="1"/>
  <c r="L13" i="14" s="1"/>
  <c r="L29" i="14" a="1"/>
  <c r="L29" i="14" s="1"/>
  <c r="L14" i="14" a="1"/>
  <c r="L14" i="14" s="1"/>
  <c r="L79" i="14" a="1"/>
  <c r="L79" i="14" s="1"/>
  <c r="L9" i="14" a="1"/>
  <c r="L9" i="14" s="1"/>
  <c r="L39" i="14" a="1"/>
  <c r="L39" i="14" s="1"/>
  <c r="L21" i="14" a="1"/>
  <c r="L21" i="14" s="1"/>
  <c r="L20" i="14" a="1"/>
  <c r="L20" i="14" s="1"/>
  <c r="L34" i="14" a="1"/>
  <c r="L34" i="14" s="1"/>
  <c r="L48" i="14" a="1"/>
  <c r="L48" i="14" s="1"/>
  <c r="L72" i="14" a="1"/>
  <c r="L72" i="14" s="1"/>
  <c r="L37" i="14" a="1"/>
  <c r="L37" i="14" s="1"/>
  <c r="L32" i="14" a="1"/>
  <c r="L32" i="14" s="1"/>
  <c r="L65" i="14" a="1"/>
  <c r="L65" i="14" s="1"/>
  <c r="L44" i="14" a="1"/>
  <c r="L44" i="14" s="1"/>
  <c r="L69" i="14" a="1"/>
  <c r="L69" i="14" s="1"/>
  <c r="L53" i="14" a="1"/>
  <c r="L53" i="14" s="1"/>
  <c r="L11" i="14" a="1"/>
  <c r="L11" i="14" s="1"/>
  <c r="L71" i="14" a="1"/>
  <c r="L71" i="14" s="1"/>
  <c r="L76" i="14" a="1"/>
  <c r="L76" i="14" s="1"/>
  <c r="L60" i="14" a="1"/>
  <c r="L60" i="14" s="1"/>
  <c r="L41" i="14" a="1"/>
  <c r="L41" i="14" s="1"/>
  <c r="L17" i="14" a="1"/>
  <c r="L17" i="14" s="1"/>
  <c r="L57" i="14" a="1"/>
  <c r="L57" i="14" s="1"/>
  <c r="L85" i="14" a="1"/>
  <c r="L85" i="14" s="1"/>
  <c r="L66" i="14" a="1"/>
  <c r="L66" i="14" s="1"/>
  <c r="L55" i="14" a="1"/>
  <c r="L55" i="14" s="1"/>
  <c r="L35" i="14" a="1"/>
  <c r="L35" i="14" s="1"/>
  <c r="L54" i="14" a="1"/>
  <c r="L54" i="14" s="1"/>
  <c r="L49" i="14" a="1"/>
  <c r="L49" i="14" s="1"/>
  <c r="L62" i="14" a="1"/>
  <c r="L62" i="14" s="1"/>
  <c r="L73" i="14" a="1"/>
  <c r="L73" i="14" s="1"/>
  <c r="L80" i="14" a="1"/>
  <c r="L80" i="14" s="1"/>
  <c r="L58" i="14" a="1"/>
  <c r="L58" i="14" s="1"/>
  <c r="L56" i="14" a="1"/>
  <c r="L56" i="14" s="1"/>
  <c r="L4" i="14" a="1"/>
  <c r="L4" i="14" s="1"/>
  <c r="L46" i="14" a="1"/>
  <c r="L46" i="14" s="1"/>
  <c r="L18" i="14" a="1"/>
  <c r="L18" i="14" s="1"/>
  <c r="L5" i="14" a="1"/>
  <c r="L5" i="14" s="1"/>
  <c r="L36" i="14" a="1"/>
  <c r="L36" i="14" s="1"/>
  <c r="L25" i="14" a="1"/>
  <c r="L25" i="14" s="1"/>
  <c r="L33" i="14" a="1"/>
  <c r="L33" i="14" s="1"/>
  <c r="L67" i="14" a="1"/>
  <c r="L67" i="14" s="1"/>
  <c r="L82" i="14" a="1"/>
  <c r="L82" i="14" s="1"/>
  <c r="L16" i="14" a="1"/>
  <c r="L16" i="14" s="1"/>
  <c r="L64" i="14" a="1"/>
  <c r="L64" i="14" s="1"/>
  <c r="L2" i="14" a="1"/>
  <c r="L2" i="14" s="1"/>
  <c r="L45" i="14" a="1"/>
  <c r="L45" i="14" s="1"/>
  <c r="L15" i="14" a="1"/>
  <c r="L15" i="14" s="1"/>
  <c r="L75" i="14" a="1"/>
  <c r="L75" i="14" s="1"/>
  <c r="L38" i="14" a="1"/>
  <c r="L38" i="14" s="1"/>
  <c r="L84" i="14" a="1"/>
  <c r="L84" i="14" s="1"/>
  <c r="L8" i="14" a="1"/>
  <c r="L8" i="14" s="1"/>
  <c r="L52" i="14" a="1"/>
  <c r="L52" i="14" s="1"/>
  <c r="L27" i="14" a="1"/>
  <c r="L27" i="14" s="1"/>
  <c r="BO20" i="10"/>
  <c r="BQ20" i="10"/>
  <c r="BP20" i="10"/>
  <c r="BN19" i="10"/>
  <c r="Y1725" i="10"/>
  <c r="AV1724" i="10"/>
  <c r="AT1724" i="10"/>
  <c r="D17" i="16" s="1"/>
  <c r="AL1724" i="10"/>
  <c r="N14" i="16"/>
  <c r="O14" i="16"/>
  <c r="L14" i="16"/>
  <c r="M14" i="16"/>
  <c r="BN1714" i="10"/>
  <c r="AW1715" i="10"/>
  <c r="BO1715" i="10"/>
  <c r="BQ1715" i="10"/>
  <c r="BP1715" i="10"/>
  <c r="AU1715" i="10"/>
  <c r="AY1715" i="10" s="1"/>
  <c r="BF1714" i="10"/>
  <c r="BG1715" i="10"/>
  <c r="BI1715" i="10"/>
  <c r="AX1714" i="10"/>
  <c r="BH1715" i="10"/>
  <c r="D19" i="16"/>
  <c r="S1715" i="10"/>
  <c r="U1715" i="10"/>
  <c r="M33" i="16"/>
  <c r="A32" i="16"/>
  <c r="G32" i="16"/>
  <c r="L33" i="16"/>
  <c r="N33" i="16"/>
  <c r="BN34" i="10"/>
  <c r="BJ34" i="10" s="1"/>
  <c r="X36" i="16" s="1"/>
  <c r="BQ33" i="10"/>
  <c r="BM33" i="10" s="1"/>
  <c r="AA35" i="16" s="1"/>
  <c r="BK34" i="10"/>
  <c r="Y36" i="16" s="1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BJ9" i="10" l="1"/>
  <c r="X11" i="16" s="1"/>
  <c r="BP10" i="10"/>
  <c r="BP9" i="10" s="1"/>
  <c r="BL9" i="10" s="1"/>
  <c r="Z11" i="16" s="1"/>
  <c r="BQ10" i="10"/>
  <c r="BM10" i="10" s="1"/>
  <c r="AA12" i="16" s="1"/>
  <c r="BO10" i="10"/>
  <c r="BK10" i="10" s="1"/>
  <c r="Y12" i="16" s="1"/>
  <c r="D7" i="16"/>
  <c r="L88" i="14"/>
  <c r="A17" i="16"/>
  <c r="G17" i="16"/>
  <c r="BJ19" i="10"/>
  <c r="X21" i="16" s="1"/>
  <c r="BN20" i="10"/>
  <c r="BJ20" i="10" s="1"/>
  <c r="X22" i="16" s="1"/>
  <c r="BP19" i="10"/>
  <c r="BL19" i="10" s="1"/>
  <c r="Z21" i="16" s="1"/>
  <c r="BL20" i="10"/>
  <c r="Z22" i="16" s="1"/>
  <c r="BQ19" i="10"/>
  <c r="BM19" i="10" s="1"/>
  <c r="AA21" i="16" s="1"/>
  <c r="BM20" i="10"/>
  <c r="AA22" i="16" s="1"/>
  <c r="BO19" i="10"/>
  <c r="BK19" i="10" s="1"/>
  <c r="Y21" i="16" s="1"/>
  <c r="BK20" i="10"/>
  <c r="Y22" i="16" s="1"/>
  <c r="BF1724" i="10"/>
  <c r="BH1725" i="10"/>
  <c r="BG1725" i="10"/>
  <c r="AX1724" i="10"/>
  <c r="AU1725" i="10"/>
  <c r="AY1725" i="10" s="1"/>
  <c r="BI1725" i="10"/>
  <c r="BN1724" i="10"/>
  <c r="BP1725" i="10"/>
  <c r="BQ1725" i="10"/>
  <c r="BO1725" i="10"/>
  <c r="AW1725" i="10"/>
  <c r="S1725" i="10"/>
  <c r="U1725" i="10"/>
  <c r="T33" i="16"/>
  <c r="AV31" i="10" s="1"/>
  <c r="BP32" i="10" s="1"/>
  <c r="BP31" i="10" s="1"/>
  <c r="BL31" i="10" s="1"/>
  <c r="Z33" i="16" s="1"/>
  <c r="T14" i="16"/>
  <c r="AV12" i="10" s="1"/>
  <c r="BN11" i="10" s="1"/>
  <c r="AP1715" i="10"/>
  <c r="AO1743" i="10" s="1"/>
  <c r="AP1743" i="10" s="1"/>
  <c r="AN1715" i="10"/>
  <c r="AM1743" i="10" s="1"/>
  <c r="G19" i="16"/>
  <c r="A19" i="16"/>
  <c r="BD1715" i="10"/>
  <c r="BH1714" i="10"/>
  <c r="BD1714" i="10" s="1"/>
  <c r="BA1714" i="10"/>
  <c r="AZ1714" i="10"/>
  <c r="BE1715" i="10"/>
  <c r="BI1714" i="10"/>
  <c r="BE1714" i="10" s="1"/>
  <c r="BC1715" i="10"/>
  <c r="BG1714" i="10"/>
  <c r="BC1714" i="10" s="1"/>
  <c r="BF1715" i="10"/>
  <c r="BB1715" i="10" s="1"/>
  <c r="BB1714" i="10"/>
  <c r="AZ1715" i="10"/>
  <c r="BA1715" i="10"/>
  <c r="BL1715" i="10"/>
  <c r="BP1714" i="10"/>
  <c r="BL1714" i="10" s="1"/>
  <c r="BQ1714" i="10"/>
  <c r="BM1714" i="10" s="1"/>
  <c r="BM1715" i="10"/>
  <c r="BO1714" i="10"/>
  <c r="BK1714" i="10" s="1"/>
  <c r="BK1715" i="10"/>
  <c r="BN1715" i="10"/>
  <c r="BJ1715" i="10" s="1"/>
  <c r="BJ1714" i="10"/>
  <c r="N32" i="16"/>
  <c r="M32" i="16"/>
  <c r="O32" i="16"/>
  <c r="L32" i="16"/>
  <c r="BL10" i="10" l="1"/>
  <c r="Z12" i="16" s="1"/>
  <c r="BQ9" i="10"/>
  <c r="BM9" i="10" s="1"/>
  <c r="AA11" i="16" s="1"/>
  <c r="BO9" i="10"/>
  <c r="BK9" i="10" s="1"/>
  <c r="Y11" i="16" s="1"/>
  <c r="M33" i="14" a="1"/>
  <c r="M33" i="14" s="1"/>
  <c r="M73" i="14" a="1"/>
  <c r="M73" i="14" s="1"/>
  <c r="M71" i="14" a="1"/>
  <c r="M71" i="14" s="1"/>
  <c r="M28" i="14" a="1"/>
  <c r="M28" i="14" s="1"/>
  <c r="M39" i="14" a="1"/>
  <c r="M39" i="14" s="1"/>
  <c r="M55" i="14" a="1"/>
  <c r="M55" i="14" s="1"/>
  <c r="M40" i="14" a="1"/>
  <c r="M40" i="14" s="1"/>
  <c r="M76" i="14" a="1"/>
  <c r="M76" i="14" s="1"/>
  <c r="M18" i="14" a="1"/>
  <c r="M18" i="14" s="1"/>
  <c r="M16" i="14" a="1"/>
  <c r="M16" i="14" s="1"/>
  <c r="M22" i="14" a="1"/>
  <c r="M22" i="14" s="1"/>
  <c r="M19" i="14" a="1"/>
  <c r="M19" i="14" s="1"/>
  <c r="M60" i="14" a="1"/>
  <c r="M60" i="14" s="1"/>
  <c r="M32" i="14" a="1"/>
  <c r="M32" i="14" s="1"/>
  <c r="M7" i="14" a="1"/>
  <c r="M7" i="14" s="1"/>
  <c r="M70" i="14" a="1"/>
  <c r="M70" i="14" s="1"/>
  <c r="M10" i="14" a="1"/>
  <c r="M10" i="14" s="1"/>
  <c r="M66" i="14" a="1"/>
  <c r="M66" i="14" s="1"/>
  <c r="M80" i="14" a="1"/>
  <c r="M80" i="14" s="1"/>
  <c r="M68" i="14" a="1"/>
  <c r="M68" i="14" s="1"/>
  <c r="M61" i="14" a="1"/>
  <c r="M61" i="14" s="1"/>
  <c r="M81" i="14" a="1"/>
  <c r="M81" i="14" s="1"/>
  <c r="M41" i="14" a="1"/>
  <c r="M41" i="14" s="1"/>
  <c r="M72" i="14" a="1"/>
  <c r="M72" i="14" s="1"/>
  <c r="M56" i="14" a="1"/>
  <c r="M56" i="14" s="1"/>
  <c r="M75" i="14" a="1"/>
  <c r="M75" i="14" s="1"/>
  <c r="M6" i="14" a="1"/>
  <c r="M6" i="14" s="1"/>
  <c r="M34" i="14" a="1"/>
  <c r="M34" i="14" s="1"/>
  <c r="P34" i="14" s="1"/>
  <c r="M50" i="14" a="1"/>
  <c r="M50" i="14" s="1"/>
  <c r="M48" i="14" a="1"/>
  <c r="M48" i="14" s="1"/>
  <c r="M25" i="14" a="1"/>
  <c r="M25" i="14" s="1"/>
  <c r="M31" i="14" a="1"/>
  <c r="M31" i="14" s="1"/>
  <c r="M74" i="14" a="1"/>
  <c r="M74" i="14" s="1"/>
  <c r="M82" i="14" a="1"/>
  <c r="M82" i="14" s="1"/>
  <c r="M11" i="14" a="1"/>
  <c r="M11" i="14" s="1"/>
  <c r="M14" i="14" a="1"/>
  <c r="M14" i="14" s="1"/>
  <c r="M44" i="14" a="1"/>
  <c r="M44" i="14" s="1"/>
  <c r="M86" i="14" a="1"/>
  <c r="M86" i="14" s="1"/>
  <c r="M4" i="14" a="1"/>
  <c r="M4" i="14" s="1"/>
  <c r="M8" i="14" a="1"/>
  <c r="M8" i="14" s="1"/>
  <c r="M47" i="14" a="1"/>
  <c r="M47" i="14" s="1"/>
  <c r="M27" i="14" a="1"/>
  <c r="M27" i="14" s="1"/>
  <c r="M38" i="14" a="1"/>
  <c r="M38" i="14" s="1"/>
  <c r="M15" i="14" a="1"/>
  <c r="M15" i="14" s="1"/>
  <c r="M43" i="14" a="1"/>
  <c r="M43" i="14" s="1"/>
  <c r="M84" i="14" a="1"/>
  <c r="M84" i="14" s="1"/>
  <c r="M65" i="14" a="1"/>
  <c r="M65" i="14" s="1"/>
  <c r="M37" i="14" a="1"/>
  <c r="M37" i="14" s="1"/>
  <c r="M52" i="14" a="1"/>
  <c r="M52" i="14" s="1"/>
  <c r="M54" i="14" a="1"/>
  <c r="M54" i="14" s="1"/>
  <c r="M49" i="14" a="1"/>
  <c r="M49" i="14" s="1"/>
  <c r="M12" i="14" a="1"/>
  <c r="M12" i="14" s="1"/>
  <c r="M20" i="14" a="1"/>
  <c r="M20" i="14" s="1"/>
  <c r="M30" i="14" a="1"/>
  <c r="M30" i="14" s="1"/>
  <c r="M78" i="14" a="1"/>
  <c r="M78" i="14" s="1"/>
  <c r="M26" i="14" a="1"/>
  <c r="M26" i="14" s="1"/>
  <c r="M2" i="14" a="1"/>
  <c r="M2" i="14" s="1"/>
  <c r="M64" i="14" a="1"/>
  <c r="M64" i="14" s="1"/>
  <c r="M58" i="14" a="1"/>
  <c r="M58" i="14" s="1"/>
  <c r="M79" i="14" a="1"/>
  <c r="M79" i="14" s="1"/>
  <c r="M69" i="14" a="1"/>
  <c r="M69" i="14" s="1"/>
  <c r="M57" i="14" a="1"/>
  <c r="M57" i="14" s="1"/>
  <c r="M46" i="14" a="1"/>
  <c r="M46" i="14" s="1"/>
  <c r="M85" i="14" a="1"/>
  <c r="M85" i="14" s="1"/>
  <c r="M21" i="14" a="1"/>
  <c r="M21" i="14" s="1"/>
  <c r="M53" i="14" a="1"/>
  <c r="M53" i="14" s="1"/>
  <c r="M45" i="14" a="1"/>
  <c r="M45" i="14" s="1"/>
  <c r="M62" i="14" a="1"/>
  <c r="M62" i="14" s="1"/>
  <c r="M83" i="14" a="1"/>
  <c r="M83" i="14" s="1"/>
  <c r="M9" i="14" a="1"/>
  <c r="M9" i="14" s="1"/>
  <c r="M17" i="14" a="1"/>
  <c r="M17" i="14" s="1"/>
  <c r="M77" i="14" a="1"/>
  <c r="M77" i="14" s="1"/>
  <c r="M63" i="14" a="1"/>
  <c r="M63" i="14" s="1"/>
  <c r="M51" i="14" a="1"/>
  <c r="M51" i="14" s="1"/>
  <c r="M23" i="14" a="1"/>
  <c r="M23" i="14" s="1"/>
  <c r="M36" i="14" a="1"/>
  <c r="M36" i="14" s="1"/>
  <c r="M42" i="14" a="1"/>
  <c r="M42" i="14" s="1"/>
  <c r="M35" i="14" a="1"/>
  <c r="M35" i="14" s="1"/>
  <c r="P35" i="14" s="1"/>
  <c r="M67" i="14" a="1"/>
  <c r="M67" i="14" s="1"/>
  <c r="M29" i="14" a="1"/>
  <c r="M29" i="14" s="1"/>
  <c r="M59" i="14" a="1"/>
  <c r="M59" i="14" s="1"/>
  <c r="M5" i="14" a="1"/>
  <c r="M5" i="14" s="1"/>
  <c r="M24" i="14" a="1"/>
  <c r="M24" i="14" s="1"/>
  <c r="M13" i="14" a="1"/>
  <c r="M13" i="14" s="1"/>
  <c r="M3" i="14" a="1"/>
  <c r="M3" i="14" s="1"/>
  <c r="X1742" i="10"/>
  <c r="AQ1743" i="10"/>
  <c r="AN1743" i="10"/>
  <c r="G7" i="16"/>
  <c r="A7" i="16"/>
  <c r="BO32" i="10"/>
  <c r="BK32" i="10" s="1"/>
  <c r="Y34" i="16" s="1"/>
  <c r="BN31" i="10"/>
  <c r="BJ31" i="10" s="1"/>
  <c r="X33" i="16" s="1"/>
  <c r="BQ32" i="10"/>
  <c r="BM32" i="10" s="1"/>
  <c r="AA34" i="16" s="1"/>
  <c r="L17" i="16"/>
  <c r="N17" i="16"/>
  <c r="O17" i="16"/>
  <c r="M17" i="16"/>
  <c r="AZ1725" i="10"/>
  <c r="BA1725" i="10"/>
  <c r="AN1725" i="10"/>
  <c r="AP1725" i="10"/>
  <c r="BO1724" i="10"/>
  <c r="BK1724" i="10" s="1"/>
  <c r="BK1725" i="10"/>
  <c r="BQ1724" i="10"/>
  <c r="BM1724" i="10" s="1"/>
  <c r="BM1725" i="10"/>
  <c r="BP1724" i="10"/>
  <c r="BL1724" i="10" s="1"/>
  <c r="BL1725" i="10"/>
  <c r="BN1725" i="10"/>
  <c r="BJ1725" i="10" s="1"/>
  <c r="BJ1724" i="10"/>
  <c r="BI1724" i="10"/>
  <c r="BE1724" i="10" s="1"/>
  <c r="BE1725" i="10"/>
  <c r="AZ1724" i="10"/>
  <c r="BA1724" i="10"/>
  <c r="BG1724" i="10"/>
  <c r="BC1724" i="10" s="1"/>
  <c r="BC1725" i="10"/>
  <c r="BH1724" i="10"/>
  <c r="BD1724" i="10" s="1"/>
  <c r="BD1725" i="10"/>
  <c r="BF1725" i="10"/>
  <c r="BB1725" i="10" s="1"/>
  <c r="BB1724" i="10"/>
  <c r="BO12" i="10"/>
  <c r="BK12" i="10" s="1"/>
  <c r="Y14" i="16" s="1"/>
  <c r="BQ12" i="10"/>
  <c r="BQ11" i="10" s="1"/>
  <c r="BM11" i="10" s="1"/>
  <c r="AA13" i="16" s="1"/>
  <c r="BP12" i="10"/>
  <c r="BP11" i="10" s="1"/>
  <c r="BL11" i="10" s="1"/>
  <c r="Z13" i="16" s="1"/>
  <c r="BL32" i="10"/>
  <c r="Z34" i="16" s="1"/>
  <c r="BN12" i="10"/>
  <c r="BJ12" i="10" s="1"/>
  <c r="X14" i="16" s="1"/>
  <c r="BJ11" i="10"/>
  <c r="X13" i="16" s="1"/>
  <c r="M19" i="16"/>
  <c r="N19" i="16"/>
  <c r="L19" i="16"/>
  <c r="O19" i="16"/>
  <c r="T32" i="16"/>
  <c r="AV30" i="10" s="1"/>
  <c r="BP30" i="10" s="1"/>
  <c r="N79" i="14" l="1"/>
  <c r="P79" i="14"/>
  <c r="P37" i="14"/>
  <c r="N35" i="14"/>
  <c r="N14" i="14"/>
  <c r="P14" i="14"/>
  <c r="P72" i="14"/>
  <c r="N72" i="14"/>
  <c r="N19" i="14"/>
  <c r="P19" i="14"/>
  <c r="P3" i="14"/>
  <c r="N3" i="14"/>
  <c r="P24" i="14"/>
  <c r="N24" i="14"/>
  <c r="N17" i="14"/>
  <c r="P17" i="14"/>
  <c r="P58" i="14"/>
  <c r="N58" i="14"/>
  <c r="P65" i="14"/>
  <c r="N65" i="14"/>
  <c r="P11" i="14"/>
  <c r="N11" i="14"/>
  <c r="N41" i="14"/>
  <c r="P41" i="14"/>
  <c r="N22" i="14"/>
  <c r="P22" i="14"/>
  <c r="N5" i="14"/>
  <c r="P5" i="14"/>
  <c r="P9" i="14"/>
  <c r="N9" i="14"/>
  <c r="N64" i="14"/>
  <c r="P64" i="14"/>
  <c r="N84" i="14"/>
  <c r="P84" i="14"/>
  <c r="P82" i="14"/>
  <c r="N82" i="14"/>
  <c r="P81" i="14"/>
  <c r="N81" i="14"/>
  <c r="N16" i="14"/>
  <c r="P16" i="14"/>
  <c r="N59" i="14"/>
  <c r="P59" i="14"/>
  <c r="N83" i="14"/>
  <c r="P83" i="14"/>
  <c r="P2" i="14"/>
  <c r="M88" i="14"/>
  <c r="N2" i="14"/>
  <c r="N43" i="14"/>
  <c r="P43" i="14"/>
  <c r="P74" i="14"/>
  <c r="N74" i="14"/>
  <c r="N61" i="14"/>
  <c r="P61" i="14"/>
  <c r="N18" i="14"/>
  <c r="P18" i="14"/>
  <c r="P29" i="14"/>
  <c r="N29" i="14"/>
  <c r="P62" i="14"/>
  <c r="N62" i="14"/>
  <c r="P26" i="14"/>
  <c r="N26" i="14"/>
  <c r="N15" i="14"/>
  <c r="P15" i="14"/>
  <c r="P31" i="14"/>
  <c r="N31" i="14"/>
  <c r="P68" i="14"/>
  <c r="N68" i="14"/>
  <c r="N76" i="14"/>
  <c r="P76" i="14"/>
  <c r="P67" i="14"/>
  <c r="N67" i="14"/>
  <c r="N45" i="14"/>
  <c r="P45" i="14"/>
  <c r="P78" i="14"/>
  <c r="N78" i="14"/>
  <c r="N36" i="14"/>
  <c r="P38" i="14"/>
  <c r="N38" i="14"/>
  <c r="N25" i="14"/>
  <c r="P25" i="14"/>
  <c r="N80" i="14"/>
  <c r="P80" i="14"/>
  <c r="P40" i="14"/>
  <c r="N40" i="14"/>
  <c r="N13" i="14"/>
  <c r="P13" i="14"/>
  <c r="N53" i="14"/>
  <c r="P53" i="14"/>
  <c r="P30" i="14"/>
  <c r="N30" i="14"/>
  <c r="N27" i="14"/>
  <c r="P27" i="14"/>
  <c r="P48" i="14"/>
  <c r="N48" i="14"/>
  <c r="N66" i="14"/>
  <c r="P66" i="14"/>
  <c r="N55" i="14"/>
  <c r="P55" i="14"/>
  <c r="P42" i="14"/>
  <c r="N42" i="14"/>
  <c r="N21" i="14"/>
  <c r="P21" i="14"/>
  <c r="N20" i="14"/>
  <c r="P20" i="14"/>
  <c r="P47" i="14"/>
  <c r="N47" i="14"/>
  <c r="N50" i="14"/>
  <c r="P50" i="14"/>
  <c r="P10" i="14"/>
  <c r="N10" i="14"/>
  <c r="P39" i="14"/>
  <c r="N39" i="14"/>
  <c r="N37" i="14"/>
  <c r="N77" i="14"/>
  <c r="P77" i="14"/>
  <c r="N34" i="14"/>
  <c r="P36" i="14"/>
  <c r="N85" i="14"/>
  <c r="P85" i="14"/>
  <c r="P12" i="14"/>
  <c r="N12" i="14"/>
  <c r="N8" i="14"/>
  <c r="P8" i="14"/>
  <c r="N70" i="14"/>
  <c r="P70" i="14"/>
  <c r="P28" i="14"/>
  <c r="N28" i="14"/>
  <c r="N23" i="14"/>
  <c r="P23" i="14"/>
  <c r="N46" i="14"/>
  <c r="P46" i="14"/>
  <c r="P49" i="14"/>
  <c r="N49" i="14"/>
  <c r="N4" i="14"/>
  <c r="P4" i="14"/>
  <c r="N6" i="14"/>
  <c r="P6" i="14"/>
  <c r="P7" i="14"/>
  <c r="N7" i="14"/>
  <c r="N71" i="14"/>
  <c r="P71" i="14"/>
  <c r="N51" i="14"/>
  <c r="P51" i="14"/>
  <c r="N57" i="14"/>
  <c r="P57" i="14"/>
  <c r="N54" i="14"/>
  <c r="P54" i="14"/>
  <c r="N86" i="14"/>
  <c r="P86" i="14"/>
  <c r="P75" i="14"/>
  <c r="N75" i="14"/>
  <c r="P32" i="14"/>
  <c r="N32" i="14"/>
  <c r="P73" i="14"/>
  <c r="N73" i="14"/>
  <c r="N63" i="14"/>
  <c r="P63" i="14"/>
  <c r="N69" i="14"/>
  <c r="P69" i="14"/>
  <c r="N52" i="14"/>
  <c r="P52" i="14"/>
  <c r="P44" i="14"/>
  <c r="N44" i="14"/>
  <c r="P56" i="14"/>
  <c r="N56" i="14"/>
  <c r="N60" i="14"/>
  <c r="P60" i="14"/>
  <c r="P33" i="14"/>
  <c r="N33" i="14"/>
  <c r="AT1742" i="10"/>
  <c r="D25" i="16" s="1"/>
  <c r="R1742" i="10"/>
  <c r="AL1742" i="10" s="1"/>
  <c r="T1742" i="10"/>
  <c r="AV1742" i="10"/>
  <c r="L7" i="16"/>
  <c r="O7" i="16"/>
  <c r="M7" i="16"/>
  <c r="N7" i="16"/>
  <c r="BO31" i="10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BN29" i="10"/>
  <c r="BJ29" i="10" s="1"/>
  <c r="X31" i="16" s="1"/>
  <c r="BO30" i="10"/>
  <c r="BK30" i="10" s="1"/>
  <c r="Y32" i="16" s="1"/>
  <c r="BQ30" i="10"/>
  <c r="BM30" i="10" s="1"/>
  <c r="AA32" i="16" s="1"/>
  <c r="BO11" i="10"/>
  <c r="BK11" i="10" s="1"/>
  <c r="Y13" i="16" s="1"/>
  <c r="BL12" i="10"/>
  <c r="Z14" i="16" s="1"/>
  <c r="BM12" i="10"/>
  <c r="AA14" i="16" s="1"/>
  <c r="T19" i="16"/>
  <c r="AV17" i="10" s="1"/>
  <c r="BN17" i="10" s="1"/>
  <c r="BP29" i="10"/>
  <c r="BL29" i="10" s="1"/>
  <c r="Z31" i="16" s="1"/>
  <c r="BL30" i="10"/>
  <c r="Z32" i="16" s="1"/>
  <c r="N88" i="14" l="1"/>
  <c r="P88" i="14"/>
  <c r="A25" i="16"/>
  <c r="G25" i="16"/>
  <c r="BP1743" i="10"/>
  <c r="BQ1743" i="10"/>
  <c r="BN1742" i="10"/>
  <c r="AW1743" i="10"/>
  <c r="BO1743" i="10"/>
  <c r="AU1743" i="10"/>
  <c r="AY1743" i="10" s="1"/>
  <c r="BF1742" i="10"/>
  <c r="BG1743" i="10"/>
  <c r="AX1742" i="10"/>
  <c r="BI1743" i="10"/>
  <c r="BH1743" i="10"/>
  <c r="T7" i="16"/>
  <c r="AV5" i="10" s="1"/>
  <c r="BO16" i="10"/>
  <c r="BP16" i="10"/>
  <c r="BQ16" i="10"/>
  <c r="BN15" i="10"/>
  <c r="BN30" i="10"/>
  <c r="BJ30" i="10" s="1"/>
  <c r="X32" i="16" s="1"/>
  <c r="BQ29" i="10"/>
  <c r="BM29" i="10" s="1"/>
  <c r="AA31" i="16" s="1"/>
  <c r="BO29" i="10"/>
  <c r="BK29" i="10" s="1"/>
  <c r="Y31" i="16" s="1"/>
  <c r="BQ18" i="10"/>
  <c r="BM18" i="10" s="1"/>
  <c r="AA20" i="16" s="1"/>
  <c r="BP18" i="10"/>
  <c r="BP17" i="10" s="1"/>
  <c r="BL17" i="10" s="1"/>
  <c r="Z19" i="16" s="1"/>
  <c r="BO18" i="10"/>
  <c r="BO17" i="10" s="1"/>
  <c r="BK17" i="10" s="1"/>
  <c r="Y19" i="16" s="1"/>
  <c r="BJ17" i="10"/>
  <c r="X19" i="16" s="1"/>
  <c r="BN18" i="10"/>
  <c r="BJ18" i="10" s="1"/>
  <c r="X20" i="16" s="1"/>
  <c r="M25" i="16" l="1"/>
  <c r="L25" i="16"/>
  <c r="N25" i="16"/>
  <c r="O25" i="16"/>
  <c r="BA1743" i="10"/>
  <c r="AZ1743" i="10"/>
  <c r="BF1743" i="10"/>
  <c r="BB1743" i="10" s="1"/>
  <c r="BB1742" i="10"/>
  <c r="BO1742" i="10"/>
  <c r="BK1742" i="10" s="1"/>
  <c r="BK1743" i="10"/>
  <c r="BC1743" i="10"/>
  <c r="BG1742" i="10"/>
  <c r="BC1742" i="10" s="1"/>
  <c r="BH1742" i="10"/>
  <c r="BD1742" i="10" s="1"/>
  <c r="BD1743" i="10"/>
  <c r="BJ1742" i="10"/>
  <c r="BN1743" i="10"/>
  <c r="BJ1743" i="10" s="1"/>
  <c r="BE1743" i="10"/>
  <c r="BI1742" i="10"/>
  <c r="BE1742" i="10" s="1"/>
  <c r="AZ1742" i="10"/>
  <c r="BA1742" i="10"/>
  <c r="BQ1742" i="10"/>
  <c r="BM1742" i="10" s="1"/>
  <c r="BM1743" i="10"/>
  <c r="BP1742" i="10"/>
  <c r="BL1742" i="10" s="1"/>
  <c r="BL1743" i="10"/>
  <c r="BO6" i="10"/>
  <c r="BQ6" i="10"/>
  <c r="BP6" i="10"/>
  <c r="BN5" i="10"/>
  <c r="BJ15" i="10"/>
  <c r="X17" i="16" s="1"/>
  <c r="BN16" i="10"/>
  <c r="BJ16" i="10" s="1"/>
  <c r="X18" i="16" s="1"/>
  <c r="BQ15" i="10"/>
  <c r="BM15" i="10" s="1"/>
  <c r="AA17" i="16" s="1"/>
  <c r="BM16" i="10"/>
  <c r="AA18" i="16" s="1"/>
  <c r="BK16" i="10"/>
  <c r="Y18" i="16" s="1"/>
  <c r="BO15" i="10"/>
  <c r="BK15" i="10" s="1"/>
  <c r="Y17" i="16" s="1"/>
  <c r="BP15" i="10"/>
  <c r="BL15" i="10" s="1"/>
  <c r="Z17" i="16" s="1"/>
  <c r="BL16" i="10"/>
  <c r="Z18" i="16" s="1"/>
  <c r="BQ17" i="10"/>
  <c r="BM17" i="10" s="1"/>
  <c r="AA19" i="16" s="1"/>
  <c r="BK18" i="10"/>
  <c r="Y20" i="16" s="1"/>
  <c r="BL18" i="10"/>
  <c r="Z20" i="16" s="1"/>
  <c r="T25" i="16" l="1"/>
  <c r="AV23" i="10" s="1"/>
  <c r="BN6" i="10"/>
  <c r="BJ6" i="10" s="1"/>
  <c r="X8" i="16" s="1"/>
  <c r="BJ5" i="10"/>
  <c r="X7" i="16" s="1"/>
  <c r="BP5" i="10"/>
  <c r="BL5" i="10" s="1"/>
  <c r="Z7" i="16" s="1"/>
  <c r="BL6" i="10"/>
  <c r="Z8" i="16" s="1"/>
  <c r="BM6" i="10"/>
  <c r="AA8" i="16" s="1"/>
  <c r="BQ5" i="10"/>
  <c r="BM5" i="10" s="1"/>
  <c r="AA7" i="16" s="1"/>
  <c r="BK6" i="10"/>
  <c r="Y8" i="16" s="1"/>
  <c r="BO5" i="10"/>
  <c r="BK5" i="10" s="1"/>
  <c r="Y7" i="16" s="1"/>
  <c r="BO24" i="10" l="1"/>
  <c r="BN23" i="10"/>
  <c r="BP24" i="10"/>
  <c r="BQ24" i="10"/>
  <c r="BQ23" i="10" l="1"/>
  <c r="BM23" i="10" s="1"/>
  <c r="AA25" i="16" s="1"/>
  <c r="BM24" i="10"/>
  <c r="AA26" i="16" s="1"/>
  <c r="BL24" i="10"/>
  <c r="Z26" i="16" s="1"/>
  <c r="BP23" i="10"/>
  <c r="BL23" i="10" s="1"/>
  <c r="Z25" i="16" s="1"/>
  <c r="BN24" i="10"/>
  <c r="BJ24" i="10" s="1"/>
  <c r="X26" i="16" s="1"/>
  <c r="BJ23" i="10"/>
  <c r="X25" i="16" s="1"/>
  <c r="BK24" i="10"/>
  <c r="Y26" i="16" s="1"/>
  <c r="BO23" i="10"/>
  <c r="BK23" i="10" s="1"/>
  <c r="Y2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<sst xmlns="http://schemas.openxmlformats.org/spreadsheetml/2006/main" count="21972" uniqueCount="2097">
  <si>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</si>
  <si>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</si>
  <si>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</si>
  <si>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</si>
  <si>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</si>
  <si>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</si>
  <si>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</si>
  <si>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</si>
  <si>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</si>
  <si>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</si>
  <si>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</si>
  <si>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</si>
  <si>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</si>
  <si>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</si>
  <si>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</si>
  <si>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</si>
  <si>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</si>
  <si>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</si>
  <si>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</si>
  <si>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</si>
  <si>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</si>
  <si>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</si>
  <si>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</si>
  <si>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</si>
  <si>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</si>
  <si>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</si>
  <si>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</si>
  <si>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</si>
  <si>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</si>
  <si>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</si>
  <si>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</si>
  <si>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</si>
  <si>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</si>
  <si>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</si>
  <si>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</si>
  <si>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</si>
  <si>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</si>
  <si>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</si>
  <si>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</si>
  <si>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</si>
  <si>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</si>
  <si>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</si>
  <si>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</si>
  <si>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</si>
  <si>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</si>
  <si>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</si>
  <si>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</si>
  <si>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</si>
  <si>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</si>
  <si>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</si>
  <si>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</si>
  <si>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</si>
  <si>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</si>
  <si>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</si>
  <si>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</si>
  <si>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</si>
  <si>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</si>
  <si>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</si>
  <si>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</si>
  <si>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</si>
  <si>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</si>
  <si>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</si>
  <si>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</si>
  <si>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</si>
  <si>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</si>
  <si>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</si>
  <si>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</si>
  <si>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</si>
  <si>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</si>
  <si>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</si>
  <si>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</si>
  <si>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</si>
  <si>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</si>
  <si>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</si>
  <si>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</si>
  <si>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</si>
  <si>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</si>
  <si>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</si>
  <si>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</si>
  <si>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</si>
  <si>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</si>
  <si>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</si>
  <si>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</si>
  <si>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</si>
  <si>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</si>
  <si>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</si>
  <si>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</si>
  <si>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</si>
  <si>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</si>
  <si>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</si>
  <si>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</si>
  <si>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</si>
  <si>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</si>
  <si>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</si>
  <si>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</si>
  <si>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</si>
  <si>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</si>
  <si>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</si>
  <si>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</si>
  <si>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</si>
  <si>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</si>
  <si>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</si>
  <si>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</si>
  <si>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</si>
  <si>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</si>
  <si>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</si>
  <si>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</si>
  <si>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</si>
  <si>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</si>
  <si>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</si>
  <si>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</si>
  <si>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</si>
  <si>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</si>
  <si>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</si>
  <si>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</si>
  <si>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</si>
  <si>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</si>
  <si>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</si>
  <si>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</si>
  <si>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</si>
  <si>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</si>
  <si>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</si>
  <si>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</si>
  <si>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</si>
  <si>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</si>
  <si>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</si>
  <si>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</si>
  <si>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</si>
  <si>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</si>
  <si>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</si>
  <si>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</si>
  <si>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</si>
  <si>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</si>
  <si>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</si>
  <si>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</si>
  <si>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</si>
  <si>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</si>
  <si>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</si>
  <si>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</si>
  <si>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</si>
  <si>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</si>
  <si>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</si>
  <si>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</si>
  <si>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</si>
  <si>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</si>
  <si>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</si>
  <si>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</si>
  <si>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</si>
  <si>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</si>
  <si>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</si>
  <si>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</si>
  <si>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</si>
  <si>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</si>
  <si>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</si>
  <si>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</si>
  <si>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</si>
  <si>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</si>
  <si>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</si>
  <si>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</si>
  <si>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</si>
  <si>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</si>
  <si>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</si>
  <si>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</si>
  <si>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</si>
  <si>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</si>
  <si>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</si>
  <si>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</si>
  <si>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</si>
  <si>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</si>
  <si>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</si>
  <si>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</si>
  <si>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</si>
  <si>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</si>
  <si>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</si>
  <si>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</si>
  <si>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</si>
  <si>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</si>
  <si>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</si>
  <si>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</si>
  <si>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</si>
  <si>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</si>
  <si>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</si>
  <si>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</si>
  <si>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</si>
  <si>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</si>
  <si>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</si>
  <si>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</si>
  <si>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</si>
  <si>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</si>
  <si>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</si>
  <si>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</si>
  <si>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</si>
  <si>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</si>
  <si>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</si>
  <si>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</si>
  <si>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</si>
  <si>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</si>
  <si>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</si>
  <si>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</si>
  <si>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</si>
  <si>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</si>
  <si>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</si>
  <si>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</si>
  <si>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</si>
  <si>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</si>
  <si>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</si>
  <si>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</si>
  <si>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</si>
  <si>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</si>
  <si>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</si>
  <si>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</si>
  <si>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</si>
  <si>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</si>
  <si>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</si>
  <si>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</si>
  <si>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</si>
  <si>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</si>
  <si>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</si>
  <si>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</si>
  <si>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</si>
  <si>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</si>
  <si>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</si>
  <si>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</si>
  <si>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</si>
  <si>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</si>
  <si>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</si>
  <si>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</si>
  <si>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</si>
  <si>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</si>
  <si>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</si>
  <si>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</si>
  <si>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</si>
  <si>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</si>
  <si>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</si>
  <si>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</si>
  <si>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</si>
  <si>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</si>
  <si>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</si>
  <si>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</si>
  <si>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</si>
  <si>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</si>
  <si>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</si>
  <si>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</si>
  <si>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</si>
  <si>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</si>
  <si>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</si>
  <si>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</si>
  <si>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</si>
  <si>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</si>
  <si>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</si>
  <si>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</si>
  <si>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</si>
  <si>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</si>
  <si>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</si>
  <si>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</si>
  <si>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</si>
  <si>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</si>
  <si>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</si>
  <si>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</si>
  <si>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</si>
  <si>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</si>
  <si>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</si>
  <si>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</si>
  <si>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</si>
  <si>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</si>
  <si>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</si>
  <si>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</si>
  <si>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</si>
  <si>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</si>
  <si>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</si>
  <si>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</si>
  <si>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</si>
  <si>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</si>
  <si>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</si>
  <si>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</si>
  <si>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</si>
  <si>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</si>
  <si>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</si>
  <si>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</si>
  <si>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</si>
  <si>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</si>
  <si>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</si>
  <si>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</si>
  <si>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</si>
  <si>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</si>
  <si>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</si>
  <si>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</si>
  <si>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</si>
  <si>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</si>
  <si>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</si>
  <si>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</si>
  <si>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</si>
  <si>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</si>
  <si>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</si>
  <si>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</si>
  <si>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</si>
  <si>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</si>
  <si>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</si>
  <si>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</si>
  <si>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</si>
  <si>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</si>
  <si>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</si>
  <si>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</si>
  <si>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</si>
  <si>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</si>
  <si>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</si>
  <si>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</si>
  <si>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</si>
  <si>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</si>
  <si>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</si>
  <si>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</si>
  <si>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</si>
  <si>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</si>
  <si>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</si>
  <si>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</si>
  <si>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</si>
  <si>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</si>
  <si>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</si>
  <si>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</si>
  <si>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</si>
  <si>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</si>
  <si>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</si>
  <si>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</si>
  <si>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</si>
  <si>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</si>
  <si>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</si>
  <si>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</si>
  <si>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</si>
  <si>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</si>
  <si>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</si>
  <si>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</si>
  <si>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</si>
  <si>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</si>
  <si>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</si>
  <si>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</si>
  <si>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</si>
  <si>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</si>
  <si>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</si>
  <si>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</si>
  <si>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</si>
  <si>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</si>
  <si>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</si>
  <si>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</si>
  <si>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</si>
  <si>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</si>
  <si>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</si>
  <si>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</si>
  <si>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</si>
  <si>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</si>
  <si>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</si>
  <si>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</si>
  <si>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</si>
  <si>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</si>
  <si>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</si>
  <si>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</si>
  <si>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</si>
  <si>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</si>
  <si>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</si>
  <si>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</si>
  <si>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</si>
  <si>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</si>
  <si>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</si>
  <si>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</si>
  <si>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</si>
  <si>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</si>
  <si>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</si>
  <si>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</si>
  <si>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</si>
  <si>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</si>
  <si>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</si>
  <si>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</si>
  <si>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</si>
  <si>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</si>
  <si>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</si>
  <si>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</si>
  <si>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</si>
  <si>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</si>
  <si>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</si>
  <si>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</si>
  <si>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</si>
  <si>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</si>
  <si>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</si>
  <si>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</si>
  <si>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</si>
  <si>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</si>
  <si>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</si>
  <si>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</si>
  <si>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</si>
  <si>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</si>
  <si>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</si>
  <si>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</si>
  <si>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</si>
  <si>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</si>
  <si>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</si>
  <si>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</si>
  <si>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</si>
  <si>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</si>
  <si>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</si>
  <si>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</si>
  <si>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</si>
  <si>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</si>
  <si>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</si>
  <si>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</si>
  <si>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</si>
  <si>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</si>
  <si>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</si>
  <si>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</si>
  <si>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</si>
  <si>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</si>
  <si>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</si>
  <si>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</si>
  <si>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</si>
  <si>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</si>
  <si>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</si>
  <si>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</si>
  <si>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</si>
  <si>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</si>
  <si>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</si>
  <si>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</si>
  <si>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</si>
  <si>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</si>
  <si>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</si>
  <si>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</si>
  <si>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</si>
  <si>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</si>
  <si>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</si>
  <si>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</si>
  <si>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</si>
  <si>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</si>
  <si>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</si>
  <si>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</si>
  <si>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</si>
  <si>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</si>
  <si>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</si>
  <si>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</si>
  <si>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</si>
  <si>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</si>
  <si>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</si>
  <si>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</si>
  <si>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</si>
  <si>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</si>
  <si>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</si>
  <si>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</si>
  <si>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</si>
  <si>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</si>
  <si>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</si>
  <si>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</si>
  <si>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</si>
  <si>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</si>
  <si>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</si>
  <si>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</si>
  <si>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</si>
  <si>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</si>
  <si>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</si>
  <si>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</si>
  <si>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</si>
  <si>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</si>
  <si>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</si>
  <si>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</si>
  <si>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</si>
  <si>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</si>
  <si>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</si>
  <si>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</si>
  <si>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</si>
  <si>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</si>
  <si>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</si>
  <si>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</si>
  <si>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</si>
  <si>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</si>
  <si>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</si>
  <si>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</si>
  <si>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</si>
  <si>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</si>
  <si>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</si>
  <si>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</si>
  <si>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</si>
  <si>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</si>
  <si>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</si>
  <si>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</si>
  <si>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</si>
  <si>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</si>
  <si>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</si>
  <si>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</si>
  <si>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</si>
  <si>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</si>
  <si>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</si>
  <si>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</si>
  <si>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</si>
  <si>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</si>
  <si>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</si>
  <si>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</si>
  <si>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</si>
  <si>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</si>
  <si>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</si>
  <si>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</si>
  <si>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</si>
  <si>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</si>
  <si>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</si>
  <si>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</si>
  <si>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</si>
  <si>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</si>
  <si>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</si>
  <si>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</si>
  <si>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</si>
  <si>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</si>
  <si>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</si>
  <si>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</si>
  <si>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</si>
  <si>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</si>
  <si>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</si>
  <si>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</si>
  <si>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</si>
  <si>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</si>
  <si>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</si>
  <si>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</si>
  <si>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</si>
  <si>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</si>
  <si>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</si>
  <si>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</si>
  <si>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</si>
  <si>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</si>
  <si>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</si>
  <si>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</si>
  <si>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</si>
  <si>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</si>
  <si>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</si>
  <si>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</si>
  <si>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</si>
  <si>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</si>
  <si>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</si>
  <si>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</si>
  <si>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</si>
  <si>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</si>
  <si>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</si>
  <si>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</si>
  <si>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</si>
  <si>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</si>
  <si>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</si>
  <si>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</si>
  <si>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</si>
  <si>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</si>
  <si>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</si>
  <si>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</si>
  <si>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</si>
  <si>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</si>
  <si>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</si>
  <si>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</si>
  <si>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</si>
  <si>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</si>
  <si>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</si>
  <si>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</si>
  <si>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</si>
  <si>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</si>
  <si>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</si>
  <si>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</si>
  <si>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</si>
  <si>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</si>
  <si>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</si>
  <si>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</si>
  <si>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</si>
  <si>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</si>
  <si>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</si>
  <si>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</si>
  <si>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</si>
  <si>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</si>
  <si>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</si>
  <si>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</si>
  <si>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</si>
  <si>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</si>
  <si>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</si>
  <si>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</si>
  <si>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</si>
  <si>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</si>
  <si>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</si>
  <si>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</si>
  <si>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</si>
  <si>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</si>
  <si>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</si>
  <si>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</si>
  <si>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</si>
  <si>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</si>
  <si>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</si>
  <si>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</si>
  <si>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</si>
  <si>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</si>
  <si>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</si>
  <si>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</si>
  <si>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</si>
  <si>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</si>
  <si>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</si>
  <si>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</si>
  <si>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</si>
  <si>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</si>
  <si>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</si>
  <si>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</si>
  <si>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</si>
  <si>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</si>
  <si>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</si>
  <si>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</si>
  <si>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</si>
  <si>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</si>
  <si>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</si>
  <si>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</si>
  <si>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</si>
  <si>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</si>
  <si>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</si>
  <si>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</si>
  <si>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</si>
  <si>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</si>
  <si>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</si>
  <si>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</si>
  <si>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</si>
  <si>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</si>
  <si>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</si>
  <si>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</si>
  <si>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</si>
  <si>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</si>
  <si>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</si>
  <si>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</si>
  <si>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</si>
  <si>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</si>
  <si>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</si>
  <si>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</si>
  <si>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</si>
  <si>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</si>
  <si>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</si>
  <si>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</si>
  <si>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</si>
  <si>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</si>
  <si>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</si>
  <si>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</si>
  <si>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</si>
  <si>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</si>
  <si>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</si>
  <si>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</si>
  <si>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</si>
  <si>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</si>
  <si>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</si>
  <si>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</si>
  <si>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</si>
  <si>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</si>
  <si>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</si>
  <si>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</si>
  <si>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</si>
  <si>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</si>
  <si>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</si>
  <si>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</si>
  <si>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</si>
  <si>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</si>
  <si>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</si>
  <si>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</si>
  <si>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</si>
  <si>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</si>
  <si>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</si>
  <si>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</si>
  <si>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</si>
  <si>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</si>
  <si>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</si>
  <si>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</si>
  <si>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</si>
  <si>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</si>
  <si>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</si>
  <si>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</si>
  <si>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</si>
  <si>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</si>
  <si>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</si>
  <si>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</si>
  <si>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</si>
  <si>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</si>
  <si>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</si>
  <si>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</si>
  <si>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</si>
  <si>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</si>
  <si>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</si>
  <si>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</si>
  <si>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</si>
  <si>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</si>
  <si>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</si>
  <si>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</si>
  <si>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</si>
  <si>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</si>
  <si>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</si>
  <si>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</si>
  <si>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</si>
  <si>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</si>
  <si>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</si>
  <si>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</si>
  <si>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</si>
  <si>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</si>
  <si>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</si>
  <si>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</si>
  <si>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</si>
  <si>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</si>
  <si>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</si>
  <si>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</si>
  <si>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</si>
  <si>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</si>
  <si>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</si>
  <si>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</si>
  <si>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</si>
  <si>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</si>
  <si>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</si>
  <si>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</si>
  <si>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</si>
  <si>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</si>
  <si>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</si>
  <si>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</si>
  <si>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</si>
  <si>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</si>
  <si>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</si>
  <si>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</si>
  <si>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</si>
  <si>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</si>
  <si>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</si>
  <si>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</si>
  <si>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</si>
  <si>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</si>
  <si>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</si>
  <si>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</si>
  <si>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</si>
  <si>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</si>
  <si>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</si>
  <si>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</si>
  <si>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</si>
  <si>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</si>
  <si>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</si>
  <si>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</si>
  <si>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</si>
  <si>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</si>
  <si>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</si>
  <si>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</si>
  <si>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</si>
  <si>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</si>
  <si>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</si>
  <si>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</si>
  <si>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</si>
  <si>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</si>
  <si>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</si>
  <si>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</si>
  <si>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</si>
  <si>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</si>
  <si>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</si>
  <si>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</si>
  <si>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</si>
  <si>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</si>
  <si>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</si>
  <si>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</si>
  <si>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</si>
  <si>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</si>
  <si>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</si>
  <si>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</si>
  <si>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</si>
  <si>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</si>
  <si>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</si>
  <si>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</si>
  <si>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</si>
  <si>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</si>
  <si>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</si>
  <si>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</si>
  <si>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</si>
  <si>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</si>
  <si>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</si>
  <si>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</si>
  <si>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</si>
  <si>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</si>
  <si>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</si>
  <si>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</si>
  <si>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</si>
  <si>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</si>
  <si>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</si>
  <si>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</si>
  <si>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</si>
  <si>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</si>
  <si>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</si>
  <si>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</si>
  <si>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</si>
  <si>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</si>
  <si>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</si>
  <si>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</si>
  <si>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</si>
  <si>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</si>
  <si>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</si>
  <si>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</si>
  <si>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</si>
  <si>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</si>
  <si>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</si>
  <si>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</si>
  <si>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</si>
  <si>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</si>
  <si>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</si>
  <si>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</si>
  <si>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</si>
  <si>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</si>
  <si>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</si>
  <si>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</si>
  <si>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</si>
  <si>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</si>
  <si>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</si>
  <si>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</si>
  <si>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</si>
  <si>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</si>
  <si>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</si>
  <si>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</si>
  <si>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</si>
  <si>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</si>
  <si>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</si>
  <si>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</si>
  <si>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</si>
  <si>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</si>
  <si>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</si>
  <si>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</si>
  <si>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</si>
  <si>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</si>
  <si>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</si>
  <si>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</si>
  <si>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</si>
  <si>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</si>
  <si>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</si>
  <si>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</si>
  <si>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</si>
  <si>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</si>
  <si>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</si>
  <si>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</si>
  <si>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</si>
  <si>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</si>
  <si>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</si>
  <si>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</si>
  <si>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</si>
  <si>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</si>
  <si>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</si>
  <si>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</si>
  <si>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</si>
  <si>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</si>
  <si>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</si>
  <si>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</si>
  <si>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</si>
  <si>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</si>
  <si>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</si>
  <si>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</si>
  <si>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</si>
  <si>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</si>
  <si>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</si>
  <si>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</si>
  <si>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</si>
  <si>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</si>
  <si>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</si>
  <si>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</si>
  <si>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</si>
  <si>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</si>
  <si>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</si>
  <si>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</si>
  <si>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</si>
  <si>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</si>
  <si>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</si>
  <si>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</si>
  <si>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</si>
  <si>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</si>
  <si>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</si>
  <si>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</si>
  <si>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</si>
  <si>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</si>
  <si>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</si>
  <si>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</si>
  <si>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</si>
  <si>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</si>
  <si>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</si>
  <si>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</si>
  <si>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</si>
  <si>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</si>
  <si>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</si>
  <si>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</si>
  <si>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</si>
  <si>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</si>
  <si>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</si>
  <si>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</si>
  <si>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</si>
  <si>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</si>
  <si>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</si>
  <si>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</si>
  <si>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</si>
  <si>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</si>
  <si>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</si>
  <si>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</si>
  <si>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</si>
  <si>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</si>
  <si>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</si>
  <si>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</si>
  <si>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</si>
  <si>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</si>
  <si>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</si>
  <si>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</si>
  <si>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</si>
  <si>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</si>
  <si>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</si>
  <si>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</si>
  <si>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</si>
  <si>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</si>
  <si>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</si>
  <si>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</si>
  <si>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</si>
  <si>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</si>
  <si>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</si>
  <si>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</si>
  <si>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</si>
  <si>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</si>
  <si>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</si>
  <si>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</si>
  <si>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</si>
  <si>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</si>
  <si>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</si>
  <si>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</si>
  <si>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</si>
  <si>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</si>
  <si>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</si>
  <si>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</si>
  <si>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</si>
  <si>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</si>
  <si>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</si>
  <si>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</si>
  <si>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</si>
  <si>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</si>
  <si>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</si>
  <si>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</si>
  <si>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</si>
  <si>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</si>
  <si>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</si>
  <si>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</si>
  <si>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</si>
  <si>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</si>
  <si>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</si>
  <si>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</si>
  <si>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</si>
  <si>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</si>
  <si>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</si>
  <si>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</si>
  <si>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</si>
  <si>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</si>
  <si>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</si>
  <si>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</si>
  <si>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</si>
  <si>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</si>
  <si>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</si>
  <si>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</si>
  <si>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</si>
  <si>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</si>
  <si>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</si>
  <si>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</si>
  <si>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</si>
  <si>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</si>
  <si>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</si>
  <si>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</si>
  <si>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</si>
  <si>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</si>
  <si>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</si>
  <si>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</si>
  <si>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</si>
  <si>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</si>
  <si>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</si>
  <si>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</si>
  <si>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</si>
  <si>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</si>
  <si>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</si>
  <si>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</si>
  <si>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</si>
  <si>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</si>
  <si>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</si>
  <si>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</si>
  <si>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</si>
  <si>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</si>
  <si>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</si>
  <si>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</si>
  <si>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</si>
  <si>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</si>
  <si>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</si>
  <si>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</si>
  <si>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</si>
  <si>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</si>
  <si>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</si>
  <si>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</si>
  <si>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</si>
  <si>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</si>
  <si>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</si>
  <si>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</si>
  <si>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</si>
  <si>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</si>
  <si>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</si>
  <si>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</si>
  <si>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</si>
  <si>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</si>
  <si>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</si>
  <si>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</si>
  <si>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</si>
  <si>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</si>
  <si>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</si>
  <si>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</si>
  <si>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</si>
  <si>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</si>
  <si>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</si>
  <si>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</si>
  <si>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</si>
  <si>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</si>
  <si>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</si>
  <si>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</si>
  <si>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</si>
  <si>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</si>
  <si>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</si>
  <si>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</si>
  <si>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</si>
  <si>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</si>
  <si>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</si>
  <si>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</si>
  <si>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</si>
  <si>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</si>
  <si>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</si>
  <si>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</si>
  <si>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</si>
  <si>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</si>
  <si>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</si>
  <si>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</si>
  <si>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</si>
  <si>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</si>
  <si>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</si>
  <si>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</si>
  <si>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</si>
  <si>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</si>
  <si>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</si>
  <si>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</si>
  <si>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</si>
  <si>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</si>
  <si>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</si>
  <si>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</si>
  <si>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</si>
  <si>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</si>
  <si>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</si>
  <si>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</si>
  <si>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</si>
  <si>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</si>
  <si>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</si>
  <si>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</si>
  <si>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</si>
  <si>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</si>
  <si>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</si>
  <si>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</si>
  <si>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</si>
  <si>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</si>
  <si>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</si>
  <si>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</si>
  <si>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</si>
  <si>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</si>
  <si>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</si>
  <si>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</si>
  <si>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</si>
  <si>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</si>
  <si>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</si>
  <si>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</si>
  <si>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</si>
  <si>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</si>
  <si>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</si>
  <si>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</si>
  <si>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</si>
  <si>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</si>
  <si>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</si>
  <si>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</si>
  <si>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</si>
  <si>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</si>
  <si>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</si>
  <si>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</si>
  <si>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</si>
  <si>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</si>
  <si>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</si>
  <si>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</si>
  <si>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</si>
  <si>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</si>
  <si>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</si>
  <si>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</si>
  <si>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</si>
  <si>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</si>
  <si>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</si>
  <si>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</si>
  <si>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</si>
  <si>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</si>
  <si>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</si>
  <si>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</si>
  <si>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</si>
  <si>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</si>
  <si>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</si>
  <si>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</si>
  <si>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</si>
  <si>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</si>
  <si>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</si>
  <si>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</si>
  <si>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</si>
  <si>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</si>
  <si>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</si>
  <si>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</si>
  <si>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</si>
  <si>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</si>
  <si>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</si>
  <si>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</si>
  <si>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</si>
  <si>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</si>
  <si>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</si>
  <si>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</si>
  <si>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</si>
  <si>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</si>
  <si>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</si>
  <si>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</si>
  <si>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</si>
  <si>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</si>
  <si>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</si>
  <si>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</si>
  <si>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</si>
  <si>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</si>
  <si>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</si>
  <si>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</si>
  <si>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</si>
  <si>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</si>
  <si>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</si>
  <si>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</si>
  <si>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</si>
  <si>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</si>
  <si>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</si>
  <si>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</si>
  <si>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</si>
  <si>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</si>
  <si>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</si>
  <si>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</si>
  <si>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</si>
  <si>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</si>
  <si>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</si>
  <si>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</si>
  <si>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</si>
  <si>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</si>
  <si>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</si>
  <si>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</si>
  <si>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</si>
  <si>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</si>
  <si>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</si>
  <si>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</si>
  <si>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</si>
  <si>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</si>
  <si>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</si>
  <si>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</si>
  <si>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</si>
  <si>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</si>
  <si>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</si>
  <si>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</si>
  <si>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</si>
  <si>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</si>
  <si>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</si>
  <si>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</si>
  <si>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</si>
  <si>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</si>
  <si>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</si>
  <si>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</si>
  <si>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</si>
  <si>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</si>
  <si>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</si>
  <si>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</si>
  <si>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</si>
  <si>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</si>
  <si>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</si>
  <si>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</si>
  <si>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</si>
  <si>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</si>
  <si>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</si>
  <si>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</si>
  <si>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</si>
  <si>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</si>
  <si>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</si>
  <si>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</si>
  <si>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</si>
  <si>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</si>
  <si>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</si>
  <si>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</si>
  <si>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</si>
  <si>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</si>
  <si>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</si>
  <si>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</si>
  <si>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</si>
  <si>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</si>
  <si>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</si>
  <si>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</si>
  <si>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</si>
  <si>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</si>
  <si>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</si>
  <si>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</si>
  <si>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</si>
  <si>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</si>
  <si>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</si>
  <si>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</si>
  <si>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</si>
  <si>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</si>
  <si>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</si>
  <si>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</si>
  <si>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</si>
  <si>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</si>
  <si>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</si>
  <si>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</si>
  <si>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</si>
  <si>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</si>
  <si>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</si>
  <si>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</si>
  <si>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</si>
  <si>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</si>
  <si>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</si>
  <si>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</si>
  <si>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</si>
  <si>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</si>
  <si>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</si>
  <si>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</si>
  <si>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</si>
  <si>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</si>
  <si>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</si>
  <si>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</si>
  <si>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</si>
  <si>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</si>
  <si>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</si>
  <si>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</si>
  <si>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</si>
  <si>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</si>
  <si>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</si>
  <si>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</si>
  <si>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</si>
  <si>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</si>
  <si>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</si>
  <si>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</si>
  <si>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</si>
  <si>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</si>
  <si>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</si>
  <si>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</si>
  <si>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</si>
  <si>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</si>
  <si>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</si>
  <si>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</si>
  <si>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</si>
  <si>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</si>
  <si>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</si>
  <si>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</si>
  <si>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</si>
  <si>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</si>
  <si>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</si>
  <si>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</si>
  <si>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</si>
  <si>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</si>
  <si>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</si>
  <si>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</si>
  <si>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</si>
  <si>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</si>
  <si>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</si>
  <si>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</si>
  <si>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</si>
  <si>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</si>
  <si>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</si>
  <si>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</si>
  <si>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</si>
  <si>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</si>
  <si>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</si>
  <si>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</si>
  <si>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</si>
  <si>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</si>
  <si>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</si>
  <si>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</si>
  <si>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</si>
  <si>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</si>
  <si>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</si>
  <si>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</si>
  <si>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</si>
  <si>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</si>
  <si>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</si>
  <si>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</si>
  <si>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</si>
  <si>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</si>
  <si>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</si>
  <si>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</si>
  <si>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</si>
  <si>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</si>
  <si>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</si>
  <si>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</si>
  <si>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</si>
  <si>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</si>
  <si>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</si>
  <si>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</si>
  <si>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</si>
  <si>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</si>
  <si>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</si>
  <si>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</si>
  <si>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</si>
  <si>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</si>
  <si>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</si>
  <si>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</si>
  <si>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</si>
  <si>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</si>
  <si>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</si>
  <si>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</si>
  <si>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</si>
  <si>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</si>
  <si>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</si>
  <si>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</si>
  <si>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</si>
  <si>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</si>
  <si>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</si>
  <si>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</si>
  <si>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</si>
  <si>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</si>
  <si>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</si>
  <si>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</si>
  <si>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</si>
  <si>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</si>
  <si>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</si>
  <si>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</si>
  <si>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</si>
  <si>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</si>
  <si>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</si>
  <si>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</si>
  <si>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</si>
  <si>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</si>
  <si>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</si>
  <si>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</si>
  <si>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</si>
  <si>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</si>
  <si>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</si>
  <si>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</si>
  <si>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</si>
  <si>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</si>
  <si>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</si>
  <si>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</si>
  <si>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</si>
  <si>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</si>
  <si>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</si>
  <si>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</si>
  <si>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</si>
  <si>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</si>
  <si>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</si>
  <si>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</si>
  <si>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</si>
  <si>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</si>
  <si>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</si>
  <si>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</si>
  <si>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</si>
  <si>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</si>
  <si>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</si>
  <si>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</si>
  <si>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</si>
  <si>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</si>
  <si>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</si>
  <si>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</si>
  <si>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</si>
  <si>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</si>
  <si>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</si>
  <si>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</si>
  <si>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</si>
  <si>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</si>
  <si>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</si>
  <si>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</si>
  <si>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</si>
  <si>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</si>
  <si>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</si>
  <si>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</si>
  <si>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</si>
  <si>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</si>
  <si>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</si>
  <si>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</si>
  <si>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</si>
  <si>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</si>
  <si>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</si>
  <si>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</si>
  <si>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</si>
  <si>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</si>
  <si>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</si>
  <si>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</si>
  <si>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</si>
  <si>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</si>
  <si>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</si>
  <si>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</si>
  <si>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</si>
  <si>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</si>
  <si>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</si>
  <si>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</si>
  <si>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</si>
  <si>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</si>
  <si>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</si>
  <si>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</si>
  <si>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</si>
  <si>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</si>
  <si>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</si>
  <si>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</si>
  <si>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</si>
  <si>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</si>
  <si>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</si>
  <si>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</si>
  <si>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</si>
  <si>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</si>
  <si>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</si>
  <si>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</si>
  <si>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</si>
  <si>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</si>
  <si>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</si>
  <si>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</si>
  <si>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</si>
  <si>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</si>
  <si>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</si>
  <si>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</si>
  <si>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</si>
  <si>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</si>
  <si>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</si>
  <si>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</si>
  <si>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</si>
  <si>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</si>
  <si>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</si>
  <si>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</si>
  <si>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</si>
  <si>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</si>
  <si>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</si>
  <si>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</si>
  <si>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</si>
  <si>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</si>
  <si>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</si>
  <si>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</si>
  <si>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</si>
  <si>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</si>
  <si>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</si>
  <si>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</si>
  <si>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</si>
  <si>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</si>
  <si>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</si>
  <si>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</si>
  <si>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</si>
  <si>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</si>
  <si>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</si>
  <si>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</si>
  <si>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</si>
  <si>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</si>
  <si>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</si>
  <si>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</si>
  <si>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</si>
  <si>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</si>
  <si>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</si>
  <si>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</si>
  <si>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</si>
  <si>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</si>
  <si>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</si>
  <si>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</si>
  <si>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</si>
  <si>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</si>
  <si>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</si>
  <si>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</si>
  <si>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</si>
  <si>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</si>
  <si>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</si>
  <si>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</si>
  <si>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</si>
  <si>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</si>
  <si>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</si>
  <si>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</si>
  <si>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</si>
  <si>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</si>
  <si>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</si>
  <si>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</si>
  <si>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</si>
  <si>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</si>
  <si>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</si>
  <si>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</si>
  <si>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</si>
  <si>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</si>
  <si>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</si>
  <si>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</si>
  <si>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</si>
  <si>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</si>
  <si>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</si>
  <si>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</si>
  <si>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</si>
  <si>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</si>
  <si>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</si>
  <si>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</si>
  <si>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</si>
  <si>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</si>
  <si>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</si>
  <si>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</si>
  <si>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</si>
  <si>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</si>
  <si>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</si>
  <si>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</si>
  <si>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</si>
  <si>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</si>
  <si>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</si>
  <si>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</si>
  <si>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</si>
  <si>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</si>
  <si>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</si>
  <si>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</si>
  <si>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</si>
  <si>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</si>
  <si>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</si>
  <si>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</si>
  <si>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</si>
  <si>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</si>
  <si>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</si>
  <si>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</si>
  <si>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</si>
  <si>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</si>
  <si>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</si>
  <si>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</si>
  <si>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</si>
  <si>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</si>
  <si>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</si>
  <si>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</si>
  <si>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</si>
  <si>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</si>
  <si>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</si>
  <si>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</si>
  <si>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</si>
  <si>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</si>
  <si>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</si>
  <si>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</si>
  <si>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</si>
  <si>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</si>
  <si>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</si>
  <si>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</si>
  <si>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</si>
  <si>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</si>
  <si>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</si>
  <si>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</si>
  <si>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</si>
  <si>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</si>
  <si>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</si>
  <si>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</si>
  <si>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</si>
  <si>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</si>
  <si>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</si>
  <si>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</si>
  <si>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</si>
  <si>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</si>
  <si>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</si>
  <si>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</si>
  <si>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</si>
  <si>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</si>
  <si>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</si>
  <si>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</si>
  <si>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</si>
  <si>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</si>
  <si>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</si>
  <si>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</si>
  <si>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</si>
  <si>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</si>
  <si>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</si>
  <si>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</si>
  <si>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</si>
  <si>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</si>
  <si>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</si>
  <si>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</si>
  <si>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</si>
  <si>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</si>
  <si>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</si>
  <si>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</si>
  <si>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</si>
  <si>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</si>
  <si>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</si>
  <si>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</si>
  <si>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</si>
  <si>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</si>
  <si>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</si>
  <si>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</si>
  <si>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</si>
  <si>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</si>
  <si>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</si>
  <si>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</si>
  <si>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</si>
  <si>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</si>
  <si>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</si>
  <si>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</si>
  <si>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</si>
  <si>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</si>
  <si>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</si>
  <si>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</si>
  <si>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</si>
  <si>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</si>
  <si>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</si>
  <si>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</si>
  <si>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</si>
  <si>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</si>
  <si>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</si>
  <si>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</si>
  <si>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</si>
  <si>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</si>
  <si>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</si>
  <si>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</si>
  <si>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</si>
  <si>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</si>
  <si>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</si>
  <si>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</si>
  <si>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</si>
  <si>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</si>
  <si>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</si>
  <si>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</si>
  <si>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</si>
  <si>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</si>
  <si>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</si>
  <si>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</si>
  <si>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</si>
  <si>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</si>
  <si>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</si>
  <si>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</si>
  <si>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</si>
  <si>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</si>
  <si>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</si>
  <si>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</si>
  <si>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</si>
  <si>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</si>
  <si>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</si>
  <si>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</si>
  <si>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</si>
  <si>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</si>
  <si>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</si>
  <si>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</si>
  <si>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</si>
  <si>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</si>
  <si>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</si>
  <si>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</si>
  <si>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</si>
  <si>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</si>
  <si>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</si>
  <si>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</si>
  <si>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</si>
  <si>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</si>
  <si>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</si>
  <si>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</si>
  <si>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</si>
  <si>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</si>
  <si>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</si>
  <si>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</si>
  <si>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</si>
  <si>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</si>
  <si>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</si>
  <si>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</si>
  <si>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</si>
  <si>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</si>
  <si>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</si>
  <si>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</si>
  <si>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</si>
  <si>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</si>
  <si>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</si>
  <si>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</si>
  <si>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</si>
  <si>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</si>
  <si>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</si>
  <si>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</si>
  <si>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</si>
  <si>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</si>
  <si>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</si>
  <si>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</si>
  <si>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</si>
  <si>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</si>
  <si>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</si>
  <si>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</si>
  <si>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</si>
  <si>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</si>
  <si>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</si>
  <si>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</si>
  <si>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</si>
  <si>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</si>
  <si>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</si>
  <si>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</si>
  <si>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</si>
  <si>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</si>
  <si>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</si>
  <si>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</si>
  <si>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</si>
  <si>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</si>
  <si>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</si>
  <si>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</si>
  <si>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</si>
  <si>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</si>
  <si>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</si>
  <si>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</si>
  <si>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</si>
  <si>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</si>
  <si>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</si>
  <si>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</si>
  <si>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</si>
  <si>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</si>
  <si>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</si>
  <si>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</si>
  <si>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</si>
  <si>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</si>
  <si>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</si>
  <si>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</si>
  <si>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</si>
  <si>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</si>
  <si>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</si>
  <si>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</si>
  <si>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</si>
  <si>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</si>
  <si>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</si>
  <si>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</si>
  <si>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</si>
  <si>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</si>
  <si>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</si>
  <si>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</si>
  <si>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</si>
  <si>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</si>
  <si>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</si>
  <si>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</si>
  <si>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</si>
  <si>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</si>
  <si>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</si>
  <si>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</si>
  <si>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</si>
  <si>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</si>
  <si>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</si>
  <si>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</si>
  <si>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</si>
  <si>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</si>
  <si>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</si>
  <si>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</si>
  <si>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</si>
  <si>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</si>
  <si>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</si>
  <si>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</si>
  <si>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</si>
  <si>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</si>
  <si>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</si>
  <si>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</si>
  <si>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</si>
  <si>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</si>
  <si>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</si>
  <si>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</si>
  <si>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</si>
  <si>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</si>
  <si>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</si>
  <si>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</si>
  <si>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</si>
  <si>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</si>
  <si>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</si>
  <si>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</si>
  <si>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</si>
  <si>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</si>
  <si>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</si>
  <si>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</si>
  <si>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</si>
  <si>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</si>
  <si>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</si>
  <si>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</si>
  <si>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</si>
  <si>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</si>
  <si>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</si>
  <si>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</si>
  <si>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</si>
  <si>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</si>
  <si>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</si>
  <si>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</si>
  <si>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</si>
  <si>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</si>
  <si>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</si>
  <si>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</si>
  <si>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</si>
  <si>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</si>
  <si>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</si>
  <si>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</si>
  <si>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</si>
  <si>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</si>
  <si>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</si>
  <si>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</si>
  <si>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</si>
  <si>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</si>
  <si>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</si>
  <si>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</si>
  <si>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</si>
  <si>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</si>
  <si>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</si>
  <si>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</si>
  <si>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</si>
  <si>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</si>
  <si>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</si>
  <si>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</si>
  <si>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</si>
  <si>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</si>
  <si>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</si>
  <si>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</si>
  <si>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</si>
  <si>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</si>
  <si>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</si>
  <si>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</si>
  <si>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</si>
  <si>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</si>
  <si>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</si>
  <si>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</si>
  <si>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</si>
  <si>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</si>
  <si>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</si>
  <si>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</si>
  <si>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</si>
  <si>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</si>
  <si>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</si>
  <si>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</si>
  <si>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</si>
  <si>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</si>
  <si>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</si>
  <si>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</si>
  <si>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</si>
  <si>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</si>
  <si>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</si>
  <si>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</si>
  <si>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</si>
  <si>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</si>
  <si>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</si>
  <si>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</si>
  <si>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</si>
  <si>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</si>
  <si>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</si>
  <si>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</si>
  <si>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</si>
  <si>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</si>
  <si>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</si>
  <si>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</si>
  <si>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</si>
  <si>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</si>
  <si>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</si>
  <si>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</si>
  <si>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</si>
  <si>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</si>
  <si>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</si>
  <si>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</si>
  <si>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</si>
  <si>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</si>
  <si>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</si>
  <si>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</si>
  <si>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</si>
  <si>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</si>
  <si>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</si>
  <si>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</si>
  <si>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</si>
  <si>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</si>
  <si>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</si>
  <si>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</si>
  <si>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</si>
  <si>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</si>
  <si>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</si>
  <si>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</si>
  <si>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</si>
  <si>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</si>
  <si>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</si>
  <si>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</si>
  <si>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</si>
  <si>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</si>
  <si>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</si>
  <si>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</si>
  <si>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</si>
  <si>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</si>
  <si>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</si>
  <si>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</si>
  <si>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</si>
  <si>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</si>
  <si>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</si>
  <si>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</si>
  <si>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</si>
  <si>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</si>
  <si>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</si>
  <si>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</si>
  <si>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</si>
  <si>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</si>
  <si>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</si>
  <si>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</si>
  <si>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</si>
  <si>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</si>
  <si>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</si>
  <si>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</si>
  <si>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</si>
  <si>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</si>
  <si>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</si>
  <si>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</si>
  <si>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</si>
  <si>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</si>
  <si>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</si>
  <si>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</si>
  <si>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</si>
  <si>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</si>
  <si>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</si>
  <si>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</si>
  <si>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</si>
  <si>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</si>
  <si>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</si>
  <si>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</si>
  <si>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</si>
  <si>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</si>
  <si>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</si>
  <si>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</si>
  <si>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</si>
  <si>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</si>
  <si>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</si>
  <si>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</si>
  <si>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</si>
  <si>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</si>
  <si>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</si>
  <si>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</si>
  <si>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</si>
  <si>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</si>
  <si>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</si>
  <si>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</si>
  <si>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</si>
  <si>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</si>
  <si>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</si>
  <si>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</si>
  <si>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</si>
  <si>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</si>
  <si>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</si>
  <si>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</si>
  <si>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</si>
  <si>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</si>
  <si>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</si>
  <si>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</si>
  <si>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</si>
  <si>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</si>
  <si>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</si>
  <si>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</si>
  <si>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</si>
  <si>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</si>
  <si>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</si>
  <si>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</si>
  <si>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</si>
  <si>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</si>
  <si>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</si>
  <si>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</si>
  <si>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</si>
  <si>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</si>
  <si>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</si>
  <si>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</si>
  <si>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</si>
  <si>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</si>
  <si>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</si>
  <si>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</si>
  <si>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</si>
  <si>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</si>
  <si>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</si>
  <si>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</si>
  <si>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</si>
  <si>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</si>
  <si>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</si>
  <si>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</si>
  <si>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</si>
  <si>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</si>
  <si>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Carlo Jan 22</t>
  </si>
  <si>
    <t>Graves Jan 22</t>
  </si>
  <si>
    <t>benson Jan 22</t>
  </si>
  <si>
    <t>Holloway Jan 24</t>
  </si>
  <si>
    <t>Goncalves Jan 24</t>
  </si>
  <si>
    <t>Sandin Jan 25</t>
  </si>
  <si>
    <t xml:space="preserve">Boeser Jan 25 </t>
  </si>
  <si>
    <t>Zadarov Jan 24</t>
  </si>
  <si>
    <t>Kurashev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</si>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</sst>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46049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46050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1588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46049</v>
      </c>
      <c r="B5" s="1" t="str" cm="1">
        <f t="array" aca="1" ref="B5:C30" ca="1">_xlfn._xlws.FILTER('2026'!A:B,('2026'!C:C=Projections!B1)+('2026'!C:C=Projections!B2))</f>
        <v>2025020831 BUF</v>
      </c>
      <c r="C5">
        <f ca="1"/>
        <v>2025020831</v>
      </c>
      <c r="D5" s="7">
        <f ca="1">_xlfn.XLOOKUP(B5,'2026'!A:A,'2026'!AT:AT)</f>
        <v>3.0713333500216438</v>
      </c>
      <c r="E5" s="7">
        <f ca="1">_xlfn.XLOOKUP(B5,'2026'!A:A,'2026'!Z:Z)</f>
        <v>1.0149999999999999</v>
      </c>
      <c r="F5" s="39" t="str">
        <f ca="1">_xlfn.XLOOKUP(B5,'2026'!A:A,'2026'!E:E)</f>
        <v>BUF</v>
      </c>
      <c r="G5" s="5">
        <f ca="1">D5/E6</f>
        <v>3.1663230412594268</v>
      </c>
      <c r="H5" s="5">
        <f ca="1">SUMIFS(Goalies!$J:$J,Goalies!$C:$C,Projections!$F5,Goalies!$A:$A,Projections!H$2)</f>
        <v>1.0149999999999999</v>
      </c>
      <c r="I5" s="5">
        <f ca="1">SUMIFS(Goalies!$J:$J,Goalies!$C:$C,Projections!$F5,Goalies!$A:$A,Projections!I$2)</f>
        <v>1.0149999999999999</v>
      </c>
      <c r="J5" s="5">
        <f ca="1">SUMIFS(Goalies!$J:$J,Goalies!$C:$C,Projections!$F5,Goalies!$A:$A,Projections!J$2)</f>
        <v>0.99</v>
      </c>
      <c r="K5" s="5">
        <f ca="1">SUMIFS(Goalies!$J:$J,Goalies!$C:$C,Projections!$F5,Goalies!$A:$A,Projections!K$2)</f>
        <v>0.99</v>
      </c>
      <c r="L5" s="5">
        <f ca="1">IFERROR($G5*H6,0)</f>
        <v>3.1979862716720211</v>
      </c>
      <c r="M5" s="5">
        <f ca="1">IFERROR($G5*I6,0)</f>
        <v>3.0713333500216438</v>
      </c>
      <c r="N5" s="5">
        <f ca="1">IFERROR($G5*J6,0)</f>
        <v>3.1979862716720211</v>
      </c>
      <c r="O5" s="5">
        <f ca="1">IFERROR($G5*K6,0)</f>
        <v>3.0713333500216438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Ukko-Pekka Luukkonen</v>
      </c>
      <c r="R5" s="5" t="str" cm="1">
        <f t="array" aca="1" ref="R5" ca="1">_xlfn.XLOOKUP(1, (Goalies!C:C=Projections!W5)*(Goalies!A:A=Projections!$R$4), Goalies!D:D)</f>
        <v>Alex Lyon</v>
      </c>
      <c r="S5" s="24">
        <v>1</v>
      </c>
      <c r="T5" s="5">
        <f ca="1">IFERROR(L5*S6+(1-S6)*M5,0)</f>
        <v>3.0713333500216438</v>
      </c>
      <c r="U5" s="5"/>
      <c r="V5" s="5"/>
      <c r="W5" s="40" t="str">
        <f t="shared" ref="W5:W12" ca="1" si="0">F5</f>
        <v>BUF</v>
      </c>
      <c r="X5" s="43">
        <f ca="1">'2026'!BJ3</f>
        <v>104</v>
      </c>
      <c r="Y5" s="43">
        <f ca="1">'2026'!BK3</f>
        <v>-142</v>
      </c>
      <c r="Z5" s="43">
        <f ca="1">'2026'!BL3</f>
        <v>-115</v>
      </c>
      <c r="AA5" s="43">
        <f ca="1">'2026'!BM3</f>
        <v>111</v>
      </c>
    </row>
    <row r="6" spans="1:27" x14ac:dyDescent="0.2">
      <c r="A6" s="34">
        <f ca="1">IF(D6=0,"0",(_xlfn.XLOOKUP(B6,'2026'!A:A,'2026'!C:C)))</f>
        <v>46049</v>
      </c>
      <c r="B6" t="str">
        <f ca="1"/>
        <v>2025020831 TOR</v>
      </c>
      <c r="C6">
        <f ca="1"/>
        <v>2025020831</v>
      </c>
      <c r="D6" s="7">
        <f ca="1">_xlfn.XLOOKUP(B6,'2026'!A:A,'2026'!AT:AT)</f>
        <v>3.0877083454054053</v>
      </c>
      <c r="E6" s="7">
        <f ca="1">_xlfn.XLOOKUP(B6,'2026'!A:A,'2026'!Z:Z)</f>
        <v>0.97</v>
      </c>
      <c r="F6" s="39" t="str">
        <f ca="1">_xlfn.XLOOKUP(B6,'2026'!A:A,'2026'!E:E)</f>
        <v>TOR</v>
      </c>
      <c r="G6" s="5">
        <f ca="1">D6/E5</f>
        <v>3.0420771875915325</v>
      </c>
      <c r="H6" s="5">
        <f ca="1">SUMIFS(Goalies!$J:$J,Goalies!$C:$C,Projections!$F6,Goalies!$A:$A,Projections!H$4)</f>
        <v>1.01</v>
      </c>
      <c r="I6" s="5">
        <f ca="1">SUMIFS(Goalies!$J:$J,Goalies!$C:$C,Projections!$F6,Goalies!$A:$A,Projections!I$4)</f>
        <v>0.97</v>
      </c>
      <c r="J6" s="5">
        <f ca="1">SUMIFS(Goalies!$J:$J,Goalies!$C:$C,Projections!$F6,Goalies!$A:$A,Projections!J$4)</f>
        <v>1.01</v>
      </c>
      <c r="K6" s="5">
        <f ca="1">SUMIFS(Goalies!$J:$J,Goalies!$C:$C,Projections!$F6,Goalies!$A:$A,Projections!K$4)</f>
        <v>0.97</v>
      </c>
      <c r="L6" s="5">
        <f ca="1">IFERROR($G6*H5,0)</f>
        <v>3.0877083454054053</v>
      </c>
      <c r="M6" s="5">
        <f ca="1">IFERROR($G6*I5,0)</f>
        <v>3.0877083454054053</v>
      </c>
      <c r="N6" s="5">
        <f ca="1">IFERROR($G6*J5,0)</f>
        <v>3.0116564157156169</v>
      </c>
      <c r="O6" s="5">
        <f ca="1">IFERROR($G6*K5,0)</f>
        <v>3.0116564157156169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Anthony Stolarz</v>
      </c>
      <c r="R6" s="5" t="str" cm="1">
        <f t="array" aca="1" ref="R6" ca="1">_xlfn.XLOOKUP(1, (Goalies!C:C=Projections!W6)*(Goalies!A:A=Projections!$R$4), Goalies!D:D)</f>
        <v>Joseph Woll</v>
      </c>
      <c r="S6" s="24">
        <v>0</v>
      </c>
      <c r="T6" s="5">
        <f ca="1">IFERROR(L6*S5+(1-S5)*N6,0)</f>
        <v>3.0877083454054053</v>
      </c>
      <c r="U6" s="5"/>
      <c r="V6" s="5"/>
      <c r="W6" s="40" t="str">
        <f t="shared" ca="1" si="0"/>
        <v>TOR</v>
      </c>
      <c r="X6" s="43">
        <f ca="1">'2026'!BJ4</f>
        <v>-104</v>
      </c>
      <c r="Y6" s="43">
        <f ca="1">'2026'!BK4</f>
        <v>142</v>
      </c>
      <c r="Z6" s="43">
        <f ca="1">'2026'!BL4</f>
        <v>115</v>
      </c>
      <c r="AA6" s="43">
        <f ca="1">'2026'!BM4</f>
        <v>-111</v>
      </c>
    </row>
    <row r="7" spans="1:27" x14ac:dyDescent="0.2">
      <c r="A7" s="34">
        <f ca="1">IF(D7=0,"0",(_xlfn.XLOOKUP(B7,'2026'!A:A,'2026'!C:C)))</f>
        <v>46049</v>
      </c>
      <c r="B7" t="str">
        <f ca="1"/>
        <v>2025020833 LAK</v>
      </c>
      <c r="C7">
        <f ca="1"/>
        <v>2025020833</v>
      </c>
      <c r="D7" s="7">
        <f ca="1">_xlfn.XLOOKUP(B7,'2026'!A:A,'2026'!AT:AT)</f>
        <v>2.6521823180675148</v>
      </c>
      <c r="E7" s="7">
        <f ca="1">_xlfn.XLOOKUP(B7,'2026'!A:A,'2026'!Z:Z)</f>
        <v>0.97499999999999998</v>
      </c>
      <c r="F7" s="39" t="str">
        <f ca="1">_xlfn.XLOOKUP(B7,'2026'!A:A,'2026'!E:E)</f>
        <v>LAK</v>
      </c>
      <c r="G7" s="5">
        <f ca="1">D7/E8</f>
        <v>2.6925708812868172</v>
      </c>
      <c r="H7" s="5">
        <f ca="1">SUMIFS(Goalies!$J:$J,Goalies!$C:$C,Projections!$F7,Goalies!$A:$A,Projections!H$2)</f>
        <v>0.97499999999999998</v>
      </c>
      <c r="I7" s="5">
        <f ca="1">SUMIFS(Goalies!$J:$J,Goalies!$C:$C,Projections!$F7,Goalies!$A:$A,Projections!I$2)</f>
        <v>0.97499999999999998</v>
      </c>
      <c r="J7" s="5">
        <f ca="1">SUMIFS(Goalies!$J:$J,Goalies!$C:$C,Projections!$F7,Goalies!$A:$A,Projections!J$2)</f>
        <v>1.04</v>
      </c>
      <c r="K7" s="5">
        <f ca="1">SUMIFS(Goalies!$J:$J,Goalies!$C:$C,Projections!$F7,Goalies!$A:$A,Projections!K$2)</f>
        <v>1.04</v>
      </c>
      <c r="L7" s="5">
        <f ca="1">IFERROR($G7*H8,0)</f>
        <v>2.6521823180675148</v>
      </c>
      <c r="M7" s="5">
        <f ca="1">IFERROR($G7*I8,0)</f>
        <v>2.7464222989125537</v>
      </c>
      <c r="N7" s="5">
        <f ca="1">IFERROR($G7*J8,0)</f>
        <v>2.6521823180675148</v>
      </c>
      <c r="O7" s="5">
        <f ca="1">IFERROR($G7*K8,0)</f>
        <v>2.7464222989125537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Darcy Kuemper</v>
      </c>
      <c r="R7" s="5" t="str" cm="1">
        <f t="array" aca="1" ref="R7" ca="1">_xlfn.XLOOKUP(1, (Goalies!C:C=Projections!W7)*(Goalies!A:A=Projections!$R$4), Goalies!D:D)</f>
        <v>Anton Forsberg</v>
      </c>
      <c r="S7" s="24">
        <v>0</v>
      </c>
      <c r="T7" s="5">
        <f ca="1">IFERROR(L7*S8+(1-S8)*M7,0)</f>
        <v>2.7464222989125537</v>
      </c>
      <c r="U7" s="5"/>
      <c r="V7" s="5"/>
      <c r="W7" t="str">
        <f t="shared" ca="1" si="0"/>
        <v>LAK</v>
      </c>
      <c r="X7" s="2">
        <f ca="1">'2026'!BJ5</f>
        <v>124</v>
      </c>
      <c r="Y7" s="2">
        <f ca="1">'2026'!BK5</f>
        <v>-112</v>
      </c>
      <c r="Z7" s="2">
        <f ca="1">'2026'!BL5</f>
        <v>113</v>
      </c>
      <c r="AA7" s="2">
        <f ca="1">'2026'!BM5</f>
        <v>141</v>
      </c>
    </row>
    <row r="8" spans="1:27" x14ac:dyDescent="0.2">
      <c r="A8" s="34">
        <f ca="1">IF(D8=0,"0",(_xlfn.XLOOKUP(B8,'2026'!A:A,'2026'!C:C)))</f>
        <v>46049</v>
      </c>
      <c r="B8" t="str">
        <f ca="1"/>
        <v>2025020833 DET</v>
      </c>
      <c r="C8">
        <f ca="1"/>
        <v>2025020833</v>
      </c>
      <c r="D8" s="7">
        <f ca="1">_xlfn.XLOOKUP(B8,'2026'!A:A,'2026'!AT:AT)</f>
        <v>2.8618398623310815</v>
      </c>
      <c r="E8" s="7">
        <f ca="1">_xlfn.XLOOKUP(B8,'2026'!A:A,'2026'!Z:Z)</f>
        <v>0.98499999999999999</v>
      </c>
      <c r="F8" s="39" t="str">
        <f ca="1">_xlfn.XLOOKUP(B8,'2026'!A:A,'2026'!E:E)</f>
        <v>DET</v>
      </c>
      <c r="G8" s="5">
        <f ca="1">D8/E7</f>
        <v>2.9352203716216221</v>
      </c>
      <c r="H8" s="5">
        <f ca="1">SUMIFS(Goalies!$J:$J,Goalies!$C:$C,Projections!$F8,Goalies!$A:$A,Projections!H$4)</f>
        <v>0.98499999999999999</v>
      </c>
      <c r="I8" s="5">
        <f ca="1">SUMIFS(Goalies!$J:$J,Goalies!$C:$C,Projections!$F8,Goalies!$A:$A,Projections!I$4)</f>
        <v>1.02</v>
      </c>
      <c r="J8" s="5">
        <f ca="1">SUMIFS(Goalies!$J:$J,Goalies!$C:$C,Projections!$F8,Goalies!$A:$A,Projections!J$4)</f>
        <v>0.98499999999999999</v>
      </c>
      <c r="K8" s="5">
        <f ca="1">SUMIFS(Goalies!$J:$J,Goalies!$C:$C,Projections!$F8,Goalies!$A:$A,Projections!K$4)</f>
        <v>1.02</v>
      </c>
      <c r="L8" s="5">
        <f ca="1">IFERROR($G8*H7,0)</f>
        <v>2.8618398623310815</v>
      </c>
      <c r="M8" s="5">
        <f ca="1">IFERROR($G8*I7,0)</f>
        <v>2.8618398623310815</v>
      </c>
      <c r="N8" s="5">
        <f ca="1">IFERROR($G8*J7,0)</f>
        <v>3.0526291864864872</v>
      </c>
      <c r="O8" s="5">
        <f ca="1">IFERROR($G8*K7,0)</f>
        <v>3.0526291864864872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John Gibson</v>
      </c>
      <c r="R8" s="5" t="str" cm="1">
        <f t="array" aca="1" ref="R8" ca="1">_xlfn.XLOOKUP(1, (Goalies!C:C=Projections!W8)*(Goalies!A:A=Projections!$R$4), Goalies!D:D)</f>
        <v>Cam Talbot</v>
      </c>
      <c r="S8" s="24">
        <v>0</v>
      </c>
      <c r="T8" s="5">
        <f ca="1">IFERROR(L8*S7+(1-S7)*N8,0)</f>
        <v>3.0526291864864872</v>
      </c>
      <c r="U8" s="5"/>
      <c r="V8" s="5"/>
      <c r="W8" t="str">
        <f t="shared" ca="1" si="0"/>
        <v>DET</v>
      </c>
      <c r="X8" s="2">
        <f ca="1">'2026'!BJ6</f>
        <v>-124</v>
      </c>
      <c r="Y8" s="2">
        <f ca="1">'2026'!BK6</f>
        <v>112</v>
      </c>
      <c r="Z8" s="2">
        <f ca="1">'2026'!BL6</f>
        <v>-113</v>
      </c>
      <c r="AA8" s="2">
        <f ca="1">'2026'!BM6</f>
        <v>-141</v>
      </c>
    </row>
    <row r="9" spans="1:27" x14ac:dyDescent="0.2">
      <c r="A9" s="34">
        <f ca="1">IF(D9=0,"0",(_xlfn.XLOOKUP(B9,'2026'!A:A,'2026'!C:C)))</f>
        <v>46049</v>
      </c>
      <c r="B9" t="str">
        <f ca="1"/>
        <v>2025020830 NSH</v>
      </c>
      <c r="C9">
        <f ca="1"/>
        <v>2025020830</v>
      </c>
      <c r="D9" s="7">
        <f ca="1">_xlfn.XLOOKUP(B9,'2026'!A:A,'2026'!AT:AT)</f>
        <v>3.0650645845276849</v>
      </c>
      <c r="E9" s="7">
        <f ca="1">_xlfn.XLOOKUP(B9,'2026'!A:A,'2026'!Z:Z)</f>
        <v>0.99094124800379646</v>
      </c>
      <c r="F9" s="39" t="str">
        <f ca="1">_xlfn.XLOOKUP(B9,'2026'!A:A,'2026'!E:E)</f>
        <v>NSH</v>
      </c>
      <c r="G9" s="5">
        <f ca="1">D9/E10</f>
        <v>3.1436559841309588</v>
      </c>
      <c r="H9" s="5">
        <f ca="1">SUMIFS(Goalies!$J:$J,Goalies!$C:$C,Projections!$F9,Goalies!$A:$A,Projections!H$2)</f>
        <v>0.99094124800379646</v>
      </c>
      <c r="I9" s="5">
        <f ca="1">SUMIFS(Goalies!$J:$J,Goalies!$C:$C,Projections!$F9,Goalies!$A:$A,Projections!I$2)</f>
        <v>0.99094124800379646</v>
      </c>
      <c r="J9" s="5">
        <f ca="1">SUMIFS(Goalies!$J:$J,Goalies!$C:$C,Projections!$F9,Goalies!$A:$A,Projections!J$2)</f>
        <v>1.02</v>
      </c>
      <c r="K9" s="5">
        <f ca="1">SUMIFS(Goalies!$J:$J,Goalies!$C:$C,Projections!$F9,Goalies!$A:$A,Projections!K$2)</f>
        <v>1.02</v>
      </c>
      <c r="L9" s="5">
        <f ca="1">IFERROR($G9*H10,0)</f>
        <v>3.0650645845276849</v>
      </c>
      <c r="M9" s="5">
        <f ca="1">IFERROR($G9*I10,0)</f>
        <v>3.2694022234961975</v>
      </c>
      <c r="N9" s="5">
        <f ca="1">IFERROR($G9*J10,0)</f>
        <v>3.0650645845276849</v>
      </c>
      <c r="O9" s="5">
        <f ca="1">IFERROR($G9*K10,0)</f>
        <v>3.2694022234961975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Juuse Saros</v>
      </c>
      <c r="R9" s="5" t="str" cm="1">
        <f t="array" aca="1" ref="R9" ca="1">_xlfn.XLOOKUP(1, (Goalies!C:C=Projections!W9)*(Goalies!A:A=Projections!$R$4), Goalies!D:D)</f>
        <v>Justus Annunen</v>
      </c>
      <c r="S9" s="24">
        <v>0</v>
      </c>
      <c r="T9" s="5">
        <f ca="1">IFERROR(L9*S10+(1-S10)*M9,0)</f>
        <v>3.0650645845276849</v>
      </c>
      <c r="U9" s="5"/>
      <c r="V9" s="5"/>
      <c r="W9" s="40" t="str">
        <f t="shared" ca="1" si="0"/>
        <v>NSH</v>
      </c>
      <c r="X9" s="43">
        <f ca="1">'2026'!BJ7</f>
        <v>117</v>
      </c>
      <c r="Y9" s="43">
        <f ca="1">'2026'!BK7</f>
        <v>-161</v>
      </c>
      <c r="Z9" s="43">
        <f ca="1">'2026'!BL7</f>
        <v>-132</v>
      </c>
      <c r="AA9" s="43">
        <f ca="1">'2026'!BM7</f>
        <v>-102</v>
      </c>
    </row>
    <row r="10" spans="1:27" x14ac:dyDescent="0.2">
      <c r="A10" s="34">
        <f ca="1">IF(D10=0,"0",(_xlfn.XLOOKUP(B10,'2026'!A:A,'2026'!C:C)))</f>
        <v>46049</v>
      </c>
      <c r="B10" t="str">
        <f ca="1"/>
        <v>2025020830 BOS</v>
      </c>
      <c r="C10">
        <f ca="1"/>
        <v>2025020830</v>
      </c>
      <c r="D10" s="7">
        <f ca="1">_xlfn.XLOOKUP(B10,'2026'!A:A,'2026'!AT:AT)</f>
        <v>3.1961360790659237</v>
      </c>
      <c r="E10" s="7">
        <f ca="1">_xlfn.XLOOKUP(B10,'2026'!A:A,'2026'!Z:Z)</f>
        <v>0.97499999999999998</v>
      </c>
      <c r="F10" s="39" t="str">
        <f ca="1">_xlfn.XLOOKUP(B10,'2026'!A:A,'2026'!E:E)</f>
        <v>BOS</v>
      </c>
      <c r="G10" s="5">
        <f ca="1">D10/E9</f>
        <v>3.2253537588675276</v>
      </c>
      <c r="H10" s="5">
        <f ca="1">SUMIFS(Goalies!$J:$J,Goalies!$C:$C,Projections!$F10,Goalies!$A:$A,Projections!H$4)</f>
        <v>0.97499999999999998</v>
      </c>
      <c r="I10" s="5">
        <f ca="1">SUMIFS(Goalies!$J:$J,Goalies!$C:$C,Projections!$F10,Goalies!$A:$A,Projections!I$4)</f>
        <v>1.04</v>
      </c>
      <c r="J10" s="5">
        <f ca="1">SUMIFS(Goalies!$J:$J,Goalies!$C:$C,Projections!$F10,Goalies!$A:$A,Projections!J$4)</f>
        <v>0.97499999999999998</v>
      </c>
      <c r="K10" s="5">
        <f ca="1">SUMIFS(Goalies!$J:$J,Goalies!$C:$C,Projections!$F10,Goalies!$A:$A,Projections!K$4)</f>
        <v>1.04</v>
      </c>
      <c r="L10" s="5">
        <f ca="1">IFERROR($G10*H9,0)</f>
        <v>3.1961360790659237</v>
      </c>
      <c r="M10" s="5">
        <f ca="1">IFERROR($G10*I9,0)</f>
        <v>3.1961360790659237</v>
      </c>
      <c r="N10" s="5">
        <f ca="1">IFERROR($G10*J9,0)</f>
        <v>3.2898608340448781</v>
      </c>
      <c r="O10" s="5">
        <f ca="1">IFERROR($G10*K9,0)</f>
        <v>3.2898608340448781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Jeremy Swayman</v>
      </c>
      <c r="R10" s="5" t="str" cm="1">
        <f t="array" aca="1" ref="R10" ca="1">_xlfn.XLOOKUP(1, (Goalies!C:C=Projections!W10)*(Goalies!A:A=Projections!$R$4), Goalies!D:D)</f>
        <v>Joonas Korpisalo</v>
      </c>
      <c r="S10" s="24">
        <v>1</v>
      </c>
      <c r="T10" s="5">
        <f ca="1">IFERROR(L10*S9+(1-S9)*N10,0)</f>
        <v>3.2898608340448781</v>
      </c>
      <c r="U10" s="5"/>
      <c r="V10" s="5"/>
      <c r="W10" s="40" t="str">
        <f t="shared" ca="1" si="0"/>
        <v>BOS</v>
      </c>
      <c r="X10" s="43">
        <f ca="1">'2026'!BJ8</f>
        <v>-117</v>
      </c>
      <c r="Y10" s="43">
        <f ca="1">'2026'!BK8</f>
        <v>161</v>
      </c>
      <c r="Z10" s="43">
        <f ca="1">'2026'!BL8</f>
        <v>132</v>
      </c>
      <c r="AA10" s="43">
        <f ca="1">'2026'!BM8</f>
        <v>102</v>
      </c>
    </row>
    <row r="11" spans="1:27" x14ac:dyDescent="0.2">
      <c r="A11" s="34">
        <f ca="1">IF(D11=0,"0",(_xlfn.XLOOKUP(B11,'2026'!A:A,'2026'!C:C)))</f>
        <v>46049</v>
      </c>
      <c r="B11" t="str">
        <f ca="1"/>
        <v>2025020834 UTA</v>
      </c>
      <c r="C11">
        <f ca="1"/>
        <v>2025020834</v>
      </c>
      <c r="D11" s="7">
        <f ca="1">_xlfn.XLOOKUP(B11,'2026'!A:A,'2026'!AT:AT)</f>
        <v>2.8177116718205104</v>
      </c>
      <c r="E11" s="7">
        <f ca="1">_xlfn.XLOOKUP(B11,'2026'!A:A,'2026'!Z:Z)</f>
        <v>1.05</v>
      </c>
      <c r="F11" s="39" t="str">
        <f ca="1">_xlfn.XLOOKUP(B11,'2026'!A:A,'2026'!E:E)</f>
        <v>UTA</v>
      </c>
      <c r="G11" s="5">
        <f ca="1">D11/E12</f>
        <v>2.8177116718205104</v>
      </c>
      <c r="H11" s="5">
        <f ca="1">SUMIFS(Goalies!$J:$J,Goalies!$C:$C,Projections!$F11,Goalies!$A:$A,Projections!H$2)</f>
        <v>0.97</v>
      </c>
      <c r="I11" s="5">
        <f ca="1">SUMIFS(Goalies!$J:$J,Goalies!$C:$C,Projections!$F11,Goalies!$A:$A,Projections!I$2)</f>
        <v>0.97</v>
      </c>
      <c r="J11" s="5">
        <f ca="1">SUMIFS(Goalies!$J:$J,Goalies!$C:$C,Projections!$F11,Goalies!$A:$A,Projections!J$2)</f>
        <v>1.05</v>
      </c>
      <c r="K11" s="5">
        <f ca="1">SUMIFS(Goalies!$J:$J,Goalies!$C:$C,Projections!$F11,Goalies!$A:$A,Projections!K$2)</f>
        <v>1.05</v>
      </c>
      <c r="L11" s="5">
        <f ca="1">IFERROR($G11*H12,0)</f>
        <v>2.8177116718205104</v>
      </c>
      <c r="M11" s="5">
        <f ca="1">IFERROR($G11*I12,0)</f>
        <v>2.8177116718205104</v>
      </c>
      <c r="N11" s="5">
        <f ca="1">IFERROR($G11*J12,0)</f>
        <v>2.8177116718205104</v>
      </c>
      <c r="O11" s="5">
        <f ca="1">IFERROR($G11*K12,0)</f>
        <v>2.8177116718205104</v>
      </c>
      <c r="P11" s="2" t="str">
        <f ca="1">_xlfn.XLOOKUP(B11,'2026'!A:A,'2026'!AS:AS)</f>
        <v>Strong</v>
      </c>
      <c r="Q11" s="5" t="str" cm="1">
        <f t="array" aca="1" ref="Q11" ca="1">_xlfn.XLOOKUP(1, (Goalies!C:C=Projections!W11)*(Goalies!A:A=Projections!$Q$4), Goalies!D:D)</f>
        <v>Karel Vejmelka</v>
      </c>
      <c r="R11" s="5" t="str" cm="1">
        <f t="array" aca="1" ref="R11" ca="1">_xlfn.XLOOKUP(1, (Goalies!C:C=Projections!W11)*(Goalies!A:A=Projections!$R$4), Goalies!D:D)</f>
        <v>Vitek Vanecek</v>
      </c>
      <c r="S11" s="24">
        <v>0</v>
      </c>
      <c r="T11" s="5">
        <f ca="1">IFERROR(L11*S12+(1-S12)*M11,0)</f>
        <v>2.8177116718205104</v>
      </c>
      <c r="U11" s="5"/>
      <c r="V11" s="5"/>
      <c r="W11" t="str">
        <f t="shared" ca="1" si="0"/>
        <v>UTA</v>
      </c>
      <c r="X11" s="2">
        <f ca="1">'2026'!BJ9</f>
        <v>147</v>
      </c>
      <c r="Y11" s="2">
        <f ca="1">'2026'!BK9</f>
        <v>-150</v>
      </c>
      <c r="Z11" s="2">
        <f ca="1">'2026'!BL9</f>
        <v>-121</v>
      </c>
      <c r="AA11" s="2">
        <f ca="1">'2026'!BM9</f>
        <v>106</v>
      </c>
    </row>
    <row r="12" spans="1:27" x14ac:dyDescent="0.2">
      <c r="A12" s="34">
        <f ca="1">IF(D12=0,"0",(_xlfn.XLOOKUP(B12,'2026'!A:A,'2026'!C:C)))</f>
        <v>46049</v>
      </c>
      <c r="B12" t="str">
        <f ca="1"/>
        <v>2025020834 FLA</v>
      </c>
      <c r="C12">
        <f ca="1"/>
        <v>2025020834</v>
      </c>
      <c r="D12" s="7">
        <f ca="1">_xlfn.XLOOKUP(B12,'2026'!A:A,'2026'!AT:AT)</f>
        <v>3.4197616089527036</v>
      </c>
      <c r="E12" s="7">
        <f ca="1">_xlfn.XLOOKUP(B12,'2026'!A:A,'2026'!Z:Z)</f>
        <v>1</v>
      </c>
      <c r="F12" s="39" t="str">
        <f ca="1">_xlfn.XLOOKUP(B12,'2026'!A:A,'2026'!E:E)</f>
        <v>FLA</v>
      </c>
      <c r="G12" s="5">
        <f ca="1">D12/E11</f>
        <v>3.2569158180501936</v>
      </c>
      <c r="H12" s="5">
        <f ca="1">SUMIFS(Goalies!$J:$J,Goalies!$C:$C,Projections!$F12,Goalies!$A:$A,Projections!H$4)</f>
        <v>1</v>
      </c>
      <c r="I12" s="5">
        <f ca="1">SUMIFS(Goalies!$J:$J,Goalies!$C:$C,Projections!$F12,Goalies!$A:$A,Projections!I$4)</f>
        <v>1</v>
      </c>
      <c r="J12" s="5">
        <f ca="1">SUMIFS(Goalies!$J:$J,Goalies!$C:$C,Projections!$F12,Goalies!$A:$A,Projections!J$4)</f>
        <v>1</v>
      </c>
      <c r="K12" s="5">
        <f ca="1">SUMIFS(Goalies!$J:$J,Goalies!$C:$C,Projections!$F12,Goalies!$A:$A,Projections!K$4)</f>
        <v>1</v>
      </c>
      <c r="L12" s="5">
        <f ca="1">IFERROR($G12*H11,0)</f>
        <v>3.1592083435086877</v>
      </c>
      <c r="M12" s="5">
        <f ca="1">IFERROR($G12*I11,0)</f>
        <v>3.1592083435086877</v>
      </c>
      <c r="N12" s="5">
        <f ca="1">IFERROR($G12*J11,0)</f>
        <v>3.4197616089527032</v>
      </c>
      <c r="O12" s="5">
        <f ca="1">IFERROR($G12*K11,0)</f>
        <v>3.4197616089527032</v>
      </c>
      <c r="P12" s="2" t="str">
        <f ca="1">_xlfn.XLOOKUP(B12,'2026'!A:A,'2026'!AS:AS)</f>
        <v>Strong</v>
      </c>
      <c r="Q12" s="5" t="str" cm="1">
        <f t="array" aca="1" ref="Q12" ca="1">_xlfn.XLOOKUP(1, (Goalies!C:C=Projections!W12)*(Goalies!A:A=Projections!$Q$4), Goalies!D:D)</f>
        <v>Sergei Bobrovsky</v>
      </c>
      <c r="R12" s="5" t="str" cm="1">
        <f t="array" aca="1" ref="R12" ca="1">_xlfn.XLOOKUP(1, (Goalies!C:C=Projections!W12)*(Goalies!A:A=Projections!$R$4), Goalies!D:D)</f>
        <v>Daniil Tarasov</v>
      </c>
      <c r="S12" s="24">
        <v>0</v>
      </c>
      <c r="T12" s="5">
        <f ca="1">IFERROR(L12*S11+(1-S11)*N12,0)</f>
        <v>3.4197616089527032</v>
      </c>
      <c r="U12" s="5"/>
      <c r="V12" s="5"/>
      <c r="W12" t="str">
        <f t="shared" ca="1" si="0"/>
        <v>FLA</v>
      </c>
      <c r="X12" s="2">
        <f ca="1">'2026'!BJ10</f>
        <v>-147</v>
      </c>
      <c r="Y12" s="2">
        <f ca="1">'2026'!BK10</f>
        <v>150</v>
      </c>
      <c r="Z12" s="2">
        <f ca="1">'2026'!BL10</f>
        <v>121</v>
      </c>
      <c r="AA12" s="2">
        <f ca="1">'2026'!BM10</f>
        <v>-106</v>
      </c>
    </row>
    <row r="13" spans="1:27" x14ac:dyDescent="0.2">
      <c r="A13" s="34">
        <f ca="1">IF(D13=0,"0",(_xlfn.XLOOKUP(B13,'2026'!A:A,'2026'!C:C)))</f>
        <v>46049</v>
      </c>
      <c r="B13" t="str">
        <f ca="1"/>
        <v>2025020832 VGK</v>
      </c>
      <c r="C13">
        <f ca="1"/>
        <v>2025020832</v>
      </c>
      <c r="D13" s="7">
        <f ca="1">_xlfn.XLOOKUP(B13,'2026'!A:A,'2026'!AT:AT)</f>
        <v>3.2221869209459455</v>
      </c>
      <c r="E13" s="7">
        <f ca="1">_xlfn.XLOOKUP(B13,'2026'!A:A,'2026'!Z:Z)</f>
        <v>1</v>
      </c>
      <c r="F13" s="39" t="str">
        <f ca="1">_xlfn.XLOOKUP(B13,'2026'!A:A,'2026'!E:E)</f>
        <v>VGK</v>
      </c>
      <c r="G13" s="5">
        <f ca="1">D13/E14</f>
        <v>3.159006785241123</v>
      </c>
      <c r="H13" s="5">
        <f ca="1">SUMIFS(Goalies!$J:$J,Goalies!$C:$C,Projections!$F13,Goalies!$A:$A,Projections!H$2)</f>
        <v>1</v>
      </c>
      <c r="I13" s="5">
        <f ca="1">SUMIFS(Goalies!$J:$J,Goalies!$C:$C,Projections!$F13,Goalies!$A:$A,Projections!I$2)</f>
        <v>1</v>
      </c>
      <c r="J13" s="5">
        <f ca="1">SUMIFS(Goalies!$J:$J,Goalies!$C:$C,Projections!$F13,Goalies!$A:$A,Projections!J$2)</f>
        <v>2.04</v>
      </c>
      <c r="K13" s="5">
        <f ca="1">SUMIFS(Goalies!$J:$J,Goalies!$C:$C,Projections!$F13,Goalies!$A:$A,Projections!K$2)</f>
        <v>2.04</v>
      </c>
      <c r="L13" s="5">
        <f ca="1">IFERROR($G13*H14,0)</f>
        <v>3.159006785241123</v>
      </c>
      <c r="M13" s="5">
        <f ca="1">IFERROR($G13*I14,0)</f>
        <v>6.3338086044084516</v>
      </c>
      <c r="N13" s="5">
        <f ca="1">IFERROR($G13*J14,0)</f>
        <v>3.159006785241123</v>
      </c>
      <c r="O13" s="5">
        <f ca="1">IFERROR($G13*K14,0)</f>
        <v>6.3338086044084516</v>
      </c>
      <c r="P13" s="2" t="str">
        <f ca="1">_xlfn.XLOOKUP(B13,'2026'!A:A,'2026'!AS:AS)</f>
        <v>Strong</v>
      </c>
      <c r="Q13" s="5" t="str" cm="1">
        <f t="array" aca="1" ref="Q13" ca="1">_xlfn.XLOOKUP(1, (Goalies!C:C=Projections!W13)*(Goalies!A:A=Projections!$Q$4), Goalies!D:D)</f>
        <v>Adin Hill</v>
      </c>
      <c r="R13" s="5" t="str" cm="1">
        <f t="array" aca="1" ref="R13" ca="1">_xlfn.XLOOKUP(1, (Goalies!C:C=Projections!W13)*(Goalies!A:A=Projections!$R$4), Goalies!D:D)</f>
        <v>Akira Schmid</v>
      </c>
      <c r="S13" s="24">
        <v>1</v>
      </c>
      <c r="T13" s="5">
        <f ca="1">IFERROR(L13*S14+(1-S14)*M13,0)</f>
        <v>3.159006785241123</v>
      </c>
      <c r="U13" s="5"/>
      <c r="V13" s="5"/>
      <c r="W13" s="40" t="str">
        <f t="shared" ref="W13:W54" ca="1" si="1">F13</f>
        <v>VGK</v>
      </c>
      <c r="X13" s="43">
        <f ca="1">'2026'!BJ11</f>
        <v>-110</v>
      </c>
      <c r="Y13" s="43">
        <f ca="1">'2026'!BK11</f>
        <v>-145</v>
      </c>
      <c r="Z13" s="43">
        <f ca="1">'2026'!BL11</f>
        <v>-117</v>
      </c>
      <c r="AA13" s="43">
        <f ca="1">'2026'!BM11</f>
        <v>109</v>
      </c>
    </row>
    <row r="14" spans="1:27" x14ac:dyDescent="0.2">
      <c r="A14" s="34">
        <f ca="1">IF(D14=0,"0",(_xlfn.XLOOKUP(B14,'2026'!A:A,'2026'!C:C)))</f>
        <v>46049</v>
      </c>
      <c r="B14" t="str">
        <f ca="1"/>
        <v>2025020832 MTL</v>
      </c>
      <c r="C14">
        <f ca="1"/>
        <v>2025020832</v>
      </c>
      <c r="D14" s="7">
        <f ca="1">_xlfn.XLOOKUP(B14,'2026'!A:A,'2026'!AT:AT)</f>
        <v>3.0340640273628638</v>
      </c>
      <c r="E14" s="7">
        <f ca="1">_xlfn.XLOOKUP(B14,'2026'!A:A,'2026'!Z:Z)</f>
        <v>1.02</v>
      </c>
      <c r="F14" s="39" t="str">
        <f ca="1">_xlfn.XLOOKUP(B14,'2026'!A:A,'2026'!E:E)</f>
        <v>MTL</v>
      </c>
      <c r="G14" s="5">
        <f ca="1">D14/E13</f>
        <v>3.0340640273628638</v>
      </c>
      <c r="H14" s="5">
        <f ca="1">SUMIFS(Goalies!$J:$J,Goalies!$C:$C,Projections!$F14,Goalies!$A:$A,Projections!H$4)</f>
        <v>1</v>
      </c>
      <c r="I14" s="5">
        <f ca="1">SUMIFS(Goalies!$J:$J,Goalies!$C:$C,Projections!$F14,Goalies!$A:$A,Projections!I$4)</f>
        <v>2.0049999999999999</v>
      </c>
      <c r="J14" s="5">
        <f ca="1">SUMIFS(Goalies!$J:$J,Goalies!$C:$C,Projections!$F14,Goalies!$A:$A,Projections!J$4)</f>
        <v>1</v>
      </c>
      <c r="K14" s="5">
        <f ca="1">SUMIFS(Goalies!$J:$J,Goalies!$C:$C,Projections!$F14,Goalies!$A:$A,Projections!K$4)</f>
        <v>2.0049999999999999</v>
      </c>
      <c r="L14" s="5">
        <f ca="1">IFERROR($G14*H13,0)</f>
        <v>3.0340640273628638</v>
      </c>
      <c r="M14" s="5">
        <f ca="1">IFERROR($G14*I13,0)</f>
        <v>3.0340640273628638</v>
      </c>
      <c r="N14" s="5">
        <f ca="1">IFERROR($G14*J13,0)</f>
        <v>6.1894906158202421</v>
      </c>
      <c r="O14" s="5">
        <f ca="1">IFERROR($G14*K13,0)</f>
        <v>6.1894906158202421</v>
      </c>
      <c r="P14" s="2" t="str">
        <f ca="1">_xlfn.XLOOKUP(B14,'2026'!A:A,'2026'!AS:AS)</f>
        <v>Strong</v>
      </c>
      <c r="Q14" s="5" t="str" cm="1">
        <f t="array" aca="1" ref="Q14" ca="1">_xlfn.XLOOKUP(1, (Goalies!C:C=Projections!W14)*(Goalies!A:A=Projections!$Q$4), Goalies!D:D)</f>
        <v>Sam Montembeault</v>
      </c>
      <c r="R14" s="5" t="str" cm="1">
        <f t="array" aca="1" ref="R14" ca="1">_xlfn.XLOOKUP(1, (Goalies!C:C=Projections!W14)*(Goalies!A:A=Projections!$R$4), Goalies!D:D)</f>
        <v>Jakub Dobes</v>
      </c>
      <c r="S14" s="24">
        <v>1</v>
      </c>
      <c r="T14" s="5">
        <f ca="1">IFERROR(L14*S13+(1-S13)*N14,0)</f>
        <v>3.0340640273628638</v>
      </c>
      <c r="U14" s="5"/>
      <c r="V14" s="5"/>
      <c r="W14" s="40" t="str">
        <f t="shared" ca="1" si="1"/>
        <v>MTL</v>
      </c>
      <c r="X14" s="43">
        <f ca="1">'2026'!BJ12</f>
        <v>110</v>
      </c>
      <c r="Y14" s="43">
        <f ca="1">'2026'!BK12</f>
        <v>145</v>
      </c>
      <c r="Z14" s="43">
        <f ca="1">'2026'!BL12</f>
        <v>117</v>
      </c>
      <c r="AA14" s="43">
        <f ca="1">'2026'!BM12</f>
        <v>-109</v>
      </c>
    </row>
    <row r="15" spans="1:27" x14ac:dyDescent="0.2">
      <c r="A15" s="34">
        <f ca="1">IF(D15=0,"0",(_xlfn.XLOOKUP(B15,'2026'!A:A,'2026'!C:C)))</f>
        <v>46049</v>
      </c>
      <c r="B15" t="str">
        <f ca="1"/>
        <v>2025020835 WPG</v>
      </c>
      <c r="C15">
        <f ca="1"/>
        <v>2025020835</v>
      </c>
      <c r="D15" s="7">
        <f ca="1">_xlfn.XLOOKUP(B15,'2026'!A:A,'2026'!AT:AT)</f>
        <v>2.7287833644243449</v>
      </c>
      <c r="E15" s="7">
        <f ca="1">_xlfn.XLOOKUP(B15,'2026'!A:A,'2026'!Z:Z)</f>
        <v>0.96499999999999997</v>
      </c>
      <c r="F15" s="39" t="str">
        <f ca="1">_xlfn.XLOOKUP(B15,'2026'!A:A,'2026'!E:E)</f>
        <v>WPG</v>
      </c>
      <c r="G15" s="5">
        <f ca="1">D15/E16</f>
        <v>2.7563468327518637</v>
      </c>
      <c r="H15" s="5">
        <f ca="1">SUMIFS(Goalies!$J:$J,Goalies!$C:$C,Projections!$F15,Goalies!$A:$A,Projections!H$2)</f>
        <v>0.96499999999999997</v>
      </c>
      <c r="I15" s="5">
        <f ca="1">SUMIFS(Goalies!$J:$J,Goalies!$C:$C,Projections!$F15,Goalies!$A:$A,Projections!I$2)</f>
        <v>0.96499999999999997</v>
      </c>
      <c r="J15" s="5">
        <f ca="1">SUMIFS(Goalies!$J:$J,Goalies!$C:$C,Projections!$F15,Goalies!$A:$A,Projections!J$2)</f>
        <v>1.06</v>
      </c>
      <c r="K15" s="5">
        <f ca="1">SUMIFS(Goalies!$J:$J,Goalies!$C:$C,Projections!$F15,Goalies!$A:$A,Projections!K$2)</f>
        <v>1.06</v>
      </c>
      <c r="L15" s="5">
        <f ca="1">IFERROR($G15*H16,0)</f>
        <v>2.7839103010793824</v>
      </c>
      <c r="M15" s="5">
        <f ca="1">IFERROR($G15*I16,0)</f>
        <v>2.7287833644243449</v>
      </c>
      <c r="N15" s="5">
        <f ca="1">IFERROR($G15*J16,0)</f>
        <v>2.7839103010793824</v>
      </c>
      <c r="O15" s="5">
        <f ca="1">IFERROR($G15*K16,0)</f>
        <v>2.7287833644243449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Connor Hellebuyck</v>
      </c>
      <c r="R15" s="5" t="str" cm="1">
        <f t="array" aca="1" ref="R15" ca="1">_xlfn.XLOOKUP(1, (Goalies!C:C=Projections!W15)*(Goalies!A:A=Projections!$R$4), Goalies!D:D)</f>
        <v>Eric Comrie</v>
      </c>
      <c r="S15" s="24">
        <v>1</v>
      </c>
      <c r="T15" s="5">
        <f ca="1">IFERROR(L15*S16+(1-S16)*M15,0)</f>
        <v>2.7839103010793824</v>
      </c>
      <c r="U15" s="5"/>
      <c r="V15" s="5"/>
      <c r="W15" t="str">
        <f t="shared" ca="1" si="1"/>
        <v>WPG</v>
      </c>
      <c r="X15" s="2">
        <f ca="1">'2026'!BJ13</f>
        <v>118</v>
      </c>
      <c r="Y15" s="2">
        <f ca="1">'2026'!BK13</f>
        <v>-113</v>
      </c>
      <c r="Z15" s="2">
        <f ca="1">'2026'!BL13</f>
        <v>113</v>
      </c>
      <c r="AA15" s="2">
        <f ca="1">'2026'!BM13</f>
        <v>140</v>
      </c>
    </row>
    <row r="16" spans="1:27" x14ac:dyDescent="0.2">
      <c r="A16" s="34">
        <f ca="1">IF(D16=0,"0",(_xlfn.XLOOKUP(B16,'2026'!A:A,'2026'!C:C)))</f>
        <v>46049</v>
      </c>
      <c r="B16" t="str">
        <f ca="1"/>
        <v>2025020835 NJD</v>
      </c>
      <c r="C16">
        <f ca="1"/>
        <v>2025020835</v>
      </c>
      <c r="D16" s="7">
        <f ca="1">_xlfn.XLOOKUP(B16,'2026'!A:A,'2026'!AT:AT)</f>
        <v>3.0179754427439707</v>
      </c>
      <c r="E16" s="7">
        <f ca="1">_xlfn.XLOOKUP(B16,'2026'!A:A,'2026'!Z:Z)</f>
        <v>0.99</v>
      </c>
      <c r="F16" s="39" t="str">
        <f ca="1">_xlfn.XLOOKUP(B16,'2026'!A:A,'2026'!E:E)</f>
        <v>NJD</v>
      </c>
      <c r="G16" s="5">
        <f ca="1">D16/E15</f>
        <v>3.1274356919626638</v>
      </c>
      <c r="H16" s="5">
        <f ca="1">SUMIFS(Goalies!$J:$J,Goalies!$C:$C,Projections!$F16,Goalies!$A:$A,Projections!H$4)</f>
        <v>1.01</v>
      </c>
      <c r="I16" s="5">
        <f ca="1">SUMIFS(Goalies!$J:$J,Goalies!$C:$C,Projections!$F16,Goalies!$A:$A,Projections!I$4)</f>
        <v>0.99</v>
      </c>
      <c r="J16" s="5">
        <f ca="1">SUMIFS(Goalies!$J:$J,Goalies!$C:$C,Projections!$F16,Goalies!$A:$A,Projections!J$4)</f>
        <v>1.01</v>
      </c>
      <c r="K16" s="5">
        <f ca="1">SUMIFS(Goalies!$J:$J,Goalies!$C:$C,Projections!$F16,Goalies!$A:$A,Projections!K$4)</f>
        <v>0.99</v>
      </c>
      <c r="L16" s="5">
        <f ca="1">IFERROR($G16*H15,0)</f>
        <v>3.0179754427439707</v>
      </c>
      <c r="M16" s="5">
        <f ca="1">IFERROR($G16*I15,0)</f>
        <v>3.0179754427439707</v>
      </c>
      <c r="N16" s="5">
        <f ca="1">IFERROR($G16*J15,0)</f>
        <v>3.315081833480424</v>
      </c>
      <c r="O16" s="5">
        <f ca="1">IFERROR($G16*K15,0)</f>
        <v>3.315081833480424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Jacob Markstrom</v>
      </c>
      <c r="R16" s="5" t="str" cm="1">
        <f t="array" aca="1" ref="R16" ca="1">_xlfn.XLOOKUP(1, (Goalies!C:C=Projections!W16)*(Goalies!A:A=Projections!$R$4), Goalies!D:D)</f>
        <v>Jake Allen</v>
      </c>
      <c r="S16" s="24">
        <v>1</v>
      </c>
      <c r="T16" s="5">
        <f ca="1">IFERROR(L16*S15+(1-S15)*N16,0)</f>
        <v>3.0179754427439707</v>
      </c>
      <c r="U16" s="5"/>
      <c r="V16" s="5"/>
      <c r="W16" t="str">
        <f t="shared" ca="1" si="1"/>
        <v>NJD</v>
      </c>
      <c r="X16" s="2">
        <f ca="1">'2026'!BJ14</f>
        <v>-118</v>
      </c>
      <c r="Y16" s="2">
        <f ca="1">'2026'!BK14</f>
        <v>113</v>
      </c>
      <c r="Z16" s="2">
        <f ca="1">'2026'!BL14</f>
        <v>-113</v>
      </c>
      <c r="AA16" s="2">
        <f ca="1">'2026'!BM14</f>
        <v>-140</v>
      </c>
    </row>
    <row r="17" spans="1:27" x14ac:dyDescent="0.2">
      <c r="A17" s="34">
        <f ca="1">IF(D17=0,"0",(_xlfn.XLOOKUP(B17,'2026'!A:A,'2026'!C:C)))</f>
        <v>46049</v>
      </c>
      <c r="B17" t="str">
        <f ca="1"/>
        <v>2025020837 CHI</v>
      </c>
      <c r="C17">
        <f ca="1"/>
        <v>2025020837</v>
      </c>
      <c r="D17" s="7">
        <f ca="1">_xlfn.XLOOKUP(B17,'2026'!A:A,'2026'!AT:AT)</f>
        <v>2.5736142307690639</v>
      </c>
      <c r="E17" s="7">
        <f ca="1">_xlfn.XLOOKUP(B17,'2026'!A:A,'2026'!Z:Z)</f>
        <v>0.96</v>
      </c>
      <c r="F17" s="39" t="str">
        <f ca="1">_xlfn.XLOOKUP(B17,'2026'!A:A,'2026'!E:E)</f>
        <v>CHI</v>
      </c>
      <c r="G17" s="5">
        <f ca="1">D17/E18</f>
        <v>2.5355805229251862</v>
      </c>
      <c r="H17" s="5">
        <f ca="1">SUMIFS(Goalies!$J:$J,Goalies!$C:$C,Projections!$F17,Goalies!$A:$A,Projections!H$2)</f>
        <v>0.96</v>
      </c>
      <c r="I17" s="5">
        <f ca="1">SUMIFS(Goalies!$J:$J,Goalies!$C:$C,Projections!$F17,Goalies!$A:$A,Projections!I$2)</f>
        <v>0.96</v>
      </c>
      <c r="J17" s="5">
        <f ca="1">SUMIFS(Goalies!$J:$J,Goalies!$C:$C,Projections!$F17,Goalies!$A:$A,Projections!J$2)</f>
        <v>1.06</v>
      </c>
      <c r="K17" s="5">
        <f ca="1">SUMIFS(Goalies!$J:$J,Goalies!$C:$C,Projections!$F17,Goalies!$A:$A,Projections!K$2)</f>
        <v>1.06</v>
      </c>
      <c r="L17" s="5">
        <f ca="1">IFERROR($G17*H18,0)</f>
        <v>2.5102247176959342</v>
      </c>
      <c r="M17" s="5">
        <f ca="1">IFERROR($G17*I18,0)</f>
        <v>2.5736142307690639</v>
      </c>
      <c r="N17" s="5">
        <f ca="1">IFERROR($G17*J18,0)</f>
        <v>2.5102247176959342</v>
      </c>
      <c r="O17" s="5">
        <f ca="1">IFERROR($G17*K18,0)</f>
        <v>2.5736142307690639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Spencer Knight</v>
      </c>
      <c r="R17" s="5" t="str" cm="1">
        <f t="array" aca="1" ref="R17" ca="1">_xlfn.XLOOKUP(1, (Goalies!C:C=Projections!W17)*(Goalies!A:A=Projections!$R$4), Goalies!D:D)</f>
        <v>Arvid Soderblom</v>
      </c>
      <c r="S17" s="24">
        <v>1</v>
      </c>
      <c r="T17" s="5">
        <f ca="1">IFERROR(L17*S18+(1-S18)*M17,0)</f>
        <v>2.5102247176959342</v>
      </c>
      <c r="U17" s="5"/>
      <c r="V17" s="5"/>
      <c r="W17" s="40" t="str">
        <f t="shared" ca="1" si="1"/>
        <v>CHI</v>
      </c>
      <c r="X17" s="43">
        <f ca="1">'2026'!BJ15</f>
        <v>198</v>
      </c>
      <c r="Y17" s="43">
        <f ca="1">'2026'!BK15</f>
        <v>-134</v>
      </c>
      <c r="Z17" s="43">
        <f ca="1">'2026'!BL15</f>
        <v>-107</v>
      </c>
      <c r="AA17" s="43">
        <f ca="1">'2026'!BM15</f>
        <v>119</v>
      </c>
    </row>
    <row r="18" spans="1:27" x14ac:dyDescent="0.2">
      <c r="A18" s="34">
        <f ca="1">IF(D18=0,"0",(_xlfn.XLOOKUP(B18,'2026'!A:A,'2026'!C:C)))</f>
        <v>46049</v>
      </c>
      <c r="B18" t="str">
        <f ca="1"/>
        <v>2025020837 MIN</v>
      </c>
      <c r="C18">
        <f ca="1"/>
        <v>2025020837</v>
      </c>
      <c r="D18" s="7">
        <f ca="1">_xlfn.XLOOKUP(B18,'2026'!A:A,'2026'!AT:AT)</f>
        <v>3.5660022700987377</v>
      </c>
      <c r="E18" s="7">
        <f ca="1">_xlfn.XLOOKUP(B18,'2026'!A:A,'2026'!Z:Z)</f>
        <v>1.0149999999999999</v>
      </c>
      <c r="F18" s="39" t="str">
        <f ca="1">_xlfn.XLOOKUP(B18,'2026'!A:A,'2026'!E:E)</f>
        <v>MIN</v>
      </c>
      <c r="G18" s="5">
        <f ca="1">D18/E17</f>
        <v>3.7145856980195187</v>
      </c>
      <c r="H18" s="5">
        <f ca="1">SUMIFS(Goalies!$J:$J,Goalies!$C:$C,Projections!$F18,Goalies!$A:$A,Projections!H$4)</f>
        <v>0.99</v>
      </c>
      <c r="I18" s="5">
        <f ca="1">SUMIFS(Goalies!$J:$J,Goalies!$C:$C,Projections!$F18,Goalies!$A:$A,Projections!I$4)</f>
        <v>1.0149999999999999</v>
      </c>
      <c r="J18" s="5">
        <f ca="1">SUMIFS(Goalies!$J:$J,Goalies!$C:$C,Projections!$F18,Goalies!$A:$A,Projections!J$4)</f>
        <v>0.99</v>
      </c>
      <c r="K18" s="5">
        <f ca="1">SUMIFS(Goalies!$J:$J,Goalies!$C:$C,Projections!$F18,Goalies!$A:$A,Projections!K$4)</f>
        <v>1.0149999999999999</v>
      </c>
      <c r="L18" s="5">
        <f ca="1">IFERROR($G18*H17,0)</f>
        <v>3.5660022700987377</v>
      </c>
      <c r="M18" s="5">
        <f ca="1">IFERROR($G18*I17,0)</f>
        <v>3.5660022700987377</v>
      </c>
      <c r="N18" s="5">
        <f ca="1">IFERROR($G18*J17,0)</f>
        <v>3.9374608399006901</v>
      </c>
      <c r="O18" s="5">
        <f ca="1">IFERROR($G18*K17,0)</f>
        <v>3.9374608399006901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Filip Gustavsson</v>
      </c>
      <c r="R18" s="5" t="str" cm="1">
        <f t="array" aca="1" ref="R18" ca="1">_xlfn.XLOOKUP(1, (Goalies!C:C=Projections!W18)*(Goalies!A:A=Projections!$R$4), Goalies!D:D)</f>
        <v>Jesper Wallstedt</v>
      </c>
      <c r="S18" s="24">
        <v>1</v>
      </c>
      <c r="T18" s="5">
        <f ca="1">IFERROR(L18*S17+(1-S17)*N18,0)</f>
        <v>3.5660022700987377</v>
      </c>
      <c r="U18" s="5"/>
      <c r="V18" s="5"/>
      <c r="W18" s="40" t="str">
        <f t="shared" ca="1" si="1"/>
        <v>MIN</v>
      </c>
      <c r="X18" s="43">
        <f ca="1">'2026'!BJ16</f>
        <v>-198</v>
      </c>
      <c r="Y18" s="43">
        <f ca="1">'2026'!BK16</f>
        <v>134</v>
      </c>
      <c r="Z18" s="43">
        <f ca="1">'2026'!BL16</f>
        <v>107</v>
      </c>
      <c r="AA18" s="43">
        <f ca="1">'2026'!BM16</f>
        <v>-119</v>
      </c>
    </row>
    <row r="19" spans="1:27" x14ac:dyDescent="0.2">
      <c r="A19" s="34">
        <f ca="1">IF(D19=0,"0",(_xlfn.XLOOKUP(B19,'2026'!A:A,'2026'!C:C)))</f>
        <v>46049</v>
      </c>
      <c r="B19" t="str">
        <f ca="1"/>
        <v>2025020836 DAL</v>
      </c>
      <c r="C19">
        <f ca="1"/>
        <v>2025020836</v>
      </c>
      <c r="D19" s="7">
        <f ca="1">_xlfn.XLOOKUP(B19,'2026'!A:A,'2026'!AT:AT)</f>
        <v>3.2114065441844661</v>
      </c>
      <c r="E19" s="7">
        <f ca="1">_xlfn.XLOOKUP(B19,'2026'!A:A,'2026'!Z:Z)</f>
        <v>0.995</v>
      </c>
      <c r="F19" s="39" t="str">
        <f ca="1">_xlfn.XLOOKUP(B19,'2026'!A:A,'2026'!E:E)</f>
        <v>DAL</v>
      </c>
      <c r="G19" s="5">
        <f ca="1">D19/E20</f>
        <v>3.1484377884161434</v>
      </c>
      <c r="H19" s="5">
        <f ca="1">SUMIFS(Goalies!$J:$J,Goalies!$C:$C,Projections!$F19,Goalies!$A:$A,Projections!H$2)</f>
        <v>0.995</v>
      </c>
      <c r="I19" s="5">
        <f ca="1">SUMIFS(Goalies!$J:$J,Goalies!$C:$C,Projections!$F19,Goalies!$A:$A,Projections!I$2)</f>
        <v>0.995</v>
      </c>
      <c r="J19" s="5">
        <f ca="1">SUMIFS(Goalies!$J:$J,Goalies!$C:$C,Projections!$F19,Goalies!$A:$A,Projections!J$2)</f>
        <v>1.0049999999999999</v>
      </c>
      <c r="K19" s="5">
        <f ca="1">SUMIFS(Goalies!$J:$J,Goalies!$C:$C,Projections!$F19,Goalies!$A:$A,Projections!K$2)</f>
        <v>1.0049999999999999</v>
      </c>
      <c r="L19" s="5">
        <f ca="1">IFERROR($G19*H20,0)</f>
        <v>3.2114065441844661</v>
      </c>
      <c r="M19" s="5">
        <f ca="1">IFERROR($G19*I20,0)</f>
        <v>3.0854690326478207</v>
      </c>
      <c r="N19" s="5">
        <f ca="1">IFERROR($G19*J20,0)</f>
        <v>3.2114065441844661</v>
      </c>
      <c r="O19" s="5">
        <f ca="1">IFERROR($G19*K20,0)</f>
        <v>3.0854690326478207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Jake Oettinger</v>
      </c>
      <c r="R19" s="5" t="str" cm="1">
        <f t="array" aca="1" ref="R19" ca="1">_xlfn.XLOOKUP(1, (Goalies!C:C=Projections!W19)*(Goalies!A:A=Projections!$R$4), Goalies!D:D)</f>
        <v>Casey DeSmith</v>
      </c>
      <c r="S19" s="24">
        <v>1</v>
      </c>
      <c r="T19" s="5">
        <f ca="1">IFERROR(L19*S20+(1-S20)*M19,0)</f>
        <v>3.2114065441844661</v>
      </c>
      <c r="U19" s="5"/>
      <c r="V19" s="5"/>
      <c r="W19" t="str">
        <f t="shared" ca="1" si="1"/>
        <v>DAL</v>
      </c>
      <c r="X19" s="2">
        <f ca="1">'2026'!BJ17</f>
        <v>-158</v>
      </c>
      <c r="Y19" s="2">
        <f ca="1">'2026'!BK17</f>
        <v>-107</v>
      </c>
      <c r="Z19" s="2">
        <f ca="1">'2026'!BL17</f>
        <v>119</v>
      </c>
      <c r="AA19" s="2">
        <f ca="1">'2026'!BM17</f>
        <v>148</v>
      </c>
    </row>
    <row r="20" spans="1:27" x14ac:dyDescent="0.2">
      <c r="A20" s="34">
        <f ca="1">IF(D20=0,"0",(_xlfn.XLOOKUP(B20,'2026'!A:A,'2026'!C:C)))</f>
        <v>46049</v>
      </c>
      <c r="B20" t="str">
        <f ca="1"/>
        <v>2025020836 STL</v>
      </c>
      <c r="C20">
        <f ca="1"/>
        <v>2025020836</v>
      </c>
      <c r="D20" s="7">
        <f ca="1">_xlfn.XLOOKUP(B20,'2026'!A:A,'2026'!AT:AT)</f>
        <v>2.5255549747198662</v>
      </c>
      <c r="E20" s="7">
        <f ca="1">_xlfn.XLOOKUP(B20,'2026'!A:A,'2026'!Z:Z)</f>
        <v>1.02</v>
      </c>
      <c r="F20" s="39" t="str">
        <f ca="1">_xlfn.XLOOKUP(B20,'2026'!A:A,'2026'!E:E)</f>
        <v>STL</v>
      </c>
      <c r="G20" s="5">
        <f ca="1">D20/E19</f>
        <v>2.5382462057486093</v>
      </c>
      <c r="H20" s="5">
        <f ca="1">SUMIFS(Goalies!$J:$J,Goalies!$C:$C,Projections!$F20,Goalies!$A:$A,Projections!H$4)</f>
        <v>1.02</v>
      </c>
      <c r="I20" s="5">
        <f ca="1">SUMIFS(Goalies!$J:$J,Goalies!$C:$C,Projections!$F20,Goalies!$A:$A,Projections!I$4)</f>
        <v>0.98</v>
      </c>
      <c r="J20" s="5">
        <f ca="1">SUMIFS(Goalies!$J:$J,Goalies!$C:$C,Projections!$F20,Goalies!$A:$A,Projections!J$4)</f>
        <v>1.02</v>
      </c>
      <c r="K20" s="5">
        <f ca="1">SUMIFS(Goalies!$J:$J,Goalies!$C:$C,Projections!$F20,Goalies!$A:$A,Projections!K$4)</f>
        <v>0.98</v>
      </c>
      <c r="L20" s="5">
        <f ca="1">IFERROR($G20*H19,0)</f>
        <v>2.5255549747198662</v>
      </c>
      <c r="M20" s="5">
        <f ca="1">IFERROR($G20*I19,0)</f>
        <v>2.5255549747198662</v>
      </c>
      <c r="N20" s="5">
        <f ca="1">IFERROR($G20*J19,0)</f>
        <v>2.5509374367773519</v>
      </c>
      <c r="O20" s="5">
        <f ca="1">IFERROR($G20*K19,0)</f>
        <v>2.5509374367773519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Jordan Binnington</v>
      </c>
      <c r="R20" s="5" t="str" cm="1">
        <f t="array" aca="1" ref="R20" ca="1">_xlfn.XLOOKUP(1, (Goalies!C:C=Projections!W20)*(Goalies!A:A=Projections!$R$4), Goalies!D:D)</f>
        <v>Joel Hofer</v>
      </c>
      <c r="S20" s="24">
        <v>1</v>
      </c>
      <c r="T20" s="5">
        <f ca="1">IFERROR(L20*S19+(1-S19)*N20,0)</f>
        <v>2.5255549747198662</v>
      </c>
      <c r="U20" s="5"/>
      <c r="V20" s="5"/>
      <c r="W20" t="str">
        <f t="shared" ca="1" si="1"/>
        <v>STL</v>
      </c>
      <c r="X20" s="2">
        <f ca="1">'2026'!BJ18</f>
        <v>158</v>
      </c>
      <c r="Y20" s="2">
        <f ca="1">'2026'!BK18</f>
        <v>107</v>
      </c>
      <c r="Z20" s="2">
        <f ca="1">'2026'!BL18</f>
        <v>-119</v>
      </c>
      <c r="AA20" s="2">
        <f ca="1">'2026'!BM18</f>
        <v>-148</v>
      </c>
    </row>
    <row r="21" spans="1:27" x14ac:dyDescent="0.2">
      <c r="A21" s="34">
        <f ca="1">IF(D21=0,"0",(_xlfn.XLOOKUP(B21,'2026'!A:A,'2026'!C:C)))</f>
        <v>46049</v>
      </c>
      <c r="B21" t="str">
        <f ca="1"/>
        <v>2025020838 SJS</v>
      </c>
      <c r="C21">
        <f ca="1"/>
        <v>2025020838</v>
      </c>
      <c r="D21" s="7">
        <f ca="1">_xlfn.XLOOKUP(B21,'2026'!A:A,'2026'!AT:AT)</f>
        <v>3.2806072590707749</v>
      </c>
      <c r="E21" s="7">
        <f ca="1">_xlfn.XLOOKUP(B21,'2026'!A:A,'2026'!Z:Z)</f>
        <v>1</v>
      </c>
      <c r="F21" s="39" t="str">
        <f ca="1">_xlfn.XLOOKUP(B21,'2026'!A:A,'2026'!E:E)</f>
        <v>SJS</v>
      </c>
      <c r="G21" s="5">
        <f ca="1">D21/E22</f>
        <v>3.1850555913308494</v>
      </c>
      <c r="H21" s="5">
        <f ca="1">SUMIFS(Goalies!$J:$J,Goalies!$C:$C,Projections!$F21,Goalies!$A:$A,Projections!H$2)</f>
        <v>1.03</v>
      </c>
      <c r="I21" s="5">
        <f ca="1">SUMIFS(Goalies!$J:$J,Goalies!$C:$C,Projections!$F21,Goalies!$A:$A,Projections!I$2)</f>
        <v>1.03</v>
      </c>
      <c r="J21" s="5">
        <f ca="1">SUMIFS(Goalies!$J:$J,Goalies!$C:$C,Projections!$F21,Goalies!$A:$A,Projections!J$2)</f>
        <v>0.98</v>
      </c>
      <c r="K21" s="5">
        <f ca="1">SUMIFS(Goalies!$J:$J,Goalies!$C:$C,Projections!$F21,Goalies!$A:$A,Projections!K$2)</f>
        <v>0.98</v>
      </c>
      <c r="L21" s="5">
        <f ca="1">IFERROR($G21*H22,0)</f>
        <v>3.1054292015475782</v>
      </c>
      <c r="M21" s="5">
        <f ca="1">IFERROR($G21*I22,0)</f>
        <v>6.720467297708093</v>
      </c>
      <c r="N21" s="5">
        <f ca="1">IFERROR($G21*J22,0)</f>
        <v>3.1054292015475782</v>
      </c>
      <c r="O21" s="5">
        <f ca="1">IFERROR($G21*K22,0)</f>
        <v>6.720467297708093</v>
      </c>
      <c r="P21" s="2" t="str">
        <f ca="1">_xlfn.XLOOKUP(B21,'2026'!A:A,'2026'!AS:AS)</f>
        <v>Strong</v>
      </c>
      <c r="Q21" s="5" t="str" cm="1">
        <f t="array" aca="1" ref="Q21" ca="1">_xlfn.XLOOKUP(1, (Goalies!C:C=Projections!W21)*(Goalies!A:A=Projections!$Q$4), Goalies!D:D)</f>
        <v>Alex Nedeljkovic</v>
      </c>
      <c r="R21" s="5" t="str" cm="1">
        <f t="array" aca="1" ref="R21" ca="1">_xlfn.XLOOKUP(1, (Goalies!C:C=Projections!W21)*(Goalies!A:A=Projections!$R$4), Goalies!D:D)</f>
        <v>Yaroslav Askarov</v>
      </c>
      <c r="S21" s="24">
        <v>1</v>
      </c>
      <c r="T21" s="5">
        <f ca="1">IFERROR(L21*S22+(1-S22)*M21,0)</f>
        <v>6.720467297708093</v>
      </c>
      <c r="U21" s="5"/>
      <c r="V21" s="5"/>
      <c r="W21" s="40" t="str">
        <f t="shared" ca="1" si="1"/>
        <v>SJS</v>
      </c>
      <c r="X21" s="43" t="e">
        <f ca="1">'2026'!BJ19</f>
        <v>#N/A</v>
      </c>
      <c r="Y21" s="43" t="e">
        <f ca="1">'2026'!BK19</f>
        <v>#N/A</v>
      </c>
      <c r="Z21" s="43" t="e">
        <f ca="1">'2026'!BL19</f>
        <v>#N/A</v>
      </c>
      <c r="AA21" s="43" t="e">
        <f ca="1">'2026'!BM19</f>
        <v>#N/A</v>
      </c>
    </row>
    <row r="22" spans="1:27" x14ac:dyDescent="0.2">
      <c r="A22" s="34">
        <f ca="1">IF(D22=0,"0",(_xlfn.XLOOKUP(B22,'2026'!A:A,'2026'!C:C)))</f>
        <v>46049</v>
      </c>
      <c r="B22" t="str">
        <f ca="1"/>
        <v>2025020838 VAN</v>
      </c>
      <c r="C22">
        <f ca="1"/>
        <v>2025020838</v>
      </c>
      <c r="D22" s="7">
        <f ca="1">_xlfn.XLOOKUP(B22,'2026'!A:A,'2026'!AT:AT)</f>
        <v>2.9804719499571584</v>
      </c>
      <c r="E22" s="7">
        <f ca="1">_xlfn.XLOOKUP(B22,'2026'!A:A,'2026'!Z:Z)</f>
        <v>1.03</v>
      </c>
      <c r="F22" s="39" t="str">
        <f ca="1">_xlfn.XLOOKUP(B22,'2026'!A:A,'2026'!E:E)</f>
        <v>VAN</v>
      </c>
      <c r="G22" s="5">
        <f ca="1">D22/E21</f>
        <v>2.9804719499571584</v>
      </c>
      <c r="H22" s="5">
        <f ca="1">SUMIFS(Goalies!$J:$J,Goalies!$C:$C,Projections!$F22,Goalies!$A:$A,Projections!H$4)</f>
        <v>0.97499999999999998</v>
      </c>
      <c r="I22" s="5">
        <f ca="1">SUMIFS(Goalies!$J:$J,Goalies!$C:$C,Projections!$F22,Goalies!$A:$A,Projections!I$4)</f>
        <v>2.1100000000000003</v>
      </c>
      <c r="J22" s="5">
        <f ca="1">SUMIFS(Goalies!$J:$J,Goalies!$C:$C,Projections!$F22,Goalies!$A:$A,Projections!J$4)</f>
        <v>0.97499999999999998</v>
      </c>
      <c r="K22" s="5">
        <f ca="1">SUMIFS(Goalies!$J:$J,Goalies!$C:$C,Projections!$F22,Goalies!$A:$A,Projections!K$4)</f>
        <v>2.1100000000000003</v>
      </c>
      <c r="L22" s="5">
        <f ca="1">IFERROR($G22*H21,0)</f>
        <v>3.0698861084558731</v>
      </c>
      <c r="M22" s="5">
        <f ca="1">IFERROR($G22*I21,0)</f>
        <v>3.0698861084558731</v>
      </c>
      <c r="N22" s="5">
        <f ca="1">IFERROR($G22*J21,0)</f>
        <v>2.9208625109580151</v>
      </c>
      <c r="O22" s="5">
        <f ca="1">IFERROR($G22*K21,0)</f>
        <v>2.9208625109580151</v>
      </c>
      <c r="P22" s="2" t="str">
        <f ca="1">_xlfn.XLOOKUP(B22,'2026'!A:A,'2026'!AS:AS)</f>
        <v>Strong</v>
      </c>
      <c r="Q22" s="5" t="str" cm="1">
        <f t="array" aca="1" ref="Q22" ca="1">_xlfn.XLOOKUP(1, (Goalies!C:C=Projections!W22)*(Goalies!A:A=Projections!$Q$4), Goalies!D:D)</f>
        <v>Thatcher Demko</v>
      </c>
      <c r="R22" s="5" t="str" cm="1">
        <f t="array" aca="1" ref="R22" ca="1">_xlfn.XLOOKUP(1, (Goalies!C:C=Projections!W22)*(Goalies!A:A=Projections!$R$4), Goalies!D:D)</f>
        <v>Kevin Lankinen</v>
      </c>
      <c r="S22" s="24">
        <v>0</v>
      </c>
      <c r="T22" s="5">
        <f ca="1">IFERROR(L22*S21+(1-S21)*N22,0)</f>
        <v>3.0698861084558731</v>
      </c>
      <c r="U22" s="5"/>
      <c r="V22" s="5"/>
      <c r="W22" s="40" t="str">
        <f t="shared" ca="1" si="1"/>
        <v>VAN</v>
      </c>
      <c r="X22" s="43" t="e">
        <f ca="1">'2026'!BJ20</f>
        <v>#N/A</v>
      </c>
      <c r="Y22" s="43" t="e">
        <f ca="1">'2026'!BK20</f>
        <v>#N/A</v>
      </c>
      <c r="Z22" s="43" t="e">
        <f ca="1">'2026'!BL20</f>
        <v>#N/A</v>
      </c>
      <c r="AA22" s="43" t="e">
        <f ca="1">'2026'!BM20</f>
        <v>#N/A</v>
      </c>
    </row>
    <row r="23" spans="1:27" x14ac:dyDescent="0.2">
      <c r="A23" s="34">
        <f ca="1">IF(D23=0,"0",(_xlfn.XLOOKUP(B23,'2026'!A:A,'2026'!C:C)))</f>
        <v>46049</v>
      </c>
      <c r="B23" t="str">
        <f ca="1"/>
        <v>2025020839 WSH</v>
      </c>
      <c r="C23">
        <f ca="1"/>
        <v>2025020839</v>
      </c>
      <c r="D23" s="7">
        <f ca="1">_xlfn.XLOOKUP(B23,'2026'!A:A,'2026'!AT:AT)</f>
        <v>3.1277119819868822</v>
      </c>
      <c r="E23" s="7">
        <f ca="1">_xlfn.XLOOKUP(B23,'2026'!A:A,'2026'!Z:Z)</f>
        <v>0.97499999999999998</v>
      </c>
      <c r="F23" s="39" t="str">
        <f ca="1">_xlfn.XLOOKUP(B23,'2026'!A:A,'2026'!E:E)</f>
        <v>WSH</v>
      </c>
      <c r="G23" s="5">
        <f ca="1">D23/E24</f>
        <v>3.1277119819868822</v>
      </c>
      <c r="H23" s="5">
        <f ca="1">SUMIFS(Goalies!$J:$J,Goalies!$C:$C,Projections!$F23,Goalies!$A:$A,Projections!H$2)</f>
        <v>0.97499999999999998</v>
      </c>
      <c r="I23" s="5">
        <f ca="1">SUMIFS(Goalies!$J:$J,Goalies!$C:$C,Projections!$F23,Goalies!$A:$A,Projections!I$2)</f>
        <v>0.97499999999999998</v>
      </c>
      <c r="J23" s="5">
        <f ca="1">SUMIFS(Goalies!$J:$J,Goalies!$C:$C,Projections!$F23,Goalies!$A:$A,Projections!J$2)</f>
        <v>1.04</v>
      </c>
      <c r="K23" s="5">
        <f ca="1">SUMIFS(Goalies!$J:$J,Goalies!$C:$C,Projections!$F23,Goalies!$A:$A,Projections!K$2)</f>
        <v>1.04</v>
      </c>
      <c r="L23" s="5">
        <f ca="1">IFERROR($G23*H24,0)</f>
        <v>3.1277119819868822</v>
      </c>
      <c r="M23" s="5">
        <f ca="1">IFERROR($G23*I24,0)</f>
        <v>3.1277119819868822</v>
      </c>
      <c r="N23" s="5">
        <f ca="1">IFERROR($G23*J24,0)</f>
        <v>3.1277119819868822</v>
      </c>
      <c r="O23" s="5">
        <f ca="1">IFERROR($G23*K24,0)</f>
        <v>3.1277119819868822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Logan Thompson</v>
      </c>
      <c r="R23" s="5" t="str" cm="1">
        <f t="array" aca="1" ref="R23" ca="1">_xlfn.XLOOKUP(1, (Goalies!C:C=Projections!W23)*(Goalies!A:A=Projections!$R$4), Goalies!D:D)</f>
        <v>Charlie Lindgren</v>
      </c>
      <c r="S23" s="24">
        <v>1</v>
      </c>
      <c r="T23" s="5">
        <f ca="1">IFERROR(L23*S24+(1-S24)*M23,0)</f>
        <v>3.1277119819868822</v>
      </c>
      <c r="U23" s="5"/>
      <c r="V23" s="5"/>
      <c r="W23" t="str">
        <f t="shared" ca="1" si="1"/>
        <v>WSH</v>
      </c>
      <c r="X23" s="2">
        <f ca="1">'2026'!BJ21</f>
        <v>-124</v>
      </c>
      <c r="Y23" s="2">
        <f ca="1">'2026'!BK21</f>
        <v>-121</v>
      </c>
      <c r="Z23" s="2">
        <f ca="1">'2026'!BL21</f>
        <v>104</v>
      </c>
      <c r="AA23" s="2">
        <f ca="1">'2026'!BM21</f>
        <v>130</v>
      </c>
    </row>
    <row r="24" spans="1:27" x14ac:dyDescent="0.2">
      <c r="A24" s="34">
        <f ca="1">IF(D24=0,"0",(_xlfn.XLOOKUP(B24,'2026'!A:A,'2026'!C:C)))</f>
        <v>46049</v>
      </c>
      <c r="B24" t="str">
        <f ca="1"/>
        <v>2025020839 SEA</v>
      </c>
      <c r="C24">
        <f ca="1"/>
        <v>2025020839</v>
      </c>
      <c r="D24" s="7">
        <f ca="1">_xlfn.XLOOKUP(B24,'2026'!A:A,'2026'!AT:AT)</f>
        <v>2.7972665445101352</v>
      </c>
      <c r="E24" s="7">
        <f ca="1">_xlfn.XLOOKUP(B24,'2026'!A:A,'2026'!Z:Z)</f>
        <v>1</v>
      </c>
      <c r="F24" s="39" t="str">
        <f ca="1">_xlfn.XLOOKUP(B24,'2026'!A:A,'2026'!E:E)</f>
        <v>SEA</v>
      </c>
      <c r="G24" s="5">
        <f ca="1">D24/E23</f>
        <v>2.868991327702703</v>
      </c>
      <c r="H24" s="5">
        <f ca="1">SUMIFS(Goalies!$J:$J,Goalies!$C:$C,Projections!$F24,Goalies!$A:$A,Projections!H$4)</f>
        <v>1</v>
      </c>
      <c r="I24" s="5">
        <f ca="1">SUMIFS(Goalies!$J:$J,Goalies!$C:$C,Projections!$F24,Goalies!$A:$A,Projections!I$4)</f>
        <v>1</v>
      </c>
      <c r="J24" s="5">
        <f ca="1">SUMIFS(Goalies!$J:$J,Goalies!$C:$C,Projections!$F24,Goalies!$A:$A,Projections!J$4)</f>
        <v>1</v>
      </c>
      <c r="K24" s="5">
        <f ca="1">SUMIFS(Goalies!$J:$J,Goalies!$C:$C,Projections!$F24,Goalies!$A:$A,Projections!K$4)</f>
        <v>1</v>
      </c>
      <c r="L24" s="5">
        <f ca="1">IFERROR($G24*H23,0)</f>
        <v>2.7972665445101352</v>
      </c>
      <c r="M24" s="5">
        <f ca="1">IFERROR($G24*I23,0)</f>
        <v>2.7972665445101352</v>
      </c>
      <c r="N24" s="5">
        <f ca="1">IFERROR($G24*J23,0)</f>
        <v>2.9837509808108114</v>
      </c>
      <c r="O24" s="5">
        <f ca="1">IFERROR($G24*K23,0)</f>
        <v>2.9837509808108114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Joey Daccord</v>
      </c>
      <c r="R24" s="5" t="str" cm="1">
        <f t="array" aca="1" ref="R24" ca="1">_xlfn.XLOOKUP(1, (Goalies!C:C=Projections!W24)*(Goalies!A:A=Projections!$R$4), Goalies!D:D)</f>
        <v>Philipp Grubauer</v>
      </c>
      <c r="S24" s="24">
        <v>1</v>
      </c>
      <c r="T24" s="5">
        <f ca="1">IFERROR(L24*S23+(1-S23)*N24,0)</f>
        <v>2.7972665445101352</v>
      </c>
      <c r="U24" s="5"/>
      <c r="V24" s="5"/>
      <c r="W24" t="str">
        <f t="shared" ca="1" si="1"/>
        <v>SEA</v>
      </c>
      <c r="X24" s="2">
        <f ca="1">'2026'!BJ22</f>
        <v>124</v>
      </c>
      <c r="Y24" s="2">
        <f ca="1">'2026'!BK22</f>
        <v>121</v>
      </c>
      <c r="Z24" s="2">
        <f ca="1">'2026'!BL22</f>
        <v>-104</v>
      </c>
      <c r="AA24" s="2">
        <f ca="1">'2026'!BM22</f>
        <v>-130</v>
      </c>
    </row>
    <row r="25" spans="1:27" x14ac:dyDescent="0.2">
      <c r="A25" s="34">
        <f ca="1">IF(D25=0,"0",(_xlfn.XLOOKUP(B25,'2026'!A:A,'2026'!C:C)))</f>
        <v>46050</v>
      </c>
      <c r="B25" t="str">
        <f ca="1"/>
        <v>2025020840 PHI</v>
      </c>
      <c r="C25">
        <f ca="1"/>
        <v>2025020840</v>
      </c>
      <c r="D25" s="7">
        <f ca="1">_xlfn.XLOOKUP(B25,'2026'!A:A,'2026'!AT:AT)</f>
        <v>2.8358386532094597</v>
      </c>
      <c r="E25" s="7">
        <f ca="1">_xlfn.XLOOKUP(B25,'2026'!A:A,'2026'!Z:Z)</f>
        <v>1</v>
      </c>
      <c r="F25" s="39" t="str">
        <f ca="1">_xlfn.XLOOKUP(B25,'2026'!A:A,'2026'!E:E)</f>
        <v>PHI</v>
      </c>
      <c r="G25" s="5">
        <f ca="1">D25/E26</f>
        <v>2.908552464830215</v>
      </c>
      <c r="H25" s="5">
        <f ca="1">SUMIFS(Goalies!$J:$J,Goalies!$C:$C,Projections!$F25,Goalies!$A:$A,Projections!H$2)</f>
        <v>1.04</v>
      </c>
      <c r="I25" s="5">
        <f ca="1">SUMIFS(Goalies!$J:$J,Goalies!$C:$C,Projections!$F25,Goalies!$A:$A,Projections!I$2)</f>
        <v>1.04</v>
      </c>
      <c r="J25" s="5">
        <f ca="1">SUMIFS(Goalies!$J:$J,Goalies!$C:$C,Projections!$F25,Goalies!$A:$A,Projections!J$2)</f>
        <v>2.0350000000000001</v>
      </c>
      <c r="K25" s="5">
        <f ca="1">SUMIFS(Goalies!$J:$J,Goalies!$C:$C,Projections!$F25,Goalies!$A:$A,Projections!K$2)</f>
        <v>2.0350000000000001</v>
      </c>
      <c r="L25" s="5">
        <f ca="1">IFERROR($G25*H26,0)</f>
        <v>2.8358386532094597</v>
      </c>
      <c r="M25" s="5">
        <f ca="1">IFERROR($G25*I26,0)</f>
        <v>3.0539800880717261</v>
      </c>
      <c r="N25" s="5">
        <f ca="1">IFERROR($G25*J26,0)</f>
        <v>2.8358386532094597</v>
      </c>
      <c r="O25" s="5">
        <f ca="1">IFERROR($G25*K26,0)</f>
        <v>3.0539800880717261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Samuel Ersson</v>
      </c>
      <c r="R25" s="5" t="str" cm="1">
        <f t="array" aca="1" ref="R25" ca="1">_xlfn.XLOOKUP(1, (Goalies!C:C=Projections!W25)*(Goalies!A:A=Projections!$R$4), Goalies!D:D)</f>
        <v>Dan Vladar</v>
      </c>
      <c r="S25" s="24">
        <v>1</v>
      </c>
      <c r="T25" s="5">
        <f ca="1">IFERROR(L25*S26+(1-S26)*M25,0)</f>
        <v>2.8358386532094597</v>
      </c>
      <c r="U25" s="5"/>
      <c r="V25" s="5"/>
      <c r="W25" s="40" t="str">
        <f t="shared" ca="1" si="1"/>
        <v>PHI</v>
      </c>
      <c r="X25" s="43">
        <f ca="1">'2026'!BJ23</f>
        <v>142</v>
      </c>
      <c r="Y25" s="43">
        <f ca="1">'2026'!BK23</f>
        <v>-148</v>
      </c>
      <c r="Z25" s="43">
        <f ca="1">'2026'!BL23</f>
        <v>-119</v>
      </c>
      <c r="AA25" s="43">
        <f ca="1">'2026'!BM23</f>
        <v>108</v>
      </c>
    </row>
    <row r="26" spans="1:27" x14ac:dyDescent="0.2">
      <c r="A26" s="34">
        <f ca="1">IF(D26=0,"0",(_xlfn.XLOOKUP(B26,'2026'!A:A,'2026'!C:C)))</f>
        <v>46050</v>
      </c>
      <c r="B26" t="str">
        <f ca="1"/>
        <v>2025020840 CBJ</v>
      </c>
      <c r="C26">
        <f ca="1"/>
        <v>2025020840</v>
      </c>
      <c r="D26" s="7">
        <f ca="1">_xlfn.XLOOKUP(B26,'2026'!A:A,'2026'!AT:AT)</f>
        <v>3.2483918918918913</v>
      </c>
      <c r="E26" s="7">
        <f ca="1">_xlfn.XLOOKUP(B26,'2026'!A:A,'2026'!Z:Z)</f>
        <v>0.97499999999999998</v>
      </c>
      <c r="F26" s="39" t="str">
        <f ca="1">_xlfn.XLOOKUP(B26,'2026'!A:A,'2026'!E:E)</f>
        <v>CBJ</v>
      </c>
      <c r="G26" s="5">
        <f ca="1">D26/E25</f>
        <v>3.2483918918918913</v>
      </c>
      <c r="H26" s="5">
        <f ca="1">SUMIFS(Goalies!$J:$J,Goalies!$C:$C,Projections!$F26,Goalies!$A:$A,Projections!H$4)</f>
        <v>0.97499999999999998</v>
      </c>
      <c r="I26" s="5">
        <f ca="1">SUMIFS(Goalies!$J:$J,Goalies!$C:$C,Projections!$F26,Goalies!$A:$A,Projections!I$4)</f>
        <v>1.05</v>
      </c>
      <c r="J26" s="5">
        <f ca="1">SUMIFS(Goalies!$J:$J,Goalies!$C:$C,Projections!$F26,Goalies!$A:$A,Projections!J$4)</f>
        <v>0.97499999999999998</v>
      </c>
      <c r="K26" s="5">
        <f ca="1">SUMIFS(Goalies!$J:$J,Goalies!$C:$C,Projections!$F26,Goalies!$A:$A,Projections!K$4)</f>
        <v>1.05</v>
      </c>
      <c r="L26" s="5">
        <f ca="1">IFERROR($G26*H25,0)</f>
        <v>3.3783275675675668</v>
      </c>
      <c r="M26" s="5">
        <f ca="1">IFERROR($G26*I25,0)</f>
        <v>3.3783275675675668</v>
      </c>
      <c r="N26" s="5">
        <f ca="1">IFERROR($G26*J25,0)</f>
        <v>6.6104774999999991</v>
      </c>
      <c r="O26" s="5">
        <f ca="1">IFERROR($G26*K25,0)</f>
        <v>6.6104774999999991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Jet Greaves</v>
      </c>
      <c r="R26" s="5" t="str" cm="1">
        <f t="array" aca="1" ref="R26" ca="1">_xlfn.XLOOKUP(1, (Goalies!C:C=Projections!W26)*(Goalies!A:A=Projections!$R$4), Goalies!D:D)</f>
        <v>Elvis Merzlikins</v>
      </c>
      <c r="S26" s="24">
        <v>1</v>
      </c>
      <c r="T26" s="5">
        <f ca="1">IFERROR(L26*S25+(1-S25)*N26,0)</f>
        <v>3.3783275675675668</v>
      </c>
      <c r="U26" s="5"/>
      <c r="V26" s="5"/>
      <c r="W26" s="40" t="str">
        <f t="shared" ca="1" si="1"/>
        <v>CBJ</v>
      </c>
      <c r="X26" s="43">
        <f ca="1">'2026'!BJ24</f>
        <v>-142</v>
      </c>
      <c r="Y26" s="43">
        <f ca="1">'2026'!BK24</f>
        <v>148</v>
      </c>
      <c r="Z26" s="43">
        <f ca="1">'2026'!BL24</f>
        <v>119</v>
      </c>
      <c r="AA26" s="43">
        <f ca="1">'2026'!BM24</f>
        <v>-108</v>
      </c>
    </row>
    <row r="27" spans="1:27" x14ac:dyDescent="0.2">
      <c r="A27" s="34">
        <f ca="1">IF(D27=0,"0",(_xlfn.XLOOKUP(B27,'2026'!A:A,'2026'!C:C)))</f>
        <v>46050</v>
      </c>
      <c r="B27" t="str">
        <f ca="1"/>
        <v>2025020841 COL</v>
      </c>
      <c r="C27">
        <f ca="1"/>
        <v>2025020841</v>
      </c>
      <c r="D27" s="7">
        <f ca="1">_xlfn.XLOOKUP(B27,'2026'!A:A,'2026'!AT:AT)</f>
        <v>3.5218592216216216</v>
      </c>
      <c r="E27" s="7">
        <f ca="1">_xlfn.XLOOKUP(B27,'2026'!A:A,'2026'!Z:Z)</f>
        <v>1</v>
      </c>
      <c r="F27" s="39" t="str">
        <f ca="1">_xlfn.XLOOKUP(B27,'2026'!A:A,'2026'!E:E)</f>
        <v>COL</v>
      </c>
      <c r="G27" s="5">
        <f ca="1">D27/E28</f>
        <v>3.5574335571935571</v>
      </c>
      <c r="H27" s="5">
        <f ca="1">SUMIFS(Goalies!$J:$J,Goalies!$C:$C,Projections!$F27,Goalies!$A:$A,Projections!H$2)</f>
        <v>1</v>
      </c>
      <c r="I27" s="5">
        <f ca="1">SUMIFS(Goalies!$J:$J,Goalies!$C:$C,Projections!$F27,Goalies!$A:$A,Projections!I$2)</f>
        <v>1</v>
      </c>
      <c r="J27" s="5">
        <f ca="1">SUMIFS(Goalies!$J:$J,Goalies!$C:$C,Projections!$F27,Goalies!$A:$A,Projections!J$2)</f>
        <v>1</v>
      </c>
      <c r="K27" s="5">
        <f ca="1">SUMIFS(Goalies!$J:$J,Goalies!$C:$C,Projections!$F27,Goalies!$A:$A,Projections!K$2)</f>
        <v>1</v>
      </c>
      <c r="L27" s="5">
        <f ca="1">IFERROR($G27*H28,0)</f>
        <v>3.5218592216216216</v>
      </c>
      <c r="M27" s="5">
        <f ca="1">IFERROR($G27*I28,0)</f>
        <v>3.6641565639093638</v>
      </c>
      <c r="N27" s="5">
        <f ca="1">IFERROR($G27*J28,0)</f>
        <v>3.5218592216216216</v>
      </c>
      <c r="O27" s="5">
        <f ca="1">IFERROR($G27*K28,0)</f>
        <v>3.6641565639093638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Mackenzie Blackwood</v>
      </c>
      <c r="R27" s="5" t="str" cm="1">
        <f t="array" aca="1" ref="R27" ca="1">_xlfn.XLOOKUP(1, (Goalies!C:C=Projections!W27)*(Goalies!A:A=Projections!$R$4), Goalies!D:D)</f>
        <v>Scott Wedgewood</v>
      </c>
      <c r="S27" s="24">
        <v>1</v>
      </c>
      <c r="T27" s="5">
        <f ca="1">IFERROR(L27*S28+(1-S28)*M27,0)</f>
        <v>3.5218592216216216</v>
      </c>
      <c r="U27" s="5"/>
      <c r="V27" s="5"/>
      <c r="W27" t="str">
        <f t="shared" ca="1" si="1"/>
        <v>COL</v>
      </c>
      <c r="X27" s="2">
        <f ca="1">'2026'!BJ25</f>
        <v>-155</v>
      </c>
      <c r="Y27" s="2">
        <f ca="1">'2026'!BK25</f>
        <v>-160</v>
      </c>
      <c r="Z27" s="2">
        <f ca="1">'2026'!BL25</f>
        <v>-131</v>
      </c>
      <c r="AA27" s="2">
        <f ca="1">'2026'!BM25</f>
        <v>-101</v>
      </c>
    </row>
    <row r="28" spans="1:27" x14ac:dyDescent="0.2">
      <c r="A28" s="34">
        <f ca="1">IF(D28=0,"0",(_xlfn.XLOOKUP(B28,'2026'!A:A,'2026'!C:C)))</f>
        <v>46050</v>
      </c>
      <c r="B28" t="str">
        <f ca="1"/>
        <v>2025020841 OTT</v>
      </c>
      <c r="C28">
        <f ca="1"/>
        <v>2025020841</v>
      </c>
      <c r="D28" s="7">
        <f ca="1">_xlfn.XLOOKUP(B28,'2026'!A:A,'2026'!AT:AT)</f>
        <v>2.8340933699324324</v>
      </c>
      <c r="E28" s="7">
        <f ca="1">_xlfn.XLOOKUP(B28,'2026'!A:A,'2026'!Z:Z)</f>
        <v>0.99</v>
      </c>
      <c r="F28" s="39" t="str">
        <f ca="1">_xlfn.XLOOKUP(B28,'2026'!A:A,'2026'!E:E)</f>
        <v>OTT</v>
      </c>
      <c r="G28" s="5">
        <f ca="1">D28/E27</f>
        <v>2.8340933699324324</v>
      </c>
      <c r="H28" s="5">
        <f ca="1">SUMIFS(Goalies!$J:$J,Goalies!$C:$C,Projections!$F28,Goalies!$A:$A,Projections!H$4)</f>
        <v>0.99</v>
      </c>
      <c r="I28" s="5">
        <f ca="1">SUMIFS(Goalies!$J:$J,Goalies!$C:$C,Projections!$F28,Goalies!$A:$A,Projections!I$4)</f>
        <v>1.03</v>
      </c>
      <c r="J28" s="5">
        <f ca="1">SUMIFS(Goalies!$J:$J,Goalies!$C:$C,Projections!$F28,Goalies!$A:$A,Projections!J$4)</f>
        <v>0.99</v>
      </c>
      <c r="K28" s="5">
        <f ca="1">SUMIFS(Goalies!$J:$J,Goalies!$C:$C,Projections!$F28,Goalies!$A:$A,Projections!K$4)</f>
        <v>1.03</v>
      </c>
      <c r="L28" s="5">
        <f ca="1">IFERROR($G28*H27,0)</f>
        <v>2.8340933699324324</v>
      </c>
      <c r="M28" s="5">
        <f ca="1">IFERROR($G28*I27,0)</f>
        <v>2.8340933699324324</v>
      </c>
      <c r="N28" s="5">
        <f ca="1">IFERROR($G28*J27,0)</f>
        <v>2.8340933699324324</v>
      </c>
      <c r="O28" s="5">
        <f ca="1">IFERROR($G28*K27,0)</f>
        <v>2.8340933699324324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Linus Ullmark</v>
      </c>
      <c r="R28" s="5" t="str" cm="1">
        <f t="array" aca="1" ref="R28" ca="1">_xlfn.XLOOKUP(1, (Goalies!C:C=Projections!W28)*(Goalies!A:A=Projections!$R$4), Goalies!D:D)</f>
        <v>Leevi Merilainen</v>
      </c>
      <c r="S28" s="24">
        <v>1</v>
      </c>
      <c r="T28" s="5">
        <f ca="1">IFERROR(L28*S27+(1-S27)*N28,0)</f>
        <v>2.8340933699324324</v>
      </c>
      <c r="U28" s="5"/>
      <c r="V28" s="5"/>
      <c r="W28" t="str">
        <f t="shared" ca="1" si="1"/>
        <v>OTT</v>
      </c>
      <c r="X28" s="2">
        <f ca="1">'2026'!BJ26</f>
        <v>155</v>
      </c>
      <c r="Y28" s="2">
        <f ca="1">'2026'!BK26</f>
        <v>160</v>
      </c>
      <c r="Z28" s="2">
        <f ca="1">'2026'!BL26</f>
        <v>131</v>
      </c>
      <c r="AA28" s="2">
        <f ca="1">'2026'!BM26</f>
        <v>101</v>
      </c>
    </row>
    <row r="29" spans="1:27" x14ac:dyDescent="0.2">
      <c r="A29" s="34">
        <f ca="1">IF(D29=0,"0",(_xlfn.XLOOKUP(B29,'2026'!A:A,'2026'!C:C)))</f>
        <v>46050</v>
      </c>
      <c r="B29" t="str">
        <f ca="1"/>
        <v>2025020842 NYR</v>
      </c>
      <c r="C29">
        <f ca="1"/>
        <v>2025020842</v>
      </c>
      <c r="D29" s="7">
        <f ca="1">_xlfn.XLOOKUP(B29,'2026'!A:A,'2026'!AT:AT)</f>
        <v>2.6126845320389824</v>
      </c>
      <c r="E29" s="7">
        <f ca="1">_xlfn.XLOOKUP(B29,'2026'!A:A,'2026'!Z:Z)</f>
        <v>1.05</v>
      </c>
      <c r="F29" s="39" t="str">
        <f ca="1">_xlfn.XLOOKUP(B29,'2026'!A:A,'2026'!E:E)</f>
        <v>NYR</v>
      </c>
      <c r="G29" s="5">
        <f ca="1">D29/E30</f>
        <v>2.6934892082876107</v>
      </c>
      <c r="H29" s="5">
        <f ca="1">SUMIFS(Goalies!$J:$J,Goalies!$C:$C,Projections!$F29,Goalies!$A:$A,Projections!H$2)</f>
        <v>0.97</v>
      </c>
      <c r="I29" s="5">
        <f ca="1">SUMIFS(Goalies!$J:$J,Goalies!$C:$C,Projections!$F29,Goalies!$A:$A,Projections!I$2)</f>
        <v>0.97</v>
      </c>
      <c r="J29" s="5">
        <f ca="1">SUMIFS(Goalies!$J:$J,Goalies!$C:$C,Projections!$F29,Goalies!$A:$A,Projections!J$2)</f>
        <v>1.05</v>
      </c>
      <c r="K29" s="5">
        <f ca="1">SUMIFS(Goalies!$J:$J,Goalies!$C:$C,Projections!$F29,Goalies!$A:$A,Projections!K$2)</f>
        <v>1.05</v>
      </c>
      <c r="L29" s="5">
        <f ca="1">IFERROR($G29*H30,0)</f>
        <v>2.6126845320389824</v>
      </c>
      <c r="M29" s="5">
        <f ca="1">IFERROR($G29*I30,0)</f>
        <v>2.8550985607848673</v>
      </c>
      <c r="N29" s="5">
        <f ca="1">IFERROR($G29*J30,0)</f>
        <v>2.6126845320389824</v>
      </c>
      <c r="O29" s="5">
        <f ca="1">IFERROR($G29*K30,0)</f>
        <v>2.8550985607848673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Igor Shesterkin</v>
      </c>
      <c r="R29" s="5" t="str" cm="1">
        <f t="array" aca="1" ref="R29" ca="1">_xlfn.XLOOKUP(1, (Goalies!C:C=Projections!W29)*(Goalies!A:A=Projections!$R$4), Goalies!D:D)</f>
        <v>Jonathan Quick</v>
      </c>
      <c r="S29" s="24">
        <v>1</v>
      </c>
      <c r="T29" s="5">
        <f ca="1">IFERROR(L29*S28+(1-S28)*N29,0)</f>
        <v>2.6126845320389824</v>
      </c>
      <c r="U29" s="5"/>
      <c r="V29" s="5"/>
      <c r="W29" s="40" t="str">
        <f t="shared" ca="1" si="1"/>
        <v>NYR</v>
      </c>
      <c r="X29" s="43">
        <f ca="1">'2026'!BJ27</f>
        <v>133</v>
      </c>
      <c r="Y29" s="43">
        <f ca="1">'2026'!BK27</f>
        <v>-101</v>
      </c>
      <c r="Z29" s="43">
        <f ca="1">'2026'!BL27</f>
        <v>128</v>
      </c>
      <c r="AA29" s="43">
        <f ca="1">'2026'!BM27</f>
        <v>158</v>
      </c>
    </row>
    <row r="30" spans="1:27" x14ac:dyDescent="0.2">
      <c r="A30" s="34">
        <f ca="1">IF(D30=0,"0",(_xlfn.XLOOKUP(B30,'2026'!A:A,'2026'!C:C)))</f>
        <v>46050</v>
      </c>
      <c r="B30" t="str">
        <f ca="1"/>
        <v>2025020842 NYI</v>
      </c>
      <c r="C30">
        <f ca="1"/>
        <v>2025020842</v>
      </c>
      <c r="D30" s="7">
        <f ca="1">_xlfn.XLOOKUP(B30,'2026'!A:A,'2026'!AT:AT)</f>
        <v>3.2770320369844308</v>
      </c>
      <c r="E30" s="7">
        <f ca="1">_xlfn.XLOOKUP(B30,'2026'!A:A,'2026'!Z:Z)</f>
        <v>0.97</v>
      </c>
      <c r="F30" s="39" t="str">
        <f ca="1">_xlfn.XLOOKUP(B30,'2026'!A:A,'2026'!E:E)</f>
        <v>NYI</v>
      </c>
      <c r="G30" s="5">
        <f ca="1">D30/E29</f>
        <v>3.1209828923661243</v>
      </c>
      <c r="H30" s="5">
        <f ca="1">SUMIFS(Goalies!$J:$J,Goalies!$C:$C,Projections!$F30,Goalies!$A:$A,Projections!H$4)</f>
        <v>0.97</v>
      </c>
      <c r="I30" s="5">
        <f ca="1">SUMIFS(Goalies!$J:$J,Goalies!$C:$C,Projections!$F30,Goalies!$A:$A,Projections!I$4)</f>
        <v>1.06</v>
      </c>
      <c r="J30" s="5">
        <f ca="1">SUMIFS(Goalies!$J:$J,Goalies!$C:$C,Projections!$F30,Goalies!$A:$A,Projections!J$4)</f>
        <v>0.97</v>
      </c>
      <c r="K30" s="5">
        <f ca="1">SUMIFS(Goalies!$J:$J,Goalies!$C:$C,Projections!$F30,Goalies!$A:$A,Projections!K$4)</f>
        <v>1.06</v>
      </c>
      <c r="L30" s="5">
        <f ca="1">IFERROR($G30*H29,0)</f>
        <v>3.0273534055951403</v>
      </c>
      <c r="M30" s="5">
        <f ca="1">IFERROR($G30*I29,0)</f>
        <v>3.0273534055951403</v>
      </c>
      <c r="N30" s="5">
        <f ca="1">IFERROR($G30*J29,0)</f>
        <v>3.2770320369844308</v>
      </c>
      <c r="O30" s="5">
        <f ca="1">IFERROR($G30*K29,0)</f>
        <v>3.2770320369844308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Ilya Sorokin</v>
      </c>
      <c r="R30" s="5" t="str" cm="1">
        <f t="array" aca="1" ref="R30" ca="1">_xlfn.XLOOKUP(1, (Goalies!C:C=Projections!W30)*(Goalies!A:A=Projections!$R$4), Goalies!D:D)</f>
        <v>David Rittich</v>
      </c>
      <c r="S30" s="24">
        <v>1</v>
      </c>
      <c r="T30" s="5">
        <f ca="1">IFERROR(L30*S29+(1-S29)*N30,0)</f>
        <v>3.0273534055951403</v>
      </c>
      <c r="U30" s="5"/>
      <c r="V30" s="5"/>
      <c r="W30" s="40" t="str">
        <f t="shared" ca="1" si="1"/>
        <v>NYI</v>
      </c>
      <c r="X30" s="43">
        <f ca="1">'2026'!BJ28</f>
        <v>-133</v>
      </c>
      <c r="Y30" s="43">
        <f ca="1">'2026'!BK28</f>
        <v>101</v>
      </c>
      <c r="Z30" s="43">
        <f ca="1">'2026'!BL28</f>
        <v>-128</v>
      </c>
      <c r="AA30" s="43">
        <f ca="1">'2026'!BM28</f>
        <v>-158</v>
      </c>
    </row>
    <row r="31" spans="1:27" x14ac:dyDescent="0.2">
      <c r="A31" s="34" t="str">
        <f>IF(D31=0,"0",(_xlfn.XLOOKUP(B31,'2026'!A:A,'2026'!C:C)))</f>
        <v>0</v>
      </c>
      <c r="D31" s="7">
        <f>_xlfn.XLOOKUP(B31,'2026'!A:A,'2026'!AT:AT)</f>
        <v>0</v>
      </c>
      <c r="E31" s="7">
        <f>_xlfn.XLOOKUP(B31,'2026'!A:A,'2026'!Z:Z)</f>
        <v>0</v>
      </c>
      <c r="F31" s="39">
        <f>_xlfn.XLOOKUP(B31,'2026'!A:A,'2026'!E:E)</f>
        <v>0</v>
      </c>
      <c r="G31" s="5" t="e">
        <f>D31/E32</f>
        <v>#DIV/0!</v>
      </c>
      <c r="H31" s="5">
        <f>SUMIFS(Goalies!$J:$J,Goalies!$C:$C,Projections!$F31,Goalies!$A:$A,Projections!H$2)</f>
        <v>0</v>
      </c>
      <c r="I31" s="5">
        <f>SUMIFS(Goalies!$J:$J,Goalies!$C:$C,Projections!$F31,Goalies!$A:$A,Projections!I$2)</f>
        <v>0</v>
      </c>
      <c r="J31" s="5">
        <f>SUMIFS(Goalies!$J:$J,Goalies!$C:$C,Projections!$F31,Goalies!$A:$A,Projections!J$2)</f>
        <v>0</v>
      </c>
      <c r="K31" s="5">
        <f>SUMIFS(Goalies!$J:$J,Goalies!$C:$C,Projections!$F31,Goalies!$A:$A,Projections!K$2)</f>
        <v>0</v>
      </c>
      <c r="L31" s="5">
        <f>IFERROR($G31*H32,0)</f>
        <v>0</v>
      </c>
      <c r="M31" s="5">
        <f>IFERROR($G31*I32,0)</f>
        <v>0</v>
      </c>
      <c r="N31" s="5">
        <f>IFERROR($G31*J32,0)</f>
        <v>0</v>
      </c>
      <c r="O31" s="5">
        <f>IFERROR($G31*K32,0)</f>
        <v>0</v>
      </c>
      <c r="P31" s="2">
        <f>_xlfn.XLOOKUP(B31,'2026'!A:A,'2026'!AS:AS)</f>
        <v>0</v>
      </c>
      <c r="Q31" s="5" t="e" cm="1">
        <f t="array" ref="Q31">_xlfn.XLOOKUP(1, (Goalies!C:C=Projections!W31)*(Goalies!A:A=Projections!$Q$4), Goalies!D:D)</f>
        <v>#N/A</v>
      </c>
      <c r="R31" s="5" t="e" cm="1">
        <f t="array" ref="R31">_xlfn.XLOOKUP(1, (Goalies!C:C=Projections!W31)*(Goalies!A:A=Projections!$R$4), Goalies!D:D)</f>
        <v>#N/A</v>
      </c>
      <c r="S31" s="24">
        <v>0</v>
      </c>
      <c r="T31" s="5">
        <f>IFERROR(L31*S32+(1-S32)*M31,0)</f>
        <v>0</v>
      </c>
      <c r="U31" s="5"/>
      <c r="V31" s="5"/>
      <c r="W31">
        <f t="shared" si="1"/>
        <v>0</v>
      </c>
      <c r="X31" s="2" t="e">
        <f>'2026'!BJ29</f>
        <v>#N/A</v>
      </c>
      <c r="Y31" s="2" t="e">
        <f>'2026'!BK29</f>
        <v>#N/A</v>
      </c>
      <c r="Z31" s="2" t="e">
        <f>'2026'!BL29</f>
        <v>#N/A</v>
      </c>
      <c r="AA31" s="2" t="e">
        <f>'2026'!BM29</f>
        <v>#N/A</v>
      </c>
    </row>
    <row r="32" spans="1:27" x14ac:dyDescent="0.2">
      <c r="A32" s="34" t="str">
        <f>IF(D32=0,"0",(_xlfn.XLOOKUP(B32,'2026'!A:A,'2026'!C:C)))</f>
        <v>0</v>
      </c>
      <c r="D32" s="7">
        <f>_xlfn.XLOOKUP(B32,'2026'!A:A,'2026'!AT:AT)</f>
        <v>0</v>
      </c>
      <c r="E32" s="7">
        <f>_xlfn.XLOOKUP(B32,'2026'!A:A,'2026'!Z:Z)</f>
        <v>0</v>
      </c>
      <c r="F32" s="39">
        <f>_xlfn.XLOOKUP(B32,'2026'!A:A,'2026'!E:E)</f>
        <v>0</v>
      </c>
      <c r="G32" s="5" t="e">
        <f>D32/E31</f>
        <v>#DIV/0!</v>
      </c>
      <c r="H32" s="5">
        <f>SUMIFS(Goalies!$J:$J,Goalies!$C:$C,Projections!$F32,Goalies!$A:$A,Projections!H$4)</f>
        <v>0</v>
      </c>
      <c r="I32" s="5">
        <f>SUMIFS(Goalies!$J:$J,Goalies!$C:$C,Projections!$F32,Goalies!$A:$A,Projections!I$4)</f>
        <v>0</v>
      </c>
      <c r="J32" s="5">
        <f>SUMIFS(Goalies!$J:$J,Goalies!$C:$C,Projections!$F32,Goalies!$A:$A,Projections!J$4)</f>
        <v>0</v>
      </c>
      <c r="K32" s="5">
        <f>SUMIFS(Goalies!$J:$J,Goalies!$C:$C,Projections!$F32,Goalies!$A:$A,Projections!K$4)</f>
        <v>0</v>
      </c>
      <c r="L32" s="5">
        <f>IFERROR($G32*H31,0)</f>
        <v>0</v>
      </c>
      <c r="M32" s="5">
        <f>IFERROR($G32*I31,0)</f>
        <v>0</v>
      </c>
      <c r="N32" s="5">
        <f>IFERROR($G32*J31,0)</f>
        <v>0</v>
      </c>
      <c r="O32" s="5">
        <f>IFERROR($G32*K31,0)</f>
        <v>0</v>
      </c>
      <c r="P32" s="2">
        <f>_xlfn.XLOOKUP(B32,'2026'!A:A,'2026'!AS:AS)</f>
        <v>0</v>
      </c>
      <c r="Q32" s="5" t="e" cm="1">
        <f t="array" ref="Q32">_xlfn.XLOOKUP(1, (Goalies!C:C=Projections!W32)*(Goalies!A:A=Projections!$Q$4), Goalies!D:D)</f>
        <v>#N/A</v>
      </c>
      <c r="R32" s="5" t="e" cm="1">
        <f t="array" ref="R32">_xlfn.XLOOKUP(1, (Goalies!C:C=Projections!W32)*(Goalies!A:A=Projections!$R$4), Goalies!D:D)</f>
        <v>#N/A</v>
      </c>
      <c r="S32" s="24">
        <v>1</v>
      </c>
      <c r="T32" s="5">
        <f>IFERROR(L32*S31+(1-S31)*N32,0)</f>
        <v>0</v>
      </c>
      <c r="U32" s="5"/>
      <c r="V32" s="5"/>
      <c r="W32">
        <f t="shared" si="1"/>
        <v>0</v>
      </c>
      <c r="X32" s="2" t="e">
        <f>'2026'!BJ30</f>
        <v>#N/A</v>
      </c>
      <c r="Y32" s="2" t="e">
        <f>'2026'!BK30</f>
        <v>#N/A</v>
      </c>
      <c r="Z32" s="2" t="e">
        <f>'2026'!BL30</f>
        <v>#N/A</v>
      </c>
      <c r="AA32" s="2" t="e">
        <f>'2026'!BM30</f>
        <v>#N/A</v>
      </c>
    </row>
    <row r="33" spans="1:27" x14ac:dyDescent="0.2">
      <c r="A33" s="34" t="str">
        <f>IF(D33=0,"0",(_xlfn.XLOOKUP(B33,'2026'!A:A,'2026'!C:C)))</f>
        <v>0</v>
      </c>
      <c r="D33" s="7">
        <f>_xlfn.XLOOKUP(B33,'2026'!A:A,'2026'!AT:AT)</f>
        <v>0</v>
      </c>
      <c r="E33" s="7">
        <f>_xlfn.XLOOKUP(B33,'2026'!A:A,'2026'!Z:Z)</f>
        <v>0</v>
      </c>
      <c r="F33" s="39">
        <f>_xlfn.XLOOKUP(B33,'2026'!A:A,'2026'!E:E)</f>
        <v>0</v>
      </c>
      <c r="G33" s="5" t="e">
        <f>D33/E34</f>
        <v>#DIV/0!</v>
      </c>
      <c r="H33" s="5">
        <f>SUMIFS(Goalies!$J:$J,Goalies!$C:$C,Projections!$F33,Goalies!$A:$A,Projections!H$2)</f>
        <v>0</v>
      </c>
      <c r="I33" s="5">
        <f>SUMIFS(Goalies!$J:$J,Goalies!$C:$C,Projections!$F33,Goalies!$A:$A,Projections!I$2)</f>
        <v>0</v>
      </c>
      <c r="J33" s="5">
        <f>SUMIFS(Goalies!$J:$J,Goalies!$C:$C,Projections!$F33,Goalies!$A:$A,Projections!J$2)</f>
        <v>0</v>
      </c>
      <c r="K33" s="5">
        <f>SUMIFS(Goalies!$J:$J,Goalies!$C:$C,Projections!$F33,Goalies!$A:$A,Projections!K$2)</f>
        <v>0</v>
      </c>
      <c r="L33" s="5">
        <f>IFERROR($G33*H34,0)</f>
        <v>0</v>
      </c>
      <c r="M33" s="5">
        <f>IFERROR($G33*I34,0)</f>
        <v>0</v>
      </c>
      <c r="N33" s="5">
        <f>IFERROR($G33*J34,0)</f>
        <v>0</v>
      </c>
      <c r="O33" s="5">
        <f>IFERROR($G33*K34,0)</f>
        <v>0</v>
      </c>
      <c r="P33" s="2">
        <f>_xlfn.XLOOKUP(B33,'2026'!A:A,'2026'!AS:AS)</f>
        <v>0</v>
      </c>
      <c r="Q33" s="5" t="e" cm="1">
        <f t="array" ref="Q33">_xlfn.XLOOKUP(1, (Goalies!C:C=Projections!W33)*(Goalies!A:A=Projections!$Q$4), Goalies!D:D)</f>
        <v>#N/A</v>
      </c>
      <c r="R33" s="5" t="e" cm="1">
        <f t="array" ref="R33">_xlfn.XLOOKUP(1, (Goalies!C:C=Projections!W33)*(Goalies!A:A=Projections!$R$4), Goalies!D:D)</f>
        <v>#N/A</v>
      </c>
      <c r="S33" s="24">
        <v>0</v>
      </c>
      <c r="T33" s="5">
        <f>IFERROR(L33*S34+(1-S34)*M33,0)</f>
        <v>0</v>
      </c>
      <c r="U33" s="5"/>
      <c r="V33" s="5"/>
      <c r="W33" s="40">
        <f t="shared" si="1"/>
        <v>0</v>
      </c>
      <c r="X33" s="43" t="e">
        <f>'2026'!BJ31</f>
        <v>#N/A</v>
      </c>
      <c r="Y33" s="43" t="e">
        <f>'2026'!BK31</f>
        <v>#N/A</v>
      </c>
      <c r="Z33" s="43" t="e">
        <f>'2026'!BL31</f>
        <v>#N/A</v>
      </c>
      <c r="AA33" s="43" t="e">
        <f>'2026'!BM31</f>
        <v>#N/A</v>
      </c>
    </row>
    <row r="34" spans="1:27" x14ac:dyDescent="0.2">
      <c r="A34" s="34" t="str">
        <f>IF(D34=0,"0",(_xlfn.XLOOKUP(B34,'2026'!A:A,'2026'!C:C)))</f>
        <v>0</v>
      </c>
      <c r="D34" s="7">
        <f>_xlfn.XLOOKUP(B34,'2026'!A:A,'2026'!AT:AT)</f>
        <v>0</v>
      </c>
      <c r="E34" s="7">
        <f>_xlfn.XLOOKUP(B34,'2026'!A:A,'2026'!Z:Z)</f>
        <v>0</v>
      </c>
      <c r="F34" s="39">
        <f>_xlfn.XLOOKUP(B34,'2026'!A:A,'2026'!E:E)</f>
        <v>0</v>
      </c>
      <c r="G34" s="5" t="e">
        <f>D34/E33</f>
        <v>#DIV/0!</v>
      </c>
      <c r="H34" s="5">
        <f>SUMIFS(Goalies!$J:$J,Goalies!$C:$C,Projections!$F34,Goalies!$A:$A,Projections!H$4)</f>
        <v>0</v>
      </c>
      <c r="I34" s="5">
        <f>SUMIFS(Goalies!$J:$J,Goalies!$C:$C,Projections!$F34,Goalies!$A:$A,Projections!I$4)</f>
        <v>0</v>
      </c>
      <c r="J34" s="5">
        <f>SUMIFS(Goalies!$J:$J,Goalies!$C:$C,Projections!$F34,Goalies!$A:$A,Projections!J$4)</f>
        <v>0</v>
      </c>
      <c r="K34" s="5">
        <f>SUMIFS(Goalies!$J:$J,Goalies!$C:$C,Projections!$F34,Goalies!$A:$A,Projections!K$4)</f>
        <v>0</v>
      </c>
      <c r="L34" s="5">
        <f>IFERROR($G34*H33,0)</f>
        <v>0</v>
      </c>
      <c r="M34" s="5">
        <f>IFERROR($G34*I33,0)</f>
        <v>0</v>
      </c>
      <c r="N34" s="5">
        <f>IFERROR($G34*J33,0)</f>
        <v>0</v>
      </c>
      <c r="O34" s="5">
        <f>IFERROR($G34*K33,0)</f>
        <v>0</v>
      </c>
      <c r="P34" s="2">
        <f>_xlfn.XLOOKUP(B34,'2026'!A:A,'2026'!AS:AS)</f>
        <v>0</v>
      </c>
      <c r="Q34" s="5" t="e" cm="1">
        <f t="array" ref="Q34">_xlfn.XLOOKUP(1, (Goalies!C:C=Projections!W34)*(Goalies!A:A=Projections!$Q$4), Goalies!D:D)</f>
        <v>#N/A</v>
      </c>
      <c r="R34" s="5" t="e" cm="1">
        <f t="array" ref="R34">_xlfn.XLOOKUP(1, (Goalies!C:C=Projections!W34)*(Goalies!A:A=Projections!$R$4), Goalies!D:D)</f>
        <v>#N/A</v>
      </c>
      <c r="S34" s="24">
        <v>1</v>
      </c>
      <c r="T34" s="5">
        <f>IFERROR(L34*S33+(1-S33)*N34,0)</f>
        <v>0</v>
      </c>
      <c r="U34" s="5"/>
      <c r="V34" s="5"/>
      <c r="W34" s="40">
        <f t="shared" si="1"/>
        <v>0</v>
      </c>
      <c r="X34" s="43" t="e">
        <f>'2026'!BJ32</f>
        <v>#N/A</v>
      </c>
      <c r="Y34" s="43" t="e">
        <f>'2026'!BK32</f>
        <v>#N/A</v>
      </c>
      <c r="Z34" s="43" t="e">
        <f>'2026'!BL32</f>
        <v>#N/A</v>
      </c>
      <c r="AA34" s="43" t="e">
        <f>'2026'!BM32</f>
        <v>#N/A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1588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1589</v>
      </c>
    </row>
    <row r="1307" spans="16:16" x14ac:dyDescent="0.2">
      <c r="P1307" s="96" t="s">
        <v>1589</v>
      </c>
    </row>
    <row r="1308" spans="16:16" x14ac:dyDescent="0.2">
      <c r="P1308" s="96" t="s">
        <v>1590</v>
      </c>
    </row>
    <row r="1309" spans="16:16" x14ac:dyDescent="0.2">
      <c r="P1309" s="96" t="s">
        <v>1590</v>
      </c>
    </row>
    <row r="1310" spans="16:16" x14ac:dyDescent="0.2">
      <c r="P1310" s="96" t="s">
        <v>1591</v>
      </c>
    </row>
    <row r="1311" spans="16:16" x14ac:dyDescent="0.2">
      <c r="P1311" s="96" t="s">
        <v>1591</v>
      </c>
    </row>
    <row r="1312" spans="16:16" x14ac:dyDescent="0.2">
      <c r="P1312" s="96" t="s">
        <v>1590</v>
      </c>
    </row>
    <row r="1313" spans="16:16" x14ac:dyDescent="0.2">
      <c r="P1313" s="96" t="s">
        <v>1590</v>
      </c>
    </row>
    <row r="1314" spans="16:16" x14ac:dyDescent="0.2">
      <c r="P1314" s="96" t="s">
        <v>1589</v>
      </c>
    </row>
    <row r="1315" spans="16:16" x14ac:dyDescent="0.2">
      <c r="P1315" s="96" t="s">
        <v>1589</v>
      </c>
    </row>
    <row r="1316" spans="16:16" x14ac:dyDescent="0.2">
      <c r="P1316" s="96" t="s">
        <v>1590</v>
      </c>
    </row>
    <row r="1317" spans="16:16" x14ac:dyDescent="0.2">
      <c r="P1317" s="96" t="s">
        <v>1590</v>
      </c>
    </row>
    <row r="1318" spans="16:16" x14ac:dyDescent="0.2">
      <c r="P1318" s="96" t="s">
        <v>1591</v>
      </c>
    </row>
    <row r="1319" spans="16:16" x14ac:dyDescent="0.2">
      <c r="P1319" s="96" t="s">
        <v>1591</v>
      </c>
    </row>
    <row r="1320" spans="16:16" x14ac:dyDescent="0.2">
      <c r="P1320" s="96" t="s">
        <v>1589</v>
      </c>
    </row>
    <row r="1321" spans="16:16" x14ac:dyDescent="0.2">
      <c r="P1321" s="96" t="s">
        <v>1589</v>
      </c>
    </row>
    <row r="1322" spans="16:16" x14ac:dyDescent="0.2">
      <c r="P1322" s="96" t="s">
        <v>1589</v>
      </c>
    </row>
    <row r="1323" spans="16:16" x14ac:dyDescent="0.2">
      <c r="P1323" s="96" t="s">
        <v>1589</v>
      </c>
    </row>
    <row r="1324" spans="16:16" x14ac:dyDescent="0.2">
      <c r="P1324" s="96" t="s">
        <v>1589</v>
      </c>
    </row>
    <row r="1325" spans="16:16" x14ac:dyDescent="0.2">
      <c r="P1325" s="96" t="s">
        <v>1589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K1705" activePane="bottomRight" state="frozen"/>
      <selection activeCell="J43" sqref="J43"/>
      <selection pane="topRight" activeCell="J43" sqref="J43"/>
      <selection pane="bottomLeft" activeCell="J43" sqref="J43"/>
      <selection pane="bottomRight" activeCell="I1721" sqref="I1721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3.0713333500216438</v>
      </c>
      <c r="BJ3" s="21">
        <f t="shared" ca="1" si="0"/>
        <v>104</v>
      </c>
      <c r="BK3" s="21">
        <f t="shared" ca="1" si="0"/>
        <v>-142</v>
      </c>
      <c r="BL3" s="21">
        <f t="shared" ca="1" si="0"/>
        <v>-115</v>
      </c>
      <c r="BM3" s="21">
        <f t="shared" ca="1" si="0"/>
        <v>111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0.49009008551397426</v>
      </c>
      <c r="BO3" s="22">
        <f ca="1">1-BO4</f>
        <v>0.58717513692809908</v>
      </c>
      <c r="BP3" s="22">
        <f ca="1">1-BP4</f>
        <v>0.53465688730608751</v>
      </c>
      <c r="BQ3" s="22">
        <f ca="1">1-BQ4</f>
        <v>0.47431208486799914</v>
      </c>
    </row>
    <row r="4" spans="48:69" ht="15" x14ac:dyDescent="0.2">
      <c r="AV4" s="5">
        <f ca="1">Projections!T6</f>
        <v>3.0877083454054053</v>
      </c>
      <c r="BJ4" s="21">
        <f t="shared" ca="1" si="0"/>
        <v>-104</v>
      </c>
      <c r="BK4" s="21">
        <f t="shared" ca="1" si="0"/>
        <v>142</v>
      </c>
      <c r="BL4" s="21">
        <f t="shared" ca="1" si="0"/>
        <v>115</v>
      </c>
      <c r="BM4" s="21">
        <f t="shared" ca="1" si="0"/>
        <v>-111</v>
      </c>
      <c r="BN4" s="22">
        <f ca="1">1-BN3</f>
        <v>0.50990991448602574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0.41282486307190092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0.46534311269391249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0.52568791513200086</v>
      </c>
    </row>
    <row r="5" spans="48:69" ht="15" x14ac:dyDescent="0.2">
      <c r="AV5" s="5">
        <f ca="1">Projections!T7</f>
        <v>2.7464222989125537</v>
      </c>
      <c r="BJ5" s="21">
        <f t="shared" ca="1" si="0"/>
        <v>124</v>
      </c>
      <c r="BK5" s="21">
        <f t="shared" ca="1" si="0"/>
        <v>-112</v>
      </c>
      <c r="BL5" s="21">
        <f t="shared" ca="1" si="0"/>
        <v>113</v>
      </c>
      <c r="BM5" s="21">
        <f t="shared" ca="1" si="0"/>
        <v>141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0.445801826521601</v>
      </c>
      <c r="BO5" s="22">
        <f ca="1">1-BO6</f>
        <v>0.52906245426066945</v>
      </c>
      <c r="BP5" s="22">
        <f ca="1">1-BP6</f>
        <v>0.46880890621933069</v>
      </c>
      <c r="BQ5" s="22">
        <f ca="1">1-BQ6</f>
        <v>0.41563239145410003</v>
      </c>
    </row>
    <row r="6" spans="48:69" ht="15" x14ac:dyDescent="0.2">
      <c r="AV6" s="5">
        <f ca="1">Projections!T8</f>
        <v>3.0526291864864872</v>
      </c>
      <c r="BJ6" s="21">
        <f t="shared" ref="BJ6:BJ18" ca="1" si="1">IF(BN6=0.5,100,IF(BN6&gt;0.5,-ROUND(100*BN6/(1-BN6),0),ROUND(100*(1-BN6)/BN6,0)))</f>
        <v>-124</v>
      </c>
      <c r="BK6" s="21">
        <f t="shared" ref="BK6:BK18" ca="1" si="2">IF(BO6=0.5,100,IF(BO6&gt;0.5,-ROUND(100*BO6/(1-BO6),0),ROUND(100*(1-BO6)/BO6,0)))</f>
        <v>112</v>
      </c>
      <c r="BL6" s="21">
        <f t="shared" ref="BL6:BL18" ca="1" si="3">IF(BP6=0.5,100,IF(BP6&gt;0.5,-ROUND(100*BP6/(1-BP6),0),ROUND(100*(1-BP6)/BP6,0)))</f>
        <v>-113</v>
      </c>
      <c r="BM6" s="21">
        <f t="shared" ref="BM6:BM18" ca="1" si="4">IF(BQ6=0.5,100,IF(BQ6&gt;0.5,-ROUND(100*BQ6/(1-BQ6),0),ROUND(100*(1-BQ6)/BQ6,0)))</f>
        <v>-141</v>
      </c>
      <c r="BN6" s="22">
        <f ca="1">1-BN5</f>
        <v>0.55419817347839895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0.47093754573933055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0.53119109378066931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0.58436760854589997</v>
      </c>
    </row>
    <row r="7" spans="48:69" ht="15" x14ac:dyDescent="0.2">
      <c r="AV7" s="5">
        <f ca="1">Projections!T9</f>
        <v>3.0650645845276849</v>
      </c>
      <c r="BJ7" s="21">
        <f t="shared" ca="1" si="1"/>
        <v>117</v>
      </c>
      <c r="BK7" s="21">
        <f t="shared" ca="1" si="2"/>
        <v>-161</v>
      </c>
      <c r="BL7" s="21">
        <f t="shared" ca="1" si="3"/>
        <v>-132</v>
      </c>
      <c r="BM7" s="21">
        <f t="shared" ca="1" si="4"/>
        <v>-102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0.46017996797889671</v>
      </c>
      <c r="BO7" s="22">
        <f ca="1">1-BO8</f>
        <v>0.61738492756442542</v>
      </c>
      <c r="BP7" s="22">
        <f ca="1">1-BP8</f>
        <v>0.56917045288150736</v>
      </c>
      <c r="BQ7" s="22">
        <f ca="1">1-BQ8</f>
        <v>0.50547648339926876</v>
      </c>
    </row>
    <row r="8" spans="48:69" ht="15" x14ac:dyDescent="0.2">
      <c r="AV8" s="5">
        <f ca="1">Projections!T10</f>
        <v>3.2898608340448781</v>
      </c>
      <c r="BJ8" s="21">
        <f t="shared" ca="1" si="1"/>
        <v>-117</v>
      </c>
      <c r="BK8" s="21">
        <f t="shared" ca="1" si="2"/>
        <v>161</v>
      </c>
      <c r="BL8" s="21">
        <f t="shared" ca="1" si="3"/>
        <v>132</v>
      </c>
      <c r="BM8" s="21">
        <f t="shared" ca="1" si="4"/>
        <v>102</v>
      </c>
      <c r="BN8" s="22">
        <f ca="1">1-BN7</f>
        <v>0.53982003202110329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0.38261507243557452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0.4308295471184927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0.49452351660073124</v>
      </c>
    </row>
    <row r="9" spans="48:69" ht="15" x14ac:dyDescent="0.2">
      <c r="AV9" s="5">
        <f ca="1">Projections!T11</f>
        <v>2.8177116718205104</v>
      </c>
      <c r="BJ9" s="21">
        <f t="shared" ca="1" si="1"/>
        <v>147</v>
      </c>
      <c r="BK9" s="21">
        <f t="shared" ca="1" si="2"/>
        <v>-150</v>
      </c>
      <c r="BL9" s="21">
        <f t="shared" ca="1" si="3"/>
        <v>-121</v>
      </c>
      <c r="BM9" s="21">
        <f t="shared" ca="1" si="4"/>
        <v>106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0.40500945920086412</v>
      </c>
      <c r="BO9" s="22">
        <f ca="1">1-BO10</f>
        <v>0.59945151341459135</v>
      </c>
      <c r="BP9" s="22">
        <f ca="1">1-BP10</f>
        <v>0.54813828899716899</v>
      </c>
      <c r="BQ9" s="22">
        <f ca="1">1-BQ10</f>
        <v>0.48589572520523705</v>
      </c>
    </row>
    <row r="10" spans="48:69" ht="15" x14ac:dyDescent="0.2">
      <c r="AV10" s="5">
        <f ca="1">Projections!T12</f>
        <v>3.4197616089527032</v>
      </c>
      <c r="BJ10" s="21">
        <f t="shared" ca="1" si="1"/>
        <v>-147</v>
      </c>
      <c r="BK10" s="21">
        <f t="shared" ca="1" si="2"/>
        <v>150</v>
      </c>
      <c r="BL10" s="21">
        <f t="shared" ca="1" si="3"/>
        <v>121</v>
      </c>
      <c r="BM10" s="21">
        <f t="shared" ca="1" si="4"/>
        <v>-106</v>
      </c>
      <c r="BN10" s="22">
        <f ca="1">1-BN9</f>
        <v>0.59499054079913583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0.40054848658540865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0.45186171100283101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0.51410427479476295</v>
      </c>
    </row>
    <row r="11" spans="48:69" ht="15" x14ac:dyDescent="0.2">
      <c r="AV11" s="5">
        <f ca="1">Projections!T13</f>
        <v>3.159006785241123</v>
      </c>
      <c r="BJ11" s="21">
        <f t="shared" ca="1" si="1"/>
        <v>-110</v>
      </c>
      <c r="BK11" s="21">
        <f t="shared" ca="1" si="2"/>
        <v>-145</v>
      </c>
      <c r="BL11" s="21">
        <f t="shared" ca="1" si="3"/>
        <v>-117</v>
      </c>
      <c r="BM11" s="21">
        <f t="shared" ca="1" si="4"/>
        <v>109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0.52401641076131167</v>
      </c>
      <c r="BO11" s="22">
        <f ca="1">1-BO12</f>
        <v>0.59115631312197037</v>
      </c>
      <c r="BP11" s="22">
        <f ca="1">1-BP12</f>
        <v>0.53958563850951502</v>
      </c>
      <c r="BQ11" s="22">
        <f ca="1">1-BQ12</f>
        <v>0.47914737319282119</v>
      </c>
    </row>
    <row r="12" spans="48:69" ht="15" x14ac:dyDescent="0.2">
      <c r="AV12" s="5">
        <f ca="1">Projections!T14</f>
        <v>3.0340640273628638</v>
      </c>
      <c r="BJ12" s="21">
        <f t="shared" ca="1" si="1"/>
        <v>110</v>
      </c>
      <c r="BK12" s="21">
        <f t="shared" ca="1" si="2"/>
        <v>145</v>
      </c>
      <c r="BL12" s="21">
        <f t="shared" ca="1" si="3"/>
        <v>117</v>
      </c>
      <c r="BM12" s="21">
        <f t="shared" ca="1" si="4"/>
        <v>-109</v>
      </c>
      <c r="BN12" s="22">
        <f ca="1">1-BN11</f>
        <v>0.47598358923868833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0.40884368687802963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0.46041436149048492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0.52085262680717881</v>
      </c>
    </row>
    <row r="13" spans="48:69" ht="15" x14ac:dyDescent="0.2">
      <c r="AV13" s="5">
        <f ca="1">Projections!T15</f>
        <v>2.7839103010793824</v>
      </c>
      <c r="BJ13" s="21">
        <f t="shared" ca="1" si="1"/>
        <v>118</v>
      </c>
      <c r="BK13" s="21">
        <f t="shared" ca="1" si="2"/>
        <v>-113</v>
      </c>
      <c r="BL13" s="21">
        <f t="shared" ca="1" si="3"/>
        <v>113</v>
      </c>
      <c r="BM13" s="21">
        <f t="shared" ca="1" si="4"/>
        <v>140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0.45824849103186521</v>
      </c>
      <c r="BO13" s="22">
        <f ca="1">1-BO14</f>
        <v>0.52977179710095235</v>
      </c>
      <c r="BP13" s="22">
        <f ca="1">1-BP14</f>
        <v>0.46975409627149267</v>
      </c>
      <c r="BQ13" s="22">
        <f ca="1">1-BQ14</f>
        <v>0.41658371392854954</v>
      </c>
    </row>
    <row r="14" spans="48:69" ht="15" x14ac:dyDescent="0.2">
      <c r="AV14" s="5">
        <f ca="1">Projections!T16</f>
        <v>3.0179754427439707</v>
      </c>
      <c r="BJ14" s="21">
        <f t="shared" ca="1" si="1"/>
        <v>-118</v>
      </c>
      <c r="BK14" s="21">
        <f t="shared" ca="1" si="2"/>
        <v>113</v>
      </c>
      <c r="BL14" s="21">
        <f t="shared" ca="1" si="3"/>
        <v>-113</v>
      </c>
      <c r="BM14" s="21">
        <f t="shared" ca="1" si="4"/>
        <v>-140</v>
      </c>
      <c r="BN14" s="22">
        <f ca="1">1-BN13</f>
        <v>0.54175150896813484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0.47022820289904765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0.53024590372850733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0.58341628607145046</v>
      </c>
    </row>
    <row r="15" spans="48:69" ht="15" x14ac:dyDescent="0.2">
      <c r="AV15" s="5">
        <f ca="1">Projections!T17</f>
        <v>2.5102247176959342</v>
      </c>
      <c r="BJ15" s="21">
        <f t="shared" ca="1" si="1"/>
        <v>198</v>
      </c>
      <c r="BK15" s="21">
        <f t="shared" ca="1" si="2"/>
        <v>-134</v>
      </c>
      <c r="BL15" s="21">
        <f t="shared" ca="1" si="3"/>
        <v>-107</v>
      </c>
      <c r="BM15" s="21">
        <f t="shared" ca="1" si="4"/>
        <v>119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0.33584647331543727</v>
      </c>
      <c r="BO15" s="22">
        <f ca="1">1-BO16</f>
        <v>0.57317793529718242</v>
      </c>
      <c r="BP15" s="22">
        <f ca="1">1-BP16</f>
        <v>0.51677519517078119</v>
      </c>
      <c r="BQ15" s="22">
        <f ca="1">1-BQ16</f>
        <v>0.45646191942657344</v>
      </c>
    </row>
    <row r="16" spans="48:69" ht="15" x14ac:dyDescent="0.2">
      <c r="AV16" s="5">
        <f ca="1">Projections!T18</f>
        <v>3.5660022700987377</v>
      </c>
      <c r="BJ16" s="21">
        <f t="shared" ca="1" si="1"/>
        <v>-198</v>
      </c>
      <c r="BK16" s="21">
        <f t="shared" ca="1" si="2"/>
        <v>134</v>
      </c>
      <c r="BL16" s="21">
        <f t="shared" ca="1" si="3"/>
        <v>107</v>
      </c>
      <c r="BM16" s="21">
        <f t="shared" ca="1" si="4"/>
        <v>-119</v>
      </c>
      <c r="BN16" s="22">
        <f ca="1">1-BN15</f>
        <v>0.66415352668456273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0.42682206470281758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0.48322480482921881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0.54353808057342656</v>
      </c>
    </row>
    <row r="17" spans="48:69" ht="15" x14ac:dyDescent="0.2">
      <c r="AV17" s="5">
        <f ca="1">Projections!T19</f>
        <v>3.2114065441844661</v>
      </c>
      <c r="BJ17" s="21">
        <f t="shared" ca="1" si="1"/>
        <v>-158</v>
      </c>
      <c r="BK17" s="21">
        <f t="shared" ca="1" si="2"/>
        <v>-107</v>
      </c>
      <c r="BL17" s="21">
        <f t="shared" ca="1" si="3"/>
        <v>119</v>
      </c>
      <c r="BM17" s="21">
        <f t="shared" ca="1" si="4"/>
        <v>148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0.61235603711838316</v>
      </c>
      <c r="BO17" s="22">
        <f ca="1">1-BO18</f>
        <v>0.51780271438452397</v>
      </c>
      <c r="BP17" s="22">
        <f ca="1">1-BP18</f>
        <v>0.4557312120464555</v>
      </c>
      <c r="BQ17" s="22">
        <f ca="1">1-BQ18</f>
        <v>0.40375513512614436</v>
      </c>
    </row>
    <row r="18" spans="48:69" ht="15" x14ac:dyDescent="0.2">
      <c r="AV18" s="5">
        <f ca="1">Projections!T20</f>
        <v>2.5255549747198662</v>
      </c>
      <c r="BJ18" s="21">
        <f t="shared" ca="1" si="1"/>
        <v>158</v>
      </c>
      <c r="BK18" s="21">
        <f t="shared" ca="1" si="2"/>
        <v>107</v>
      </c>
      <c r="BL18" s="21">
        <f t="shared" ca="1" si="3"/>
        <v>-119</v>
      </c>
      <c r="BM18" s="21">
        <f t="shared" ca="1" si="4"/>
        <v>-148</v>
      </c>
      <c r="BN18" s="22">
        <f ca="1">1-BN17</f>
        <v>0.38764396288161684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0.48219728561547603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0.5442687879535445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0.59624486487385564</v>
      </c>
    </row>
    <row r="19" spans="48:69" ht="15" x14ac:dyDescent="0.2">
      <c r="AV19" s="5">
        <f ca="1">Projections!T21</f>
        <v>6.720467297708093</v>
      </c>
      <c r="BJ19" s="21" t="e">
        <f t="shared" ref="BJ19:BJ56" ca="1" si="5">IF(BN19=0.5,100,IF(BN19&gt;0.5,-ROUND(100*BN19/(1-BN19),0),ROUND(100*(1-BN19)/BN19,0)))</f>
        <v>#N/A</v>
      </c>
      <c r="BK19" s="21" t="e">
        <f t="shared" ref="BK19:BK56" ca="1" si="6">IF(BO19=0.5,100,IF(BO19&gt;0.5,-ROUND(100*BO19/(1-BO19),0),ROUND(100*(1-BO19)/BO19,0)))</f>
        <v>#N/A</v>
      </c>
      <c r="BL19" s="21" t="e">
        <f t="shared" ref="BL19:BL56" ca="1" si="7">IF(BP19=0.5,100,IF(BP19&gt;0.5,-ROUND(100*BP19/(1-BP19),0),ROUND(100*(1-BP19)/BP19,0)))</f>
        <v>#N/A</v>
      </c>
      <c r="BM19" s="21" t="e">
        <f t="shared" ref="BM19:BM56" ca="1" si="8">IF(BQ19=0.5,100,IF(BQ19&gt;0.5,-ROUND(100*BQ19/(1-BQ19),0),ROUND(100*(1-BQ19)/BQ19,0)))</f>
        <v>#N/A</v>
      </c>
      <c r="BN19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#N/A</v>
      </c>
      <c r="BO19" s="22" t="e">
        <f ca="1">1-BO20</f>
        <v>#N/A</v>
      </c>
      <c r="BP19" s="22" t="e">
        <f ca="1">1-BP20</f>
        <v>#N/A</v>
      </c>
      <c r="BQ19" s="22" t="e">
        <f ca="1">1-BQ20</f>
        <v>#N/A</v>
      </c>
    </row>
    <row r="20" spans="48:69" ht="15" x14ac:dyDescent="0.2">
      <c r="AV20" s="5">
        <f ca="1">Projections!T22</f>
        <v>3.0698861084558731</v>
      </c>
      <c r="BJ20" s="21" t="e">
        <f t="shared" ca="1" si="5"/>
        <v>#N/A</v>
      </c>
      <c r="BK20" s="21" t="e">
        <f t="shared" ca="1" si="6"/>
        <v>#N/A</v>
      </c>
      <c r="BL20" s="21" t="e">
        <f t="shared" ca="1" si="7"/>
        <v>#N/A</v>
      </c>
      <c r="BM20" s="21" t="e">
        <f t="shared" ca="1" si="8"/>
        <v>#N/A</v>
      </c>
      <c r="BN20" s="22" t="e">
        <f ca="1">1-BN19</f>
        <v>#N/A</v>
      </c>
      <c r="BO20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20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20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21" spans="48:69" ht="15" x14ac:dyDescent="0.2">
      <c r="AV21" s="5">
        <f ca="1">Projections!T23</f>
        <v>3.1277119819868822</v>
      </c>
      <c r="BJ21" s="21">
        <f t="shared" ca="1" si="5"/>
        <v>-124</v>
      </c>
      <c r="BK21" s="21">
        <f t="shared" ca="1" si="6"/>
        <v>-121</v>
      </c>
      <c r="BL21" s="21">
        <f t="shared" ca="1" si="7"/>
        <v>104</v>
      </c>
      <c r="BM21" s="21">
        <f t="shared" ca="1" si="8"/>
        <v>130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0.55415421440781132</v>
      </c>
      <c r="BO21" s="22">
        <f ca="1">1-BO22</f>
        <v>0.54792046324425869</v>
      </c>
      <c r="BP21" s="22">
        <f ca="1">1-BP22</f>
        <v>0.48970762677306034</v>
      </c>
      <c r="BQ21" s="22">
        <f ca="1">1-BQ22</f>
        <v>0.4338405454899702</v>
      </c>
    </row>
    <row r="22" spans="48:69" ht="15" x14ac:dyDescent="0.2">
      <c r="AV22" s="5">
        <f ca="1">Projections!T24</f>
        <v>2.7972665445101352</v>
      </c>
      <c r="BJ22" s="21">
        <f t="shared" ca="1" si="5"/>
        <v>124</v>
      </c>
      <c r="BK22" s="21">
        <f t="shared" ca="1" si="6"/>
        <v>121</v>
      </c>
      <c r="BL22" s="21">
        <f t="shared" ca="1" si="7"/>
        <v>-104</v>
      </c>
      <c r="BM22" s="21">
        <f t="shared" ca="1" si="8"/>
        <v>-130</v>
      </c>
      <c r="BN22" s="22">
        <f ca="1">1-BN21</f>
        <v>0.44584578559218868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0.45207953675574131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0.51029237322693966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0.5661594545100298</v>
      </c>
    </row>
    <row r="23" spans="48:69" ht="15" x14ac:dyDescent="0.2">
      <c r="AV23" s="5">
        <f ca="1">Projections!T25</f>
        <v>2.8358386532094597</v>
      </c>
      <c r="BJ23" s="21">
        <f t="shared" ca="1" si="5"/>
        <v>142</v>
      </c>
      <c r="BK23" s="21">
        <f t="shared" ca="1" si="6"/>
        <v>-148</v>
      </c>
      <c r="BL23" s="21">
        <f t="shared" ca="1" si="7"/>
        <v>-119</v>
      </c>
      <c r="BM23" s="21">
        <f t="shared" ca="1" si="8"/>
        <v>108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0.41386104238389959</v>
      </c>
      <c r="BO23" s="22">
        <f ca="1">1-BO24</f>
        <v>0.59597765166771399</v>
      </c>
      <c r="BP23" s="22">
        <f ca="1">1-BP24</f>
        <v>0.54344982551034315</v>
      </c>
      <c r="BQ23" s="22">
        <f ca="1">1-BQ24</f>
        <v>0.48092242324129109</v>
      </c>
    </row>
    <row r="24" spans="48:69" ht="15" x14ac:dyDescent="0.2">
      <c r="AV24" s="5">
        <f ca="1">Projections!T26</f>
        <v>3.3783275675675668</v>
      </c>
      <c r="BJ24" s="21">
        <f t="shared" ca="1" si="5"/>
        <v>-142</v>
      </c>
      <c r="BK24" s="21">
        <f t="shared" ca="1" si="6"/>
        <v>148</v>
      </c>
      <c r="BL24" s="21">
        <f t="shared" ca="1" si="7"/>
        <v>119</v>
      </c>
      <c r="BM24" s="21">
        <f t="shared" ca="1" si="8"/>
        <v>-108</v>
      </c>
      <c r="BN24" s="22">
        <f ca="1">1-BN23</f>
        <v>0.58613895761610046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0.40402234833228601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0.45655017448965685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0.51907757675870891</v>
      </c>
    </row>
    <row r="25" spans="48:69" ht="15" x14ac:dyDescent="0.2">
      <c r="AV25" s="5">
        <f ca="1">Projections!T27</f>
        <v>3.5218592216216216</v>
      </c>
      <c r="BJ25" s="21">
        <f t="shared" ca="1" si="5"/>
        <v>-155</v>
      </c>
      <c r="BK25" s="21">
        <f t="shared" ca="1" si="6"/>
        <v>-160</v>
      </c>
      <c r="BL25" s="21">
        <f t="shared" ca="1" si="7"/>
        <v>-131</v>
      </c>
      <c r="BM25" s="21">
        <f t="shared" ca="1" si="8"/>
        <v>-101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0.60768436115606117</v>
      </c>
      <c r="BO25" s="22">
        <f ca="1">1-BO26</f>
        <v>0.61601227746779519</v>
      </c>
      <c r="BP25" s="22">
        <f ca="1">1-BP26</f>
        <v>0.56670832580014441</v>
      </c>
      <c r="BQ25" s="22">
        <f ca="1">1-BQ26</f>
        <v>0.50222296652315201</v>
      </c>
    </row>
    <row r="26" spans="48:69" ht="15" x14ac:dyDescent="0.2">
      <c r="AV26" s="5">
        <f ca="1">Projections!T28</f>
        <v>2.8340933699324324</v>
      </c>
      <c r="BJ26" s="21">
        <f t="shared" ca="1" si="5"/>
        <v>155</v>
      </c>
      <c r="BK26" s="21">
        <f t="shared" ca="1" si="6"/>
        <v>160</v>
      </c>
      <c r="BL26" s="21">
        <f t="shared" ca="1" si="7"/>
        <v>131</v>
      </c>
      <c r="BM26" s="21">
        <f t="shared" ca="1" si="8"/>
        <v>101</v>
      </c>
      <c r="BN26" s="22">
        <f ca="1">1-BN25</f>
        <v>0.39231563884393883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0.38398772253220481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0.43329167419985559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0.49777703347684799</v>
      </c>
    </row>
    <row r="27" spans="48:69" ht="15" x14ac:dyDescent="0.2">
      <c r="AV27" s="5">
        <f ca="1">Projections!T29</f>
        <v>2.6126845320389824</v>
      </c>
      <c r="BJ27" s="21">
        <f t="shared" ca="1" si="5"/>
        <v>133</v>
      </c>
      <c r="BK27" s="21">
        <f t="shared" ca="1" si="6"/>
        <v>-101</v>
      </c>
      <c r="BL27" s="21">
        <f t="shared" ca="1" si="7"/>
        <v>128</v>
      </c>
      <c r="BM27" s="21">
        <f t="shared" ca="1" si="8"/>
        <v>158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0.42893854783720792</v>
      </c>
      <c r="BO27" s="22">
        <f ca="1">1-BO28</f>
        <v>0.50150083496406128</v>
      </c>
      <c r="BP27" s="22">
        <f ca="1">1-BP28</f>
        <v>0.43768553034622193</v>
      </c>
      <c r="BQ27" s="22">
        <f ca="1">1-BQ28</f>
        <v>0.38801367706348122</v>
      </c>
    </row>
    <row r="28" spans="48:69" ht="15" x14ac:dyDescent="0.2">
      <c r="AV28" s="5">
        <f ca="1">Projections!T30</f>
        <v>3.0273534055951403</v>
      </c>
      <c r="BJ28" s="21">
        <f t="shared" ca="1" si="5"/>
        <v>-133</v>
      </c>
      <c r="BK28" s="21">
        <f t="shared" ca="1" si="6"/>
        <v>101</v>
      </c>
      <c r="BL28" s="21">
        <f t="shared" ca="1" si="7"/>
        <v>-128</v>
      </c>
      <c r="BM28" s="21">
        <f t="shared" ca="1" si="8"/>
        <v>-158</v>
      </c>
      <c r="BN28" s="22">
        <f ca="1">1-BN27</f>
        <v>0.57106145216279214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0.49849916503593877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0.56231446965377807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0.61198632293651878</v>
      </c>
    </row>
    <row r="29" spans="48:69" ht="15" x14ac:dyDescent="0.2">
      <c r="AV29" s="5">
        <f>Projections!T31</f>
        <v>0</v>
      </c>
      <c r="BJ29" s="21" t="e">
        <f t="shared" si="5"/>
        <v>#N/A</v>
      </c>
      <c r="BK29" s="21" t="e">
        <f t="shared" si="6"/>
        <v>#N/A</v>
      </c>
      <c r="BL29" s="21" t="e">
        <f t="shared" si="7"/>
        <v>#N/A</v>
      </c>
      <c r="BM29" s="21" t="e">
        <f t="shared" si="8"/>
        <v>#N/A</v>
      </c>
      <c r="BN29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#N/A</v>
      </c>
      <c r="BO29" s="22" t="e">
        <f>1-BO30</f>
        <v>#N/A</v>
      </c>
      <c r="BP29" s="22" t="e">
        <f>1-BP30</f>
        <v>#N/A</v>
      </c>
      <c r="BQ29" s="22" t="e">
        <f>1-BQ30</f>
        <v>#N/A</v>
      </c>
    </row>
    <row r="30" spans="48:69" ht="15" x14ac:dyDescent="0.2">
      <c r="AV30" s="5">
        <f>Projections!T32</f>
        <v>0</v>
      </c>
      <c r="BJ30" s="21" t="e">
        <f t="shared" si="5"/>
        <v>#N/A</v>
      </c>
      <c r="BK30" s="21" t="e">
        <f t="shared" si="6"/>
        <v>#N/A</v>
      </c>
      <c r="BL30" s="21" t="e">
        <f t="shared" si="7"/>
        <v>#N/A</v>
      </c>
      <c r="BM30" s="21" t="e">
        <f t="shared" si="8"/>
        <v>#N/A</v>
      </c>
      <c r="BN30" s="22" t="e">
        <f>1-BN29</f>
        <v>#N/A</v>
      </c>
      <c r="BO30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0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0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1" spans="48:69" ht="15" x14ac:dyDescent="0.2">
      <c r="AV31" s="5">
        <f>Projections!T33</f>
        <v>0</v>
      </c>
      <c r="BJ31" s="21" t="e">
        <f t="shared" si="5"/>
        <v>#N/A</v>
      </c>
      <c r="BK31" s="21" t="e">
        <f t="shared" si="6"/>
        <v>#N/A</v>
      </c>
      <c r="BL31" s="21" t="e">
        <f t="shared" si="7"/>
        <v>#N/A</v>
      </c>
      <c r="BM31" s="21" t="e">
        <f t="shared" si="8"/>
        <v>#N/A</v>
      </c>
      <c r="BN31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>1-BO32</f>
        <v>#N/A</v>
      </c>
      <c r="BP31" s="22" t="e">
        <f>1-BP32</f>
        <v>#N/A</v>
      </c>
      <c r="BQ31" s="22" t="e">
        <f>1-BQ32</f>
        <v>#N/A</v>
      </c>
    </row>
    <row r="32" spans="48:69" ht="15" x14ac:dyDescent="0.2">
      <c r="AV32" s="5">
        <f>Projections!T34</f>
        <v>0</v>
      </c>
      <c r="BJ32" s="21" t="e">
        <f t="shared" si="5"/>
        <v>#N/A</v>
      </c>
      <c r="BK32" s="21" t="e">
        <f t="shared" si="6"/>
        <v>#N/A</v>
      </c>
      <c r="BL32" s="21" t="e">
        <f t="shared" si="7"/>
        <v>#N/A</v>
      </c>
      <c r="BM32" s="21" t="e">
        <f t="shared" si="8"/>
        <v>#N/A</v>
      </c>
      <c r="BN32" s="22" t="e">
        <f>1-BN31</f>
        <v>#N/A</v>
      </c>
      <c r="BO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1766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1442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1443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1444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1445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1446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1447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1448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1449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1450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1451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1452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1453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1454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1455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1456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1457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1458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1459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1460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1461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1462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1463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1464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1465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1466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1467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1468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1469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1470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1471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1472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1473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1474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1475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1476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1477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1478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1479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1480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1481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1482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1483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1484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1485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1486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1487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1488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1489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1490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1491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1492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1493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1494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1495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1496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1497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1498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1499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1500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1501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1502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1503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1504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1505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1506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1507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1508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1509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1510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1511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1512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1513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1514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1515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1516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1517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1518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1519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1520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1521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1522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1523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1524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1525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1526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1527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1528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1529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1530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1531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1532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1533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1534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1535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1536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1537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1538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1539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1540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1541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1542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1543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1544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1545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1546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1547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1548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1549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1550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1551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1552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1553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1554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1555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1556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1557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1558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1559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1560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1561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1562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1563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1564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1565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1566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1567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1568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1569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1570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1571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1572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1573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1574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1575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1576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1577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1578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1579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1580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1581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1582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1583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1584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1585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1601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1602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1603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1604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1605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1606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1607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1608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1609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1610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1611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1612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1613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1614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1615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1616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1617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1618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1619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1620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1621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1622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1623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1624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1625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1626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1627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1628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1629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1630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1631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1632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1633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1591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1634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1591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1635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1591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1636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1591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1637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1591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1638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1591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1639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1591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1640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1591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1641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1591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1642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1591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1643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1589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1644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1589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1645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1590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1646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1590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1647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1591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1648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1591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1649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1590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1650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1590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1651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1589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1652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1589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1653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1590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1654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1590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1655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1591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1656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1591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1657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1589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1658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1589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1659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1589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1660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1589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1661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1589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1662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1589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1663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1590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1664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1590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1665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1590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1666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1590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1667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1589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1668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1589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1669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1589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1670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1589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1671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1589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1672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1589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1673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1590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1674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1590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1675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1589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1676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1589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1677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1591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1678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1591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1679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1590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1680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1590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1681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1590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1682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1590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1683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1591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1684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1591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1685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1590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1686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1590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1687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1591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1688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1591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1689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1591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1690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1591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1691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1591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1692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1591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1693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1591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1694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1591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1695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1591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1696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1591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1697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1591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1698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1591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1699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1591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1700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1591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1701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1591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1702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1591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1703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1591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1704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1591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1705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1591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1706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1591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1707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1591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1708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1591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1709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1591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1710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1591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1711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1591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1712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1591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1713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1591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1714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1591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1715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1591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1716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1591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1717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1591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1718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1591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1719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1591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1720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1591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1721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1591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1722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1591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1723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1590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1724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1590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1725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1591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1726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1591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1727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1591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1728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1591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1729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1589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1730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1589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1731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1591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1732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1591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1735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1591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1736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1591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1737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1590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1738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1590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1739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1591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1740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1591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1741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1589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1742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1589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1743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1590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1744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1590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1745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1589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1746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1589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1747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1589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1748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1589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1749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1591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1750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1751</v>
      </c>
      <c r="J1411" s="46" t="s">
        <v>1592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1591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1752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1591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1753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1591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1754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1590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1755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1590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1756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1589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1757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1589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1758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1589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1759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1589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1760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1591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1761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1591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1762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1591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1763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1591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1764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1591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1765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1591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1782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1591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1783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1591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1784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1591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1785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1591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1786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1591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1787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1591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1788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1590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1789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1590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1790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1590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1791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1590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1792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1590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1793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1590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1794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1590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1795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1590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1796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1591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1797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1591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1798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1590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1799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1590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1800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1591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1801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1591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1802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1591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1803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1591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1804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1591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1805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1591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1806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1591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1807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1591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1808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1591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1809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1810</v>
      </c>
      <c r="J1453" s="46" t="s">
        <v>1767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1591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1811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1591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1812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1591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1813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1591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1814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1591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1815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1591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1816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1591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1817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1591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1818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1591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1819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1591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1820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1591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1821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1591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1822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1591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1823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1591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1824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1591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1825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1590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1826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1590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1827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1591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1828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1591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1829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1590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1830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1590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1831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1590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1832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1590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1833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1810</v>
      </c>
      <c r="J1476" s="46" t="s">
        <v>1767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1590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1834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1590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1835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1591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1836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1591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1837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1590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1838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1590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1839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1591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1840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1591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1841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1591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1842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1591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1843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1590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1844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1590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1845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1591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1846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1591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1847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1591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1848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1591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1849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1591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1850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1591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1851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1591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1852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1591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1853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1591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1854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1591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1855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1591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1856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1591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1857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1591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1858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1591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1859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1591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1860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1591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1861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1591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1862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1591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1863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1591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1864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1591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1865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1591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1866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1591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1867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1591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1868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1591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1869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1591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1870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1591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1871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1591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1872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1591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1873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1591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1874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1591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1875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1591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1876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1591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1877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1591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1878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1591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1879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1591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1880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1591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1881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1591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1882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1591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1883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1591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1884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1591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1885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1591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1886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1591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1887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1591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1888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1591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1889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1591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1890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1591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1891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1591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1892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1591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1893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1591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1894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1591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1895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1590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1896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1590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1897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1589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1898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1589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1899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1590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1900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1590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1901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1590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1902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1590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1903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1590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1904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1590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1905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1590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1906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1590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1907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1591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1908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1591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1909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1591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1910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1591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1911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1591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1912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1591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1913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1590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1914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1590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1915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1590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1916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1590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1917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1590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1918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1590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1919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1590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1920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1590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1921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1591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1922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1591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1923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1590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1924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1590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1925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1590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1926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1590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1953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1589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1954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1589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1955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1301</v>
      </c>
      <c r="J1572" s="46" t="s">
        <v>1168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1591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1956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732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1591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1957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1591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1958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1591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1959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1590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1960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1590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1961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1590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1962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1590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1963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1591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1964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1591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1965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1590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1966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1590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1967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1591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1968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1364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1591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1969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838</v>
      </c>
      <c r="J1586" s="46" t="s">
        <v>804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1591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1970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1591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1971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1591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1972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1591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1973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1376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1591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1974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1975</v>
      </c>
      <c r="J1591" s="46" t="s">
        <v>1293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1591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1976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1590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1977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1176</v>
      </c>
      <c r="J1593" s="46" t="s">
        <v>1164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1590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1978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1591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1979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1591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1980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1591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1981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1591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1982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1983</v>
      </c>
      <c r="J1598" s="36" t="s">
        <v>1933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1591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1984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1591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1985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1591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1986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1591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1987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1591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1988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1591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1989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1590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1990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1590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1991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1430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1591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1992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1591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1993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1590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1994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1590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1995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1590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1996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930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1590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1997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1590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1998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1590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1999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1590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2000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1590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2001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1591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2002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1591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2003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1590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2004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1590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2005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1301</v>
      </c>
      <c r="J1620" s="46" t="s">
        <v>1168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1589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2006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1589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2007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1591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2008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1591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2009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1983</v>
      </c>
      <c r="J1624" s="46" t="s">
        <v>1933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1591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2010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1591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2011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1590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2012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1590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2013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1590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2014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1590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2015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1591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2016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1591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2017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1591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2018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1591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2019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1590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2020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1376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1590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2021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1589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2022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1589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2023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1590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2024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930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1590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2025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1591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2026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1591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2027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1591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2028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1591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2029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1591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2030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1591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2031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1430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1591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2032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1591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2033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1589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2034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1589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2035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1591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2036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1591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2037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1590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2038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1590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2039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1591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2040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1591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2041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1590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2042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1590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2043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1590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2044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1590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2045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1983</v>
      </c>
      <c r="J1660" s="46" t="s">
        <v>1933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1591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2046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1591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2047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1591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2048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1376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1591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2049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1591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2050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1591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2051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1589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2052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1589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2053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1591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2054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1591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2055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1591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2056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1591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2057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1591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2058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706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1591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2059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1591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2060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1591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2061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1589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2062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1589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2063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1591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2064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1591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2065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1301</v>
      </c>
      <c r="J1680" s="36" t="s">
        <v>1168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1591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2066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1591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2067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1591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2068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1591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2069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1591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2070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1591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2071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1591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2072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1983</v>
      </c>
      <c r="J1687" s="46" t="s">
        <v>1933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1591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2073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1591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2074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1591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2075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1591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2076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1591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2077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1591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2078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1591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2079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1591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2080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1591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2081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1591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2082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1591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2083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1591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2084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1751</v>
      </c>
      <c r="J1699" s="46" t="s">
        <v>1592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1591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2085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706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1591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2086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930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1591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2087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1591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2088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1591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2089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1591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2090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1302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1591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2091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1430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1591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2092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1591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2093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1591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2094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1591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2095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1591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ht="16.75" customHeight="1" x14ac:dyDescent="0.2">
      <c r="A1711" t="str">
        <f t="shared" ref="A1711:A1727" si="11">B1711&amp;" "&amp;E1711</f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ref="I1711:I1720" si="12">E1711&amp;" "&amp;J1711</f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2.94999999999999</v>
      </c>
      <c r="O1711">
        <f t="shared" ref="O1711" si="13">N1710</f>
        <v>3.0499999999999901</v>
      </c>
      <c r="P1711" s="68">
        <f t="shared" ref="P1711" si="14">N1711</f>
        <v>2.94999999999999</v>
      </c>
      <c r="Q1711">
        <f t="shared" ref="Q1711" si="15">P1710</f>
        <v>3.0499999999999901</v>
      </c>
      <c r="R1711" s="5">
        <f t="shared" ref="R1711" si="16">N1711/W1711/X1711/Z1710/AB1710/AA1711</f>
        <v>2.622580055637902</v>
      </c>
      <c r="S1711" s="5">
        <f t="shared" ref="S1711" si="17">O1711/W1710/Y1711/Z1711/AA1710/AB1711</f>
        <v>3.3005249331985151</v>
      </c>
      <c r="T1711" s="5">
        <f t="shared" ref="T1711" si="18">P1711/W1711/X1711/Z1710/AB1710</f>
        <v>2.5701284545251437</v>
      </c>
      <c r="U1711" s="5">
        <f t="shared" ref="U1711" si="19">Q1711/W1710/Y1711/Z1711/AA1710</f>
        <v>3.3005249331985151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0">AM1710/K1711</f>
        <v>1.1166950426749824</v>
      </c>
      <c r="Y1711" s="5">
        <f t="shared" ref="Y1711" si="21">AK1710/K1711</f>
        <v>1.0642229517831665</v>
      </c>
      <c r="Z1711" s="5">
        <f>IF(J1711="",1,(_xlfn.XLOOKUP(I1711,Goalies!B:B,Goalies!J:J)))</f>
        <v>0.98499999999999999</v>
      </c>
      <c r="AA1711" s="23">
        <v>0.98</v>
      </c>
      <c r="AB1711" s="23"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2.6808540869444841</v>
      </c>
      <c r="AL1711" s="23">
        <f t="shared" ref="AL1711" si="22">IF(R1711=0,AK1711,R1711*L1711*(1-M1711)+T1711*L1711*M1711+AK1711*(1-L1711))</f>
        <v>2.6713262082318052</v>
      </c>
      <c r="AM1711" s="23">
        <f>IF(AI1711=0,_xlfn.XLOOKUP(E1711,'Starting GF'!A:A,'Starting GF'!C:C),INDEX($AN$63:$AN1711,AI1711))</f>
        <v>3.2512488478125401</v>
      </c>
      <c r="AN1711" s="23">
        <f t="shared" ref="AN1711" si="23">IF(S1711=0,AM1711,S1711*L1711+AM1711*(1-L1711))</f>
        <v>3.2586402606204365</v>
      </c>
      <c r="AO1711" s="23">
        <f>IF(AJ1711=0,_xlfn.XLOOKUP(I1711,Goalies!B:B,Goalies!I:I),INDEX($AP$105:$AP1711,AJ1711))</f>
        <v>3.1755838834082821</v>
      </c>
      <c r="AP1711" s="23">
        <f t="shared" ref="AP1711" si="24">IF(S1711=0,AO1711,S1711*L1711*Z1711+AO1711*(1-L1711))</f>
        <v>3.1868988597771204</v>
      </c>
      <c r="AQ1711" s="23">
        <f t="shared" ref="AQ1711" si="25">AM1711*Z1711</f>
        <v>3.2024801150953519</v>
      </c>
      <c r="AR1711" s="66">
        <v>0</v>
      </c>
      <c r="AS1711" s="96" t="s">
        <v>1591</v>
      </c>
      <c r="AT1711" s="20">
        <f t="shared" ref="AT1711" si="26">(AK1711*V1711*X1711*Z1710*AA1711*AB1710*AC1711*AD1710*AG1711*AH1710)+AR1711</f>
        <v>3.0122307073109003</v>
      </c>
      <c r="AU1711" s="20">
        <f t="shared" ref="AU1711" si="27">AT1710</f>
        <v>2.9949143091286374</v>
      </c>
      <c r="AV1711" s="12">
        <f t="shared" ref="AV1711" si="28">AK1711*W1711*X1711*Z1710*AA1711*AB1710</f>
        <v>3.0155493402326576</v>
      </c>
      <c r="AW1711" s="12">
        <f t="shared" ref="AW1711" si="29">AV1710</f>
        <v>2.9949143091286374</v>
      </c>
      <c r="AX1711" s="8">
        <f t="shared" ref="AX1711" si="30">(AT1711-N1711)</f>
        <v>6.2230707310910294E-2</v>
      </c>
      <c r="AY1711" s="8">
        <f t="shared" ref="AY1711" si="31">(AU1711-O1711)</f>
        <v>-5.5085690871352622E-2</v>
      </c>
      <c r="AZ1711" s="8">
        <f t="shared" ref="AZ1711" si="32">SUM(AX1711:AY1711)</f>
        <v>7.1450164395576721E-3</v>
      </c>
      <c r="BA1711" s="8">
        <f t="shared" ref="BA1711" si="33">AX1711-AY1711</f>
        <v>0.11731639818226292</v>
      </c>
      <c r="BB1711" s="62">
        <f t="shared" ref="BB1711" si="34">IF(BF1711=0.5,100,IF(BF1711&gt;0.5,-ROUND(100*BF1711/(1-BF1711),0),ROUND(100*(1-BF1711)/BF1711,0)))</f>
        <v>-103</v>
      </c>
      <c r="BC1711" s="21">
        <f t="shared" ref="BC1711" si="35">IF(BG1711=0.5,100,IF(BG1711&gt;0.5,-ROUND(100*BG1711/(1-BG1711),0),ROUND(100*(1-BG1711)/BG1711,0)))</f>
        <v>129</v>
      </c>
      <c r="BD1711" s="21">
        <f t="shared" ref="BD1711" si="36">IF(BH1711=0.5,100,IF(BH1711&gt;0.5,-ROUND(100*BH1711/(1-BH1711),0),ROUND(100*(1-BH1711)/BH1711,0)))</f>
        <v>103</v>
      </c>
      <c r="BE1711" s="21">
        <f t="shared" ref="BE1711" si="37">IF(BI1711=0.5,100,IF(BI1711&gt;0.5,-ROUND(100*BI1711/(1-BI1711),0),ROUND(100*(1-BI1711)/BI1711,0)))</f>
        <v>-122</v>
      </c>
      <c r="BF1711" s="94">
        <f t="shared" ref="BF1711:BF1747" si="38">1-BF1710</f>
        <v>0.50745543052039133</v>
      </c>
      <c r="BG1711" s="22">
        <f t="shared" ref="BG1711" si="3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H1711" s="22">
        <f t="shared" ref="BH1711" si="40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I1711" s="22">
        <f t="shared" ref="BI1711" si="41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  <c r="BJ1711" s="21">
        <f t="shared" ref="BJ1711" si="42">IF(BN1711=0.5,100,IF(BN1711&gt;0.5,-ROUND(100*BN1711/(1-BN1711),0),ROUND(100*(1-BN1711)/BN1711,0)))</f>
        <v>-103</v>
      </c>
      <c r="BK1711" s="21">
        <f t="shared" ref="BK1711" si="43">IF(BO1711=0.5,100,IF(BO1711&gt;0.5,-ROUND(100*BO1711/(1-BO1711),0),ROUND(100*(1-BO1711)/BO1711,0)))</f>
        <v>129</v>
      </c>
      <c r="BL1711" s="21">
        <f t="shared" ref="BL1711" si="44">IF(BP1711=0.5,100,IF(BP1711&gt;0.5,-ROUND(100*BP1711/(1-BP1711),0),ROUND(100*(1-BP1711)/BP1711,0)))</f>
        <v>103</v>
      </c>
      <c r="BM1711" s="21">
        <f t="shared" ref="BM1711" si="45">IF(BQ1711=0.5,100,IF(BQ1711&gt;0.5,-ROUND(100*BQ1711/(1-BQ1711),0),ROUND(100*(1-BQ1711)/BQ1711,0)))</f>
        <v>-122</v>
      </c>
      <c r="BN1711" s="22">
        <f t="shared" ref="BN1711:BN1747" si="46">1-BN1710</f>
        <v>0.50781891751334973</v>
      </c>
      <c r="BO1711" s="22">
        <f t="shared" ref="BO1711" si="47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0.43617746522046019</v>
      </c>
      <c r="BP1711" s="22">
        <f t="shared" ref="BP1711" si="48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0.49200041714474568</v>
      </c>
      <c r="BQ1711" s="22">
        <f t="shared" ref="BQ1711" si="49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0.54964374393104443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2"/>
        <v>BOS Joonas Korpisalo</v>
      </c>
      <c r="J1712" s="33" t="s">
        <v>149</v>
      </c>
      <c r="K1712" s="14">
        <v>2.96</v>
      </c>
      <c r="L1712" s="13">
        <v>0.15</v>
      </c>
      <c r="M1712" s="28">
        <v>0.1</v>
      </c>
      <c r="N1712">
        <f>IFERROR(_xlfn.XLOOKUP(A1712,Params!A:A,Params!D:D),0)</f>
        <v>3.2499999999999898</v>
      </c>
      <c r="O1712">
        <f t="shared" ref="O1712" si="50">N1713</f>
        <v>3.0999999999999899</v>
      </c>
      <c r="P1712" s="68">
        <f t="shared" ref="P1712:P1721" si="51">N1712</f>
        <v>3.2499999999999898</v>
      </c>
      <c r="Q1712">
        <f t="shared" ref="Q1712" si="52">P1713</f>
        <v>3.0999999999999899</v>
      </c>
      <c r="R1712" s="5">
        <f t="shared" ref="R1712" si="53">N1712/W1712/X1712/Z1713/AB1713/AA1712</f>
        <v>3.04582660465136</v>
      </c>
      <c r="S1712" s="5">
        <f t="shared" ref="S1712" si="54">O1712/W1713/Y1712/Z1712/AA1713/AB1712</f>
        <v>3.030572159371435</v>
      </c>
      <c r="T1712" s="5">
        <f t="shared" ref="T1712" si="55">P1712/W1712/X1712/Z1713/AB1713</f>
        <v>3.04582660465136</v>
      </c>
      <c r="U1712" s="5">
        <f t="shared" ref="U1712" si="56">Q1712/W1713/Y1712/Z1712/AA1713</f>
        <v>3.0608778809651493</v>
      </c>
      <c r="V1712" s="5">
        <f>_xlfn.XLOOKUP(H1712,'Rest - Home'!A:A,'Rest - Home'!B:B)</f>
        <v>0.97</v>
      </c>
      <c r="W1712" s="5">
        <f>_xlfn.XLOOKUP(H1712,'Rest - Home'!A:A,'Rest - Home'!C:C)</f>
        <v>0.95751047349149665</v>
      </c>
      <c r="X1712" s="5">
        <f t="shared" ref="X1712" si="57">AM1713/K1712</f>
        <v>1.0304054054054053</v>
      </c>
      <c r="Y1712" s="5">
        <f t="shared" ref="Y1712" si="58">AK1713/K1712</f>
        <v>0.94594594594594594</v>
      </c>
      <c r="Z1712" s="5">
        <f>IF(J1712="",1,(_xlfn.XLOOKUP(I1712,Goalies!B:B,Goalies!J:J)))</f>
        <v>1.04</v>
      </c>
      <c r="AA1712" s="23">
        <v>1</v>
      </c>
      <c r="AB1712" s="23">
        <v>1.01</v>
      </c>
      <c r="AC1712" s="23">
        <f>_xlfn.XLOOKUP(E1712,'Game Adjustments'!A:A,'Game Adjustments'!B:B)</f>
        <v>1</v>
      </c>
      <c r="AD1712" s="23">
        <f>_xlfn.XLOOKUP(E1712,'Game Adjustments'!A:A,'Game Adjustments'!C:C)</f>
        <v>1</v>
      </c>
      <c r="AE1712" s="23">
        <f>IF(D1712="A",_xlfn.XLOOKUP(E1712,'Rest - Home'!F:F,'Rest - Home'!J:J),_xlfn.XLOOKUP(E1712,'Rest - Home'!F:F,'Rest - Home'!I:I))</f>
        <v>1</v>
      </c>
      <c r="AF1712" s="23">
        <f>IF(D1712="A",_xlfn.XLOOKUP(E1712,'Rest - Home'!F:F,'Rest - Home'!L:L),_xlfn.XLOOKUP(E1712,'Rest - Home'!F:F,'Rest - Home'!K:K))</f>
        <v>1</v>
      </c>
      <c r="AG1712" s="26">
        <v>1</v>
      </c>
      <c r="AH1712" s="26">
        <v>1</v>
      </c>
      <c r="AI1712" s="53" cm="1">
        <f t="array" ref="AI1712">MAX(IF($E$63:E1711=E1712,ROW($E$63:E1711)-MIN(ROW($E$63:E1711))+1))</f>
        <v>1629</v>
      </c>
      <c r="AJ1712" s="53" cm="1">
        <f t="array" ref="AJ1712">MAX(IF($I$105:I1711=I1712,ROW($I$105:I1711)-MIN(ROW($I$105:I1711))+1))</f>
        <v>1553</v>
      </c>
      <c r="AK1712" s="23">
        <f>IF(AI1712=0,_xlfn.XLOOKUP(E1712,'Starting GF'!A:A,'Starting GF'!B:B),INDEX($AL$63:$AL1712,AI1712))</f>
        <v>2.9247258345411327</v>
      </c>
      <c r="AL1712" s="23">
        <f t="shared" ref="AL1712:AL1721" si="59">IF(R1712=0,AK1712,R1712*L1712*(1-M1712)+T1712*L1712*M1712+AK1712*(1-L1712))</f>
        <v>2.9428909500576665</v>
      </c>
      <c r="AM1712" s="23">
        <f>IF(AI1712=0,_xlfn.XLOOKUP(E1712,'Starting GF'!A:A,'Starting GF'!C:C),INDEX($AN$63:$AN1712,AI1712))</f>
        <v>3.0854037598222042</v>
      </c>
      <c r="AN1712" s="23">
        <f t="shared" ref="AN1712:AN1721" si="60">IF(S1712=0,AM1712,S1712*L1712+AM1712*(1-L1712))</f>
        <v>3.0771790197545883</v>
      </c>
      <c r="AO1712" s="23">
        <f>IF(AJ1712=0,_xlfn.XLOOKUP(I1712,Goalies!B:B,Goalies!I:I),INDEX($AP$105:$AP1712,AJ1712))</f>
        <v>3.2507621854920612</v>
      </c>
      <c r="AP1712" s="23">
        <f t="shared" ref="AP1712:AP1721" si="61">IF(S1712=0,AO1712,S1712*L1712*Z1712+AO1712*(1-L1712))</f>
        <v>3.2359171145301957</v>
      </c>
      <c r="AQ1712" s="23">
        <f t="shared" ref="AQ1712:AQ1721" si="62">AM1712*Z1712</f>
        <v>3.2088199102150923</v>
      </c>
      <c r="AR1712" s="66">
        <v>0.05</v>
      </c>
      <c r="AS1712" s="96" t="s">
        <v>1591</v>
      </c>
      <c r="AT1712" s="20">
        <f t="shared" ref="AT1712" si="63">(AK1712*V1712*X1712*Z1713*AA1712*AB1713*AC1712*AD1713*AG1712*AH1713)+AR1712</f>
        <v>3.2114880723247872</v>
      </c>
      <c r="AU1712" s="20">
        <f t="shared" ref="AU1712" si="64">AT1713</f>
        <v>3.1216446474944703</v>
      </c>
      <c r="AV1712" s="12">
        <f t="shared" ref="AV1712" si="65">AK1712*V1712*X1712*Z1713*AA1712*AB1713</f>
        <v>3.1614880723247873</v>
      </c>
      <c r="AW1712" s="12">
        <f t="shared" ref="AW1712" si="66">AV1713</f>
        <v>3.1560877459629957</v>
      </c>
      <c r="AX1712" s="8">
        <f t="shared" ref="AX1712:AX1721" si="67">(AT1712-N1712)</f>
        <v>-3.8511927675202617E-2</v>
      </c>
      <c r="AY1712" s="8">
        <f t="shared" ref="AY1712:AY1721" si="68">(AU1712-O1712)</f>
        <v>2.1644647494480473E-2</v>
      </c>
      <c r="AZ1712" s="8">
        <f t="shared" ref="AZ1712:AZ1721" si="69">SUM(AX1712:AY1712)</f>
        <v>-1.6867280180722144E-2</v>
      </c>
      <c r="BA1712" s="8">
        <f t="shared" ref="BA1712:BA1721" si="70">AX1712-AY1712</f>
        <v>-6.0156575169683091E-2</v>
      </c>
      <c r="BB1712" s="62">
        <f t="shared" ref="BB1712:BB1721" si="71">IF(BF1712=0.5,100,IF(BF1712&gt;0.5,-ROUND(100*BF1712/(1-BF1712),0),ROUND(100*(1-BF1712)/BF1712,0)))</f>
        <v>-107</v>
      </c>
      <c r="BC1712" s="21">
        <f t="shared" ref="BC1712:BC1721" si="72">IF(BG1712=0.5,100,IF(BG1712&gt;0.5,-ROUND(100*BG1712/(1-BG1712),0),ROUND(100*(1-BG1712)/BG1712,0)))</f>
        <v>-159</v>
      </c>
      <c r="BD1712" s="21">
        <f t="shared" ref="BD1712:BD1721" si="73">IF(BH1712=0.5,100,IF(BH1712&gt;0.5,-ROUND(100*BH1712/(1-BH1712),0),ROUND(100*(1-BH1712)/BH1712,0)))</f>
        <v>-130</v>
      </c>
      <c r="BE1712" s="21">
        <f t="shared" ref="BE1712:BE1721" si="74">IF(BI1712=0.5,100,IF(BI1712&gt;0.5,-ROUND(100*BI1712/(1-BI1712),0),ROUND(100*(1-BI1712)/BI1712,0)))</f>
        <v>-101</v>
      </c>
      <c r="BF1712" s="94">
        <f t="shared" ref="BF1712" si="7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IF(AT1712&gt;AT1713, 1-_xlpm.interp, _xlpm.interp)
)</f>
        <v>0.51787461109114996</v>
      </c>
      <c r="BG1712" s="22">
        <f t="shared" ref="BG1712:BI1746" si="76">1-BG1713</f>
        <v>0.61393341739284046</v>
      </c>
      <c r="BH1712" s="22">
        <f t="shared" si="76"/>
        <v>0.56585771205813673</v>
      </c>
      <c r="BI1712" s="22">
        <f t="shared" si="76"/>
        <v>0.50319990959358707</v>
      </c>
      <c r="BJ1712" s="21">
        <f t="shared" ref="BJ1712:BJ1721" si="77">IF(BN1712=0.5,100,IF(BN1712&gt;0.5,-ROUND(100*BN1712/(1-BN1712),0),ROUND(100*(1-BN1712)/BN1712,0)))</f>
        <v>-103</v>
      </c>
      <c r="BK1712" s="21">
        <f t="shared" ref="BK1712:BK1721" si="78">IF(BO1712=0.5,100,IF(BO1712&gt;0.5,-ROUND(100*BO1712/(1-BO1712),0),ROUND(100*(1-BO1712)/BO1712,0)))</f>
        <v>-158</v>
      </c>
      <c r="BL1712" s="21">
        <f t="shared" ref="BL1712:BL1721" si="79">IF(BP1712=0.5,100,IF(BP1712&gt;0.5,-ROUND(100*BP1712/(1-BP1712),0),ROUND(100*(1-BP1712)/BP1712,0)))</f>
        <v>-129</v>
      </c>
      <c r="BM1712" s="21">
        <f t="shared" ref="BM1712:BM1721" si="80">IF(BQ1712=0.5,100,IF(BQ1712&gt;0.5,-ROUND(100*BQ1712/(1-BQ1712),0),ROUND(100*(1-BQ1712)/BQ1712,0)))</f>
        <v>-100</v>
      </c>
      <c r="BN1712" s="22">
        <f t="shared" ref="BN1712" si="81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IF(AV1712&gt;AV1713, 1-_xlpm.interp, _xlpm.interp)
)</f>
        <v>0.5069308426477368</v>
      </c>
      <c r="BO1712" s="22">
        <f t="shared" ref="BO1712:BQ1746" si="82">1-BO1713</f>
        <v>0.6124738198772961</v>
      </c>
      <c r="BP1712" s="22">
        <f t="shared" si="82"/>
        <v>0.56377175172760619</v>
      </c>
      <c r="BQ1712" s="22">
        <f t="shared" si="82"/>
        <v>0.50083460801289503</v>
      </c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2"/>
        <v>NYR Jonathan Quick</v>
      </c>
      <c r="J1713" s="33" t="s">
        <v>178</v>
      </c>
      <c r="K1713" s="14">
        <v>2.96</v>
      </c>
      <c r="L1713" s="13">
        <v>0.15</v>
      </c>
      <c r="M1713" s="28">
        <v>0.1</v>
      </c>
      <c r="N1713">
        <f>IFERROR(_xlfn.XLOOKUP(A1713,Params!A:A,Params!D:D),0)</f>
        <v>3.0999999999999899</v>
      </c>
      <c r="O1713">
        <f t="shared" ref="O1713" si="83">N1712</f>
        <v>3.2499999999999898</v>
      </c>
      <c r="P1713" s="68">
        <f t="shared" si="51"/>
        <v>3.0999999999999899</v>
      </c>
      <c r="Q1713">
        <f t="shared" ref="Q1713" si="84">P1712</f>
        <v>3.2499999999999898</v>
      </c>
      <c r="R1713" s="5">
        <f t="shared" ref="R1713" si="85">N1713/W1713/X1713/Z1712/AB1712/AA1713</f>
        <v>2.7502403921128948</v>
      </c>
      <c r="S1713" s="5">
        <f t="shared" ref="S1713" si="86">O1713/W1712/Y1713/Z1713/AA1712/AB1713</f>
        <v>3.1762878538815729</v>
      </c>
      <c r="T1713" s="5">
        <f t="shared" ref="T1713" si="87">P1713/W1713/X1713/Z1712/AB1712</f>
        <v>2.7227379881917657</v>
      </c>
      <c r="U1713" s="5">
        <f t="shared" ref="U1713" si="88">Q1713/W1712/Y1713/Z1713/AA1712</f>
        <v>3.2715764894980199</v>
      </c>
      <c r="V1713" s="5">
        <f>_xlfn.XLOOKUP(H1713,'Rest - Home'!A:A,'Rest - Home'!B:B)</f>
        <v>1.0449999999999999</v>
      </c>
      <c r="W1713" s="5">
        <f>_xlfn.XLOOKUP(H1713,'Rest - Home'!A:A,'Rest - Home'!C:C)</f>
        <v>1.0398742800952707</v>
      </c>
      <c r="X1713" s="5">
        <f t="shared" ref="X1713" si="89">AM1712/K1713</f>
        <v>1.042366135075069</v>
      </c>
      <c r="Y1713" s="5">
        <f t="shared" ref="Y1713" si="90">AK1712/K1713</f>
        <v>0.98808305220984216</v>
      </c>
      <c r="Z1713" s="5">
        <f>IF(J1713="",1,(_xlfn.XLOOKUP(I1713,Goalies!B:B,Goalies!J:J)))</f>
        <v>1.05</v>
      </c>
      <c r="AA1713" s="23">
        <v>0.99</v>
      </c>
      <c r="AB1713" s="23">
        <v>1.03</v>
      </c>
      <c r="AC1713" s="23">
        <f>_xlfn.XLOOKUP(E1713,'Game Adjustments'!A:A,'Game Adjustments'!B:B)</f>
        <v>1</v>
      </c>
      <c r="AD1713" s="23">
        <f>_xlfn.XLOOKUP(E1713,'Game Adjustments'!A:A,'Game Adjustments'!C:C)</f>
        <v>1</v>
      </c>
      <c r="AE1713" s="23">
        <f>IF(D1713="A",_xlfn.XLOOKUP(E1713,'Rest - Home'!F:F,'Rest - Home'!J:J),_xlfn.XLOOKUP(E1713,'Rest - Home'!F:F,'Rest - Home'!I:I))</f>
        <v>1</v>
      </c>
      <c r="AF1713" s="23">
        <f>IF(D1713="A",_xlfn.XLOOKUP(E1713,'Rest - Home'!F:F,'Rest - Home'!L:L),_xlfn.XLOOKUP(E1713,'Rest - Home'!F:F,'Rest - Home'!K:K))</f>
        <v>1</v>
      </c>
      <c r="AG1713" s="26">
        <v>1</v>
      </c>
      <c r="AH1713" s="26">
        <v>1</v>
      </c>
      <c r="AI1713" s="53" cm="1">
        <f t="array" ref="AI1713">MAX(IF($E$63:E1712=E1713,ROW($E$63:E1712)-MIN(ROW($E$63:E1712))+1))</f>
        <v>1618</v>
      </c>
      <c r="AJ1713" s="53" cm="1">
        <f t="array" ref="AJ1713">MAX(IF($I$105:I1712=I1713,ROW($I$105:I1712)-MIN(ROW($I$105:I1712))+1))</f>
        <v>1532</v>
      </c>
      <c r="AK1713" s="23">
        <f>IF(AI1713=0,_xlfn.XLOOKUP(E1713,'Starting GF'!A:A,'Starting GF'!B:B),INDEX($AL$63:$AL1713,AI1713))</f>
        <v>2.8</v>
      </c>
      <c r="AL1713" s="23">
        <f t="shared" si="59"/>
        <v>2.7921235227581174</v>
      </c>
      <c r="AM1713" s="23">
        <f>IF(AI1713=0,_xlfn.XLOOKUP(E1713,'Starting GF'!A:A,'Starting GF'!C:C),INDEX($AN$63:$AN1713,AI1713))</f>
        <v>3.05</v>
      </c>
      <c r="AN1713" s="23">
        <f t="shared" si="60"/>
        <v>3.0689431780822356</v>
      </c>
      <c r="AO1713" s="23">
        <f>IF(AJ1713=0,_xlfn.XLOOKUP(I1713,Goalies!B:B,Goalies!I:I),INDEX($AP$105:$AP1713,AJ1713))</f>
        <v>3.0725869575359201</v>
      </c>
      <c r="AP1713" s="23">
        <f t="shared" si="61"/>
        <v>3.1119642508918801</v>
      </c>
      <c r="AQ1713" s="23">
        <f t="shared" si="62"/>
        <v>3.2025000000000001</v>
      </c>
      <c r="AR1713" s="66">
        <v>-0.05</v>
      </c>
      <c r="AS1713" s="96" t="s">
        <v>1591</v>
      </c>
      <c r="AT1713" s="20">
        <f t="shared" ref="AT1713" si="91">(AK1713*V1713*X1713*Z1712*AA1713*AB1712*AC1713*AD1712*AG1713*AH1712)+AR1713</f>
        <v>3.1216446474944703</v>
      </c>
      <c r="AU1713" s="20">
        <f t="shared" ref="AU1713" si="92">AT1712</f>
        <v>3.2114880723247872</v>
      </c>
      <c r="AV1713" s="12">
        <f t="shared" ref="AV1713" si="93">AK1713*W1713*X1713*Z1712*AA1713*AB1712</f>
        <v>3.1560877459629957</v>
      </c>
      <c r="AW1713" s="12">
        <f t="shared" ref="AW1713" si="94">AV1712</f>
        <v>3.1614880723247873</v>
      </c>
      <c r="AX1713" s="8">
        <f t="shared" si="67"/>
        <v>2.1644647494480473E-2</v>
      </c>
      <c r="AY1713" s="8">
        <f t="shared" si="68"/>
        <v>-3.8511927675202617E-2</v>
      </c>
      <c r="AZ1713" s="8">
        <f t="shared" si="69"/>
        <v>-1.6867280180722144E-2</v>
      </c>
      <c r="BA1713" s="8">
        <f t="shared" si="70"/>
        <v>6.0156575169683091E-2</v>
      </c>
      <c r="BB1713" s="62">
        <f t="shared" si="71"/>
        <v>107</v>
      </c>
      <c r="BC1713" s="21">
        <f t="shared" si="72"/>
        <v>159</v>
      </c>
      <c r="BD1713" s="21">
        <f t="shared" si="73"/>
        <v>130</v>
      </c>
      <c r="BE1713" s="21">
        <f t="shared" si="74"/>
        <v>101</v>
      </c>
      <c r="BF1713" s="94">
        <f t="shared" si="38"/>
        <v>0.48212538890885004</v>
      </c>
      <c r="BG1713" s="22">
        <f t="shared" ref="BG1713" si="9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0.38606658260715954</v>
      </c>
      <c r="BH1713" s="22">
        <f t="shared" ref="BH1713" si="96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0.43414228794186327</v>
      </c>
      <c r="BI1713" s="22">
        <f t="shared" ref="BI1713" si="97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0.49680009040641288</v>
      </c>
      <c r="BJ1713" s="21">
        <f t="shared" si="77"/>
        <v>103</v>
      </c>
      <c r="BK1713" s="21">
        <f t="shared" si="78"/>
        <v>158</v>
      </c>
      <c r="BL1713" s="21">
        <f t="shared" si="79"/>
        <v>129</v>
      </c>
      <c r="BM1713" s="21">
        <f t="shared" si="80"/>
        <v>100</v>
      </c>
      <c r="BN1713" s="22">
        <f t="shared" si="46"/>
        <v>0.4930691573522632</v>
      </c>
      <c r="BO1713" s="22">
        <f t="shared" ref="BO1713" si="98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0.3875261801227039</v>
      </c>
      <c r="BP1713" s="22">
        <f t="shared" ref="BP1713" si="99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0.43622824827239387</v>
      </c>
      <c r="BQ1713" s="22">
        <f t="shared" ref="BQ1713" si="100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0.49916539198710497</v>
      </c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2"/>
        <v>LAK Darcy Kuemper</v>
      </c>
      <c r="J1714" s="33" t="s">
        <v>167</v>
      </c>
      <c r="K1714" s="14">
        <v>2.96</v>
      </c>
      <c r="L1714" s="13">
        <v>0.15</v>
      </c>
      <c r="M1714" s="28">
        <v>0.1</v>
      </c>
      <c r="N1714">
        <f>IFERROR(_xlfn.XLOOKUP(A1714,Params!A:A,Params!D:D),0)</f>
        <v>0</v>
      </c>
      <c r="O1714">
        <f t="shared" ref="O1714" si="101">N1715</f>
        <v>0</v>
      </c>
      <c r="P1714" s="68">
        <f t="shared" si="51"/>
        <v>0</v>
      </c>
      <c r="Q1714">
        <f t="shared" ref="Q1714" si="102">P1715</f>
        <v>0</v>
      </c>
      <c r="R1714" s="5">
        <f t="shared" ref="R1714" si="103">N1714/W1714/X1714/Z1715/AB1715/AA1714</f>
        <v>0</v>
      </c>
      <c r="S1714" s="5">
        <f t="shared" ref="S1714" si="104">O1714/W1715/Y1714/Z1714/AA1715/AB1714</f>
        <v>0</v>
      </c>
      <c r="T1714" s="5">
        <f t="shared" ref="T1714" si="105">P1714/W1714/X1714/Z1715/AB1715</f>
        <v>0</v>
      </c>
      <c r="U1714" s="5">
        <f t="shared" ref="U1714" si="106">Q1714/W1715/Y1714/Z1714/AA1715</f>
        <v>0</v>
      </c>
      <c r="V1714" s="5">
        <f>_xlfn.XLOOKUP(H1714,'Rest - Home'!A:A,'Rest - Home'!B:B)</f>
        <v>0.95</v>
      </c>
      <c r="W1714" s="5">
        <f>_xlfn.XLOOKUP(H1714,'Rest - Home'!A:A,'Rest - Home'!C:C)</f>
        <v>0.95302926576458757</v>
      </c>
      <c r="X1714" s="5">
        <f t="shared" ref="X1714" si="107">AM1715/K1714</f>
        <v>1.060810810810811</v>
      </c>
      <c r="Y1714" s="5">
        <f t="shared" ref="Y1714" si="108">AK1715/K1714</f>
        <v>1.027027027027027</v>
      </c>
      <c r="Z1714" s="5">
        <f>IF(J1714="",1,(_xlfn.XLOOKUP(I1714,Goalies!B:B,Goalies!J:J)))</f>
        <v>0.97499999999999998</v>
      </c>
      <c r="AA1714" s="23">
        <v>0.96</v>
      </c>
      <c r="AB1714" s="23">
        <v>1.01</v>
      </c>
      <c r="AC1714" s="23">
        <f>_xlfn.XLOOKUP(E1714,'Game Adjustments'!A:A,'Game Adjustments'!B:B)</f>
        <v>1</v>
      </c>
      <c r="AD1714" s="23">
        <f>_xlfn.XLOOKUP(E1714,'Game Adjustments'!A:A,'Game Adjustments'!C:C)</f>
        <v>1</v>
      </c>
      <c r="AE1714" s="23">
        <f>IF(D1714="A",_xlfn.XLOOKUP(E1714,'Rest - Home'!F:F,'Rest - Home'!J:J),_xlfn.XLOOKUP(E1714,'Rest - Home'!F:F,'Rest - Home'!I:I))</f>
        <v>1</v>
      </c>
      <c r="AF1714" s="23">
        <f>IF(D1714="A",_xlfn.XLOOKUP(E1714,'Rest - Home'!F:F,'Rest - Home'!L:L),_xlfn.XLOOKUP(E1714,'Rest - Home'!F:F,'Rest - Home'!K:K))</f>
        <v>1</v>
      </c>
      <c r="AG1714" s="26">
        <v>1</v>
      </c>
      <c r="AH1714" s="26">
        <v>1</v>
      </c>
      <c r="AI1714" s="53" cm="1">
        <f t="array" ref="AI1714">MAX(IF($E$63:E1713=E1714,ROW($E$63:E1713)-MIN(ROW($E$63:E1713))+1))</f>
        <v>1632</v>
      </c>
      <c r="AJ1714" s="53" cm="1">
        <f t="array" ref="AJ1714">MAX(IF($I$105:I1713=I1714,ROW($I$105:I1713)-MIN(ROW($I$105:I1713))+1))</f>
        <v>1590</v>
      </c>
      <c r="AK1714" s="23">
        <f>IF(AI1714=0,_xlfn.XLOOKUP(E1714,'Starting GF'!A:A,'Starting GF'!B:B),INDEX($AL$63:$AL1714,AI1714))</f>
        <v>2.8447414852776705</v>
      </c>
      <c r="AL1714" s="23">
        <f t="shared" si="59"/>
        <v>2.8447414852776705</v>
      </c>
      <c r="AM1714" s="23">
        <f>IF(AI1714=0,_xlfn.XLOOKUP(E1714,'Starting GF'!A:A,'Starting GF'!C:C),INDEX($AN$63:$AN1714,AI1714))</f>
        <v>2.8</v>
      </c>
      <c r="AN1714" s="23">
        <f t="shared" si="60"/>
        <v>2.8</v>
      </c>
      <c r="AO1714" s="23">
        <f>IF(AJ1714=0,_xlfn.XLOOKUP(I1714,Goalies!B:B,Goalies!I:I),INDEX($AP$105:$AP1714,AJ1714))</f>
        <v>2.7735085344756891</v>
      </c>
      <c r="AP1714" s="23">
        <f t="shared" si="61"/>
        <v>2.7735085344756891</v>
      </c>
      <c r="AQ1714" s="23">
        <f t="shared" si="62"/>
        <v>2.73</v>
      </c>
      <c r="AR1714" s="66">
        <v>0.05</v>
      </c>
      <c r="AS1714" s="96" t="s">
        <v>1591</v>
      </c>
      <c r="AT1714" s="20">
        <f t="shared" ref="AT1714" si="109">(AK1714*V1714*X1714*Z1715*AA1714*AB1715*AC1714*AD1715*AG1714*AH1715)+AR1714</f>
        <v>2.7333677581574189</v>
      </c>
      <c r="AU1714" s="20">
        <f t="shared" ref="AU1714" si="110">AT1715</f>
        <v>2.9029103141621628</v>
      </c>
      <c r="AV1714" s="12">
        <f t="shared" ref="AV1714" si="111">AK1714*V1714*X1714*Z1715*AA1714*AB1715</f>
        <v>2.6833677581574191</v>
      </c>
      <c r="AW1714" s="12">
        <f t="shared" ref="AW1714" si="112">AV1715</f>
        <v>2.9561635926576604</v>
      </c>
      <c r="AX1714" s="8">
        <f t="shared" si="67"/>
        <v>2.7333677581574189</v>
      </c>
      <c r="AY1714" s="8">
        <f t="shared" si="68"/>
        <v>2.9029103141621628</v>
      </c>
      <c r="AZ1714" s="8">
        <f t="shared" si="69"/>
        <v>5.6362780723195822</v>
      </c>
      <c r="BA1714" s="8">
        <f t="shared" si="70"/>
        <v>-0.16954255600474388</v>
      </c>
      <c r="BB1714" s="62">
        <f t="shared" si="71"/>
        <v>114</v>
      </c>
      <c r="BC1714" s="21">
        <f t="shared" si="72"/>
        <v>-100</v>
      </c>
      <c r="BD1714" s="21">
        <f t="shared" si="73"/>
        <v>128</v>
      </c>
      <c r="BE1714" s="21">
        <f t="shared" si="74"/>
        <v>157</v>
      </c>
      <c r="BF1714" s="94">
        <f t="shared" ref="BF1714" si="113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IF(AT1714&gt;AT1715, 1-_xlpm.interp, _xlpm.interp)
)</f>
        <v>0.46716250999110409</v>
      </c>
      <c r="BG1714" s="22">
        <f t="shared" si="76"/>
        <v>0.50033227475293884</v>
      </c>
      <c r="BH1714" s="22">
        <f t="shared" si="76"/>
        <v>0.4377345133833852</v>
      </c>
      <c r="BI1714" s="22">
        <f t="shared" si="76"/>
        <v>0.38900371750959528</v>
      </c>
      <c r="BJ1714" s="21">
        <f t="shared" si="77"/>
        <v>122</v>
      </c>
      <c r="BK1714" s="21">
        <f t="shared" si="78"/>
        <v>-101</v>
      </c>
      <c r="BL1714" s="21">
        <f t="shared" si="79"/>
        <v>128</v>
      </c>
      <c r="BM1714" s="21">
        <f t="shared" si="80"/>
        <v>157</v>
      </c>
      <c r="BN1714" s="22">
        <f t="shared" ref="BN1714" si="114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IF(AV1714&gt;AV1715, 1-_xlpm.interp, _xlpm.interp)
)</f>
        <v>0.45123318215221975</v>
      </c>
      <c r="BO1714" s="22">
        <f t="shared" si="82"/>
        <v>0.50237227545082108</v>
      </c>
      <c r="BP1714" s="22">
        <f t="shared" si="82"/>
        <v>0.4385102661776068</v>
      </c>
      <c r="BQ1714" s="22">
        <f t="shared" si="82"/>
        <v>0.38863436784430216</v>
      </c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2"/>
        <v>CBJ Jet Greaves</v>
      </c>
      <c r="J1715" s="33" t="s">
        <v>227</v>
      </c>
      <c r="K1715" s="14">
        <v>2.96</v>
      </c>
      <c r="L1715" s="13">
        <v>0.15</v>
      </c>
      <c r="M1715" s="28">
        <v>0.1</v>
      </c>
      <c r="N1715">
        <f>IFERROR(_xlfn.XLOOKUP(A1715,Params!A:A,Params!D:D),0)</f>
        <v>0</v>
      </c>
      <c r="O1715">
        <f t="shared" ref="O1715" si="115">N1714</f>
        <v>0</v>
      </c>
      <c r="P1715" s="68">
        <f t="shared" si="51"/>
        <v>0</v>
      </c>
      <c r="Q1715">
        <f t="shared" ref="Q1715" si="116">P1714</f>
        <v>0</v>
      </c>
      <c r="R1715" s="5">
        <f t="shared" ref="R1715" si="117">N1715/W1715/X1715/Z1714/AB1714/AA1715</f>
        <v>0</v>
      </c>
      <c r="S1715" s="5">
        <f t="shared" ref="S1715" si="118">O1715/W1714/Y1715/Z1715/AA1714/AB1715</f>
        <v>0</v>
      </c>
      <c r="T1715" s="5">
        <f t="shared" ref="T1715" si="119">P1715/W1715/X1715/Z1714/AB1714</f>
        <v>0</v>
      </c>
      <c r="U1715" s="5">
        <f t="shared" ref="U1715" si="120">Q1715/W1714/Y1715/Z1715/AA1714</f>
        <v>0</v>
      </c>
      <c r="V1715" s="5">
        <f>_xlfn.XLOOKUP(H1715,'Rest - Home'!A:A,'Rest - Home'!B:B)</f>
        <v>1.048</v>
      </c>
      <c r="W1715" s="5">
        <f>_xlfn.XLOOKUP(H1715,'Rest - Home'!A:A,'Rest - Home'!C:C)</f>
        <v>1.0491546019013618</v>
      </c>
      <c r="X1715" s="5">
        <f t="shared" ref="X1715" si="121">AM1714/K1715</f>
        <v>0.94594594594594594</v>
      </c>
      <c r="Y1715" s="5">
        <f t="shared" ref="Y1715" si="122">AK1714/K1715</f>
        <v>0.96106131259380756</v>
      </c>
      <c r="Z1715" s="5">
        <f>IF(J1715="",1,(_xlfn.XLOOKUP(I1715,Goalies!B:B,Goalies!J:J)))</f>
        <v>0.97499999999999998</v>
      </c>
      <c r="AA1715" s="23">
        <v>0.995</v>
      </c>
      <c r="AB1715" s="23">
        <v>1</v>
      </c>
      <c r="AC1715" s="23">
        <f>_xlfn.XLOOKUP(E1715,'Game Adjustments'!A:A,'Game Adjustments'!B:B)</f>
        <v>1</v>
      </c>
      <c r="AD1715" s="23">
        <f>_xlfn.XLOOKUP(E1715,'Game Adjustments'!A:A,'Game Adjustments'!C:C)</f>
        <v>1</v>
      </c>
      <c r="AE1715" s="23">
        <f>IF(D1715="A",_xlfn.XLOOKUP(E1715,'Rest - Home'!F:F,'Rest - Home'!J:J),_xlfn.XLOOKUP(E1715,'Rest - Home'!F:F,'Rest - Home'!I:I))</f>
        <v>1</v>
      </c>
      <c r="AF1715" s="23">
        <f>IF(D1715="A",_xlfn.XLOOKUP(E1715,'Rest - Home'!F:F,'Rest - Home'!L:L),_xlfn.XLOOKUP(E1715,'Rest - Home'!F:F,'Rest - Home'!K:K))</f>
        <v>1</v>
      </c>
      <c r="AG1715" s="26">
        <v>1</v>
      </c>
      <c r="AH1715" s="26">
        <v>1</v>
      </c>
      <c r="AI1715" s="53" cm="1">
        <f t="array" ref="AI1715">MAX(IF($E$63:E1714=E1715,ROW($E$63:E1714)-MIN(ROW($E$63:E1714))+1))</f>
        <v>1631</v>
      </c>
      <c r="AJ1715" s="53" cm="1">
        <f t="array" ref="AJ1715">MAX(IF($I$105:I1714=I1715,ROW($I$105:I1714)-MIN(ROW($I$105:I1714))+1))</f>
        <v>1589</v>
      </c>
      <c r="AK1715" s="23">
        <f>IF(AI1715=0,_xlfn.XLOOKUP(E1715,'Starting GF'!A:A,'Starting GF'!B:B),INDEX($AL$63:$AL1715,AI1715))</f>
        <v>3.04</v>
      </c>
      <c r="AL1715" s="23">
        <f t="shared" si="59"/>
        <v>3.04</v>
      </c>
      <c r="AM1715" s="23">
        <f>IF(AI1715=0,_xlfn.XLOOKUP(E1715,'Starting GF'!A:A,'Starting GF'!C:C),INDEX($AN$63:$AN1715,AI1715))</f>
        <v>3.14</v>
      </c>
      <c r="AN1715" s="23">
        <f t="shared" si="60"/>
        <v>3.14</v>
      </c>
      <c r="AO1715" s="23">
        <f>IF(AJ1715=0,_xlfn.XLOOKUP(I1715,Goalies!B:B,Goalies!I:I),INDEX($AP$105:$AP1715,AJ1715))</f>
        <v>3.1809982885183388</v>
      </c>
      <c r="AP1715" s="23">
        <f t="shared" si="61"/>
        <v>3.1809982885183388</v>
      </c>
      <c r="AQ1715" s="23">
        <f t="shared" si="62"/>
        <v>3.0615000000000001</v>
      </c>
      <c r="AR1715" s="66">
        <v>-0.05</v>
      </c>
      <c r="AS1715" s="96" t="s">
        <v>1591</v>
      </c>
      <c r="AT1715" s="20">
        <f t="shared" ref="AT1715" si="123">(AK1715*V1715*X1715*Z1714*AA1715*AB1714*AC1715*AD1714*AG1715*AH1714)+AR1715</f>
        <v>2.9029103141621628</v>
      </c>
      <c r="AU1715" s="20">
        <f t="shared" ref="AU1715" si="124">AT1714</f>
        <v>2.7333677581574189</v>
      </c>
      <c r="AV1715" s="12">
        <f t="shared" ref="AV1715" si="125">AK1715*W1715*X1715*Z1714*AA1715*AB1714</f>
        <v>2.9561635926576604</v>
      </c>
      <c r="AW1715" s="12">
        <f t="shared" ref="AW1715" si="126">AV1714</f>
        <v>2.6833677581574191</v>
      </c>
      <c r="AX1715" s="8">
        <f t="shared" si="67"/>
        <v>2.9029103141621628</v>
      </c>
      <c r="AY1715" s="8">
        <f t="shared" si="68"/>
        <v>2.7333677581574189</v>
      </c>
      <c r="AZ1715" s="8">
        <f t="shared" si="69"/>
        <v>5.6362780723195822</v>
      </c>
      <c r="BA1715" s="8">
        <f t="shared" si="70"/>
        <v>0.16954255600474388</v>
      </c>
      <c r="BB1715" s="62">
        <f t="shared" si="71"/>
        <v>-114</v>
      </c>
      <c r="BC1715" s="21">
        <f t="shared" si="72"/>
        <v>100</v>
      </c>
      <c r="BD1715" s="21">
        <f t="shared" si="73"/>
        <v>-128</v>
      </c>
      <c r="BE1715" s="21">
        <f t="shared" si="74"/>
        <v>-157</v>
      </c>
      <c r="BF1715" s="94">
        <f t="shared" si="38"/>
        <v>0.53283749000889591</v>
      </c>
      <c r="BG1715" s="22">
        <f t="shared" ref="BG1715" si="127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0.49966772524706116</v>
      </c>
      <c r="BH1715" s="22">
        <f t="shared" ref="BH1715" si="128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0.5622654866166148</v>
      </c>
      <c r="BI1715" s="22">
        <f t="shared" ref="BI1715" si="129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0.61099628249040472</v>
      </c>
      <c r="BJ1715" s="21">
        <f t="shared" si="77"/>
        <v>-122</v>
      </c>
      <c r="BK1715" s="21">
        <f t="shared" si="78"/>
        <v>101</v>
      </c>
      <c r="BL1715" s="21">
        <f t="shared" si="79"/>
        <v>-128</v>
      </c>
      <c r="BM1715" s="21">
        <f t="shared" si="80"/>
        <v>-157</v>
      </c>
      <c r="BN1715" s="22">
        <f t="shared" si="46"/>
        <v>0.54876681784778025</v>
      </c>
      <c r="BO1715" s="22">
        <f t="shared" ref="BO1715" si="130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0.49762772454917886</v>
      </c>
      <c r="BP1715" s="22">
        <f t="shared" ref="BP1715" si="131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0.5614897338223932</v>
      </c>
      <c r="BQ1715" s="22">
        <f t="shared" ref="BQ1715" si="132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0.61136563215569784</v>
      </c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2"/>
        <v>NYI Ilya Sorokin</v>
      </c>
      <c r="J1716" s="33" t="s">
        <v>175</v>
      </c>
      <c r="K1716" s="14">
        <v>2.96</v>
      </c>
      <c r="L1716" s="13">
        <v>0.15</v>
      </c>
      <c r="M1716" s="28">
        <v>0.1</v>
      </c>
      <c r="N1716">
        <f>IFERROR(_xlfn.XLOOKUP(A1716,Params!A:A,Params!D:D),0)</f>
        <v>2.8999999999999901</v>
      </c>
      <c r="O1716">
        <f t="shared" ref="O1716" si="133">N1717</f>
        <v>2.94999999999999</v>
      </c>
      <c r="P1716" s="68">
        <f t="shared" si="51"/>
        <v>2.8999999999999901</v>
      </c>
      <c r="Q1716">
        <f t="shared" ref="Q1716" si="134">P1717</f>
        <v>2.94999999999999</v>
      </c>
      <c r="R1716" s="5">
        <f t="shared" ref="R1716" si="135">N1716/W1716/X1716/Z1717/AB1717/AA1716</f>
        <v>2.9264022981197906</v>
      </c>
      <c r="S1716" s="5">
        <f t="shared" ref="S1716" si="136">O1716/W1717/Y1716/Z1716/AA1717/AB1716</f>
        <v>3.0592724253378596</v>
      </c>
      <c r="T1716" s="5">
        <f t="shared" ref="T1716" si="137">P1716/W1716/X1716/Z1717/AB1717</f>
        <v>2.8386102291761968</v>
      </c>
      <c r="U1716" s="5">
        <f t="shared" ref="U1716" si="138">Q1716/W1717/Y1716/Z1716/AA1717</f>
        <v>3.0898651495912381</v>
      </c>
      <c r="V1716" s="5">
        <f>_xlfn.XLOOKUP(H1716,'Rest - Home'!A:A,'Rest - Home'!B:B)</f>
        <v>0.97</v>
      </c>
      <c r="W1716" s="5">
        <f>_xlfn.XLOOKUP(H1716,'Rest - Home'!A:A,'Rest - Home'!C:C)</f>
        <v>0.95751047349149665</v>
      </c>
      <c r="X1716" s="5">
        <f t="shared" ref="X1716" si="139">AM1717/K1716</f>
        <v>1.0259244073406864</v>
      </c>
      <c r="Y1716" s="5">
        <f t="shared" ref="Y1716" si="140">AK1717/K1716</f>
        <v>0.95608108108108114</v>
      </c>
      <c r="Z1716" s="5">
        <f>IF(J1716="",1,(_xlfn.XLOOKUP(I1716,Goalies!B:B,Goalies!J:J)))</f>
        <v>0.97</v>
      </c>
      <c r="AA1716" s="23">
        <v>0.97</v>
      </c>
      <c r="AB1716" s="23">
        <v>1.01</v>
      </c>
      <c r="AC1716" s="23">
        <f>_xlfn.XLOOKUP(E1716,'Game Adjustments'!A:A,'Game Adjustments'!B:B)</f>
        <v>1</v>
      </c>
      <c r="AD1716" s="23">
        <f>_xlfn.XLOOKUP(E1716,'Game Adjustments'!A:A,'Game Adjustments'!C:C)</f>
        <v>1</v>
      </c>
      <c r="AE1716" s="23">
        <f>IF(D1716="A",_xlfn.XLOOKUP(E1716,'Rest - Home'!F:F,'Rest - Home'!J:J),_xlfn.XLOOKUP(E1716,'Rest - Home'!F:F,'Rest - Home'!I:I))</f>
        <v>1</v>
      </c>
      <c r="AF1716" s="23">
        <f>IF(D1716="A",_xlfn.XLOOKUP(E1716,'Rest - Home'!F:F,'Rest - Home'!L:L),_xlfn.XLOOKUP(E1716,'Rest - Home'!F:F,'Rest - Home'!K:K))</f>
        <v>1</v>
      </c>
      <c r="AG1716" s="26">
        <v>1</v>
      </c>
      <c r="AH1716" s="26">
        <v>1</v>
      </c>
      <c r="AI1716" s="53" cm="1">
        <f t="array" ref="AI1716">MAX(IF($E$63:E1715=E1716,ROW($E$63:E1715)-MIN(ROW($E$63:E1715))+1))</f>
        <v>1621</v>
      </c>
      <c r="AJ1716" s="53" cm="1">
        <f t="array" ref="AJ1716">MAX(IF($I$105:I1715=I1716,ROW($I$105:I1715)-MIN(ROW($I$105:I1715))+1))</f>
        <v>1540</v>
      </c>
      <c r="AK1716" s="23">
        <f>IF(AI1716=0,_xlfn.XLOOKUP(E1716,'Starting GF'!A:A,'Starting GF'!B:B),INDEX($AL$63:$AL1716,AI1716))</f>
        <v>2.89</v>
      </c>
      <c r="AL1716" s="23">
        <v>2.91</v>
      </c>
      <c r="AM1716" s="23">
        <f>IF(AI1716=0,_xlfn.XLOOKUP(E1716,'Starting GF'!A:A,'Starting GF'!C:C),INDEX($AN$63:$AN1716,AI1716))</f>
        <v>2.95</v>
      </c>
      <c r="AN1716" s="23">
        <v>2.96</v>
      </c>
      <c r="AO1716" s="23">
        <f>IF(AJ1716=0,_xlfn.XLOOKUP(I1716,Goalies!B:B,Goalies!I:I),INDEX($AP$105:$AP1716,AJ1716))</f>
        <v>2.9004255765479861</v>
      </c>
      <c r="AP1716" s="23">
        <f t="shared" si="61"/>
        <v>2.9104858779524463</v>
      </c>
      <c r="AQ1716" s="23">
        <f t="shared" si="62"/>
        <v>2.8614999999999999</v>
      </c>
      <c r="AR1716" s="66">
        <v>-0.03</v>
      </c>
      <c r="AS1716" s="96" t="s">
        <v>1591</v>
      </c>
      <c r="AT1716" s="20">
        <f t="shared" ref="AT1716" si="141">(AK1716*V1716*X1716*Z1717*AA1716*AB1717*AC1716*AD1717*AG1716*AH1717)+AR1716</f>
        <v>2.8712824613398098</v>
      </c>
      <c r="AU1716" s="20">
        <f t="shared" ref="AU1716" si="142">AT1717</f>
        <v>2.8886522903032095</v>
      </c>
      <c r="AV1716" s="12">
        <f t="shared" ref="AV1716" si="143">AK1716*V1716*X1716*Z1717*AA1716*AB1717</f>
        <v>2.9012824613398096</v>
      </c>
      <c r="AW1716" s="12">
        <f t="shared" ref="AW1716" si="144">AV1717</f>
        <v>2.8446306147576528</v>
      </c>
      <c r="AX1716" s="8">
        <f t="shared" si="67"/>
        <v>-2.8717538660180342E-2</v>
      </c>
      <c r="AY1716" s="8">
        <f t="shared" si="68"/>
        <v>-6.1347709696780495E-2</v>
      </c>
      <c r="AZ1716" s="8">
        <f t="shared" si="69"/>
        <v>-9.0065248356960836E-2</v>
      </c>
      <c r="BA1716" s="8">
        <f t="shared" si="70"/>
        <v>3.2630171036600153E-2</v>
      </c>
      <c r="BB1716" s="62">
        <f t="shared" si="71"/>
        <v>105</v>
      </c>
      <c r="BC1716" s="21">
        <f t="shared" si="72"/>
        <v>-109</v>
      </c>
      <c r="BD1716" s="21">
        <f t="shared" si="73"/>
        <v>117</v>
      </c>
      <c r="BE1716" s="21">
        <f t="shared" si="74"/>
        <v>145</v>
      </c>
      <c r="BF1716" s="94">
        <f t="shared" ref="BF1716" si="145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IF(AT1716&gt;AT1717, 1-_xlpm.interp, _xlpm.interp)
)</f>
        <v>0.48890561224034912</v>
      </c>
      <c r="BG1716" s="22">
        <f t="shared" si="76"/>
        <v>0.52238840893868399</v>
      </c>
      <c r="BH1716" s="22">
        <f t="shared" si="76"/>
        <v>0.46070994295361212</v>
      </c>
      <c r="BI1716" s="22">
        <f t="shared" si="76"/>
        <v>0.40801213335657882</v>
      </c>
      <c r="BJ1716" s="21">
        <f t="shared" si="77"/>
        <v>-106</v>
      </c>
      <c r="BK1716" s="21">
        <f t="shared" si="78"/>
        <v>-108</v>
      </c>
      <c r="BL1716" s="21">
        <f t="shared" si="79"/>
        <v>119</v>
      </c>
      <c r="BM1716" s="21">
        <f t="shared" si="80"/>
        <v>147</v>
      </c>
      <c r="BN1716" s="22">
        <f t="shared" ref="BN1716" si="146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IF(AV1716&gt;AV1717, 1-_xlpm.interp, _xlpm.interp)
)</f>
        <v>0.51567421340443886</v>
      </c>
      <c r="BO1716" s="22">
        <f t="shared" si="82"/>
        <v>0.51869544586853</v>
      </c>
      <c r="BP1716" s="22">
        <f t="shared" si="82"/>
        <v>0.45677346812052577</v>
      </c>
      <c r="BQ1716" s="22">
        <f t="shared" si="82"/>
        <v>0.40470442511974836</v>
      </c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2"/>
        <v>PHI Samuel Ersson</v>
      </c>
      <c r="J1717" s="33" t="s">
        <v>231</v>
      </c>
      <c r="K1717" s="14">
        <v>2.96</v>
      </c>
      <c r="L1717" s="13">
        <v>0.15</v>
      </c>
      <c r="M1717" s="28">
        <v>0.1</v>
      </c>
      <c r="N1717">
        <f>IFERROR(_xlfn.XLOOKUP(A1717,Params!A:A,Params!D:D),0)</f>
        <v>2.94999999999999</v>
      </c>
      <c r="O1717">
        <f t="shared" ref="O1717" si="147">N1716</f>
        <v>2.8999999999999901</v>
      </c>
      <c r="P1717" s="68">
        <f t="shared" si="51"/>
        <v>2.94999999999999</v>
      </c>
      <c r="Q1717">
        <f t="shared" ref="Q1717" si="148">P1716</f>
        <v>2.8999999999999901</v>
      </c>
      <c r="R1717" s="5">
        <f t="shared" ref="R1717" si="149">N1717/W1717/X1717/Z1716/AB1716/AA1717</f>
        <v>2.9348274453241161</v>
      </c>
      <c r="S1717" s="5">
        <f t="shared" ref="S1717" si="150">O1717/W1716/Y1717/Z1717/AA1716/AB1717</f>
        <v>3.0749868263956217</v>
      </c>
      <c r="T1717" s="5">
        <f t="shared" ref="T1717" si="151">P1717/W1717/X1717/Z1716/AB1716</f>
        <v>2.9054791708708749</v>
      </c>
      <c r="U1717" s="5">
        <f t="shared" ref="U1717" si="152">Q1717/W1716/Y1717/Z1717/AA1716</f>
        <v>3.0749868263956217</v>
      </c>
      <c r="V1717" s="5">
        <f>_xlfn.XLOOKUP(H1717,'Rest - Home'!A:A,'Rest - Home'!B:B)</f>
        <v>1.0449999999999999</v>
      </c>
      <c r="W1717" s="5">
        <f>_xlfn.XLOOKUP(H1717,'Rest - Home'!A:A,'Rest - Home'!C:C)</f>
        <v>1.0398742800952707</v>
      </c>
      <c r="X1717" s="5">
        <f t="shared" ref="X1717" si="153">AM1716/K1717</f>
        <v>0.99662162162162171</v>
      </c>
      <c r="Y1717" s="5">
        <f t="shared" ref="Y1717" si="154">AK1716/K1717</f>
        <v>0.97635135135135143</v>
      </c>
      <c r="Z1717" s="5">
        <f>IF(J1717="",1,(_xlfn.XLOOKUP(I1717,Goalies!B:B,Goalies!J:J)))</f>
        <v>1.04</v>
      </c>
      <c r="AA1717" s="23">
        <v>0.99</v>
      </c>
      <c r="AB1717" s="23">
        <v>1</v>
      </c>
      <c r="AC1717" s="23">
        <f>_xlfn.XLOOKUP(E1717,'Game Adjustments'!A:A,'Game Adjustments'!B:B)</f>
        <v>1</v>
      </c>
      <c r="AD1717" s="23">
        <f>_xlfn.XLOOKUP(E1717,'Game Adjustments'!A:A,'Game Adjustments'!C:C)</f>
        <v>1</v>
      </c>
      <c r="AE1717" s="23">
        <f>IF(D1717="A",_xlfn.XLOOKUP(E1717,'Rest - Home'!F:F,'Rest - Home'!J:J),_xlfn.XLOOKUP(E1717,'Rest - Home'!F:F,'Rest - Home'!I:I))</f>
        <v>1</v>
      </c>
      <c r="AF1717" s="23">
        <f>IF(D1717="A",_xlfn.XLOOKUP(E1717,'Rest - Home'!F:F,'Rest - Home'!L:L),_xlfn.XLOOKUP(E1717,'Rest - Home'!F:F,'Rest - Home'!K:K))</f>
        <v>1</v>
      </c>
      <c r="AG1717" s="26">
        <v>1</v>
      </c>
      <c r="AH1717" s="26">
        <v>1</v>
      </c>
      <c r="AI1717" s="53" cm="1">
        <f t="array" ref="AI1717">MAX(IF($E$63:E1716=E1717,ROW($E$63:E1716)-MIN(ROW($E$63:E1716))+1))</f>
        <v>1610</v>
      </c>
      <c r="AJ1717" s="53" cm="1">
        <f t="array" ref="AJ1717">MAX(IF($I$105:I1716=I1717,ROW($I$105:I1716)-MIN(ROW($I$105:I1716))+1))</f>
        <v>1568</v>
      </c>
      <c r="AK1717" s="23">
        <f>IF(AI1717=0,_xlfn.XLOOKUP(E1717,'Starting GF'!A:A,'Starting GF'!B:B),INDEX($AL$63:$AL1717,AI1717))</f>
        <v>2.83</v>
      </c>
      <c r="AL1717" s="23">
        <v>2.83</v>
      </c>
      <c r="AM1717" s="23">
        <f>IF(AI1717=0,_xlfn.XLOOKUP(E1717,'Starting GF'!A:A,'Starting GF'!C:C),INDEX($AN$63:$AN1717,AI1717))</f>
        <v>3.0367362457284313</v>
      </c>
      <c r="AN1717" s="23">
        <v>3.05</v>
      </c>
      <c r="AO1717" s="23">
        <f>IF(AJ1717=0,_xlfn.XLOOKUP(I1717,Goalies!B:B,Goalies!I:I),INDEX($AP$105:$AP1717,AJ1717))</f>
        <v>3.1308737033124348</v>
      </c>
      <c r="AP1717" s="23">
        <f t="shared" si="61"/>
        <v>3.1409405927332861</v>
      </c>
      <c r="AQ1717" s="23">
        <f t="shared" si="62"/>
        <v>3.1582056955575686</v>
      </c>
      <c r="AR1717" s="66">
        <v>0.03</v>
      </c>
      <c r="AS1717" s="96" t="s">
        <v>1591</v>
      </c>
      <c r="AT1717" s="20">
        <f t="shared" ref="AT1717" si="155">(AK1717*V1717*X1717*Z1716*AA1717*AB1716*AC1717*AD1716*AG1717*AH1716)+AR1717</f>
        <v>2.8886522903032095</v>
      </c>
      <c r="AU1717" s="20">
        <f t="shared" ref="AU1717" si="156">AT1716</f>
        <v>2.8712824613398098</v>
      </c>
      <c r="AV1717" s="12">
        <f t="shared" ref="AV1717" si="157">AK1717*W1717*X1717*Z1716*AA1717*AB1716</f>
        <v>2.8446306147576528</v>
      </c>
      <c r="AW1717" s="12">
        <f t="shared" ref="AW1717" si="158">AV1716</f>
        <v>2.9012824613398096</v>
      </c>
      <c r="AX1717" s="8">
        <f t="shared" si="67"/>
        <v>-6.1347709696780495E-2</v>
      </c>
      <c r="AY1717" s="8">
        <f t="shared" si="68"/>
        <v>-2.8717538660180342E-2</v>
      </c>
      <c r="AZ1717" s="8">
        <f t="shared" si="69"/>
        <v>-9.0065248356960836E-2</v>
      </c>
      <c r="BA1717" s="8">
        <f t="shared" si="70"/>
        <v>-3.2630171036600153E-2</v>
      </c>
      <c r="BB1717" s="62">
        <f t="shared" si="71"/>
        <v>-105</v>
      </c>
      <c r="BC1717" s="21">
        <f t="shared" si="72"/>
        <v>109</v>
      </c>
      <c r="BD1717" s="21">
        <f t="shared" si="73"/>
        <v>-117</v>
      </c>
      <c r="BE1717" s="21">
        <f t="shared" si="74"/>
        <v>-145</v>
      </c>
      <c r="BF1717" s="94">
        <f t="shared" si="38"/>
        <v>0.51109438775965088</v>
      </c>
      <c r="BG1717" s="22">
        <f t="shared" ref="BG1717" si="159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0.47761159106131601</v>
      </c>
      <c r="BH1717" s="22">
        <f t="shared" ref="BH1717" si="160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0.53929005704638788</v>
      </c>
      <c r="BI1717" s="22">
        <f t="shared" ref="BI1717" si="161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0.59198786664342118</v>
      </c>
      <c r="BJ1717" s="21">
        <f t="shared" si="77"/>
        <v>106</v>
      </c>
      <c r="BK1717" s="21">
        <f t="shared" si="78"/>
        <v>108</v>
      </c>
      <c r="BL1717" s="21">
        <f t="shared" si="79"/>
        <v>-119</v>
      </c>
      <c r="BM1717" s="21">
        <f t="shared" si="80"/>
        <v>-147</v>
      </c>
      <c r="BN1717" s="22">
        <f t="shared" si="46"/>
        <v>0.48432578659556114</v>
      </c>
      <c r="BO1717" s="22">
        <f t="shared" ref="BO1717" si="162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0.48130455413147</v>
      </c>
      <c r="BP1717" s="22">
        <f t="shared" ref="BP1717" si="163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0.54322653187947423</v>
      </c>
      <c r="BQ1717" s="22">
        <f t="shared" ref="BQ1717" si="164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0.59529557488025164</v>
      </c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2"/>
        <v>UTA Karel Vejmelka</v>
      </c>
      <c r="J1718" s="33" t="s">
        <v>191</v>
      </c>
      <c r="K1718" s="14">
        <v>2.96</v>
      </c>
      <c r="L1718" s="13">
        <v>0.15</v>
      </c>
      <c r="M1718" s="28">
        <v>0.1</v>
      </c>
      <c r="N1718">
        <f>IFERROR(_xlfn.XLOOKUP(A1718,Params!A:A,Params!D:D),0)</f>
        <v>2.69999999999999</v>
      </c>
      <c r="O1718">
        <f t="shared" ref="O1718" si="165">N1719</f>
        <v>3.2999999999999901</v>
      </c>
      <c r="P1718" s="68">
        <f t="shared" si="51"/>
        <v>2.69999999999999</v>
      </c>
      <c r="Q1718">
        <f t="shared" ref="Q1718" si="166">P1719</f>
        <v>3.2999999999999901</v>
      </c>
      <c r="R1718" s="5">
        <f t="shared" ref="R1718" si="167">N1718/W1718/X1718/Z1719/AB1719/AA1718</f>
        <v>3.3188979115462685</v>
      </c>
      <c r="S1718" s="5">
        <f t="shared" ref="S1718" si="168">O1718/W1719/Y1718/Z1718/AA1719/AB1718</f>
        <v>3.0571736403636076</v>
      </c>
      <c r="T1718" s="5">
        <f t="shared" ref="T1718" si="169">P1718/W1718/X1718/Z1719/AB1719</f>
        <v>3.1861419950844176</v>
      </c>
      <c r="U1718" s="5">
        <f t="shared" ref="U1718" si="170">Q1718/W1719/Y1718/Z1718/AA1719</f>
        <v>3.0571736403636076</v>
      </c>
      <c r="V1718" s="5">
        <f>_xlfn.XLOOKUP(H1718,'Rest - Home'!A:A,'Rest - Home'!B:B)</f>
        <v>0.95</v>
      </c>
      <c r="W1718" s="5">
        <f>_xlfn.XLOOKUP(H1718,'Rest - Home'!A:A,'Rest - Home'!C:C)</f>
        <v>0.95302926576458757</v>
      </c>
      <c r="X1718" s="5">
        <f t="shared" ref="X1718" si="171">AM1719/K1718</f>
        <v>0.88175675675675669</v>
      </c>
      <c r="Y1718" s="5">
        <f t="shared" ref="Y1718" si="172">AK1719/K1718</f>
        <v>1.1283783783783783</v>
      </c>
      <c r="Z1718" s="5">
        <f>IF(J1718="",1,(_xlfn.XLOOKUP(I1718,Goalies!B:B,Goalies!J:J)))</f>
        <v>0.97</v>
      </c>
      <c r="AA1718" s="23">
        <v>0.96</v>
      </c>
      <c r="AB1718" s="23">
        <v>1</v>
      </c>
      <c r="AC1718" s="23">
        <f>_xlfn.XLOOKUP(E1718,'Game Adjustments'!A:A,'Game Adjustments'!B:B)</f>
        <v>1</v>
      </c>
      <c r="AD1718" s="23">
        <f>_xlfn.XLOOKUP(E1718,'Game Adjustments'!A:A,'Game Adjustments'!C:C)</f>
        <v>1</v>
      </c>
      <c r="AE1718" s="23">
        <f>IF(D1718="A",_xlfn.XLOOKUP(E1718,'Rest - Home'!F:F,'Rest - Home'!J:J),_xlfn.XLOOKUP(E1718,'Rest - Home'!F:F,'Rest - Home'!I:I))</f>
        <v>1</v>
      </c>
      <c r="AF1718" s="23">
        <f>IF(D1718="A",_xlfn.XLOOKUP(E1718,'Rest - Home'!F:F,'Rest - Home'!L:L),_xlfn.XLOOKUP(E1718,'Rest - Home'!F:F,'Rest - Home'!K:K))</f>
        <v>1</v>
      </c>
      <c r="AG1718" s="26">
        <v>1</v>
      </c>
      <c r="AH1718" s="26">
        <v>1</v>
      </c>
      <c r="AI1718" s="53" cm="1">
        <f t="array" ref="AI1718">MAX(IF($E$63:E1717=E1718,ROW($E$63:E1717)-MIN(ROW($E$63:E1717))+1))</f>
        <v>1622</v>
      </c>
      <c r="AJ1718" s="53" cm="1">
        <f t="array" ref="AJ1718">MAX(IF($I$105:I1717=I1718,ROW($I$105:I1717)-MIN(ROW($I$105:I1717))+1))</f>
        <v>1580</v>
      </c>
      <c r="AK1718" s="23">
        <f>IF(AI1718=0,_xlfn.XLOOKUP(E1718,'Starting GF'!A:A,'Starting GF'!B:B),INDEX($AL$63:$AL1718,AI1718))</f>
        <v>3.082691985222592</v>
      </c>
      <c r="AL1718" s="23">
        <v>3.1</v>
      </c>
      <c r="AM1718" s="23">
        <f>IF(AI1718=0,_xlfn.XLOOKUP(E1718,'Starting GF'!A:A,'Starting GF'!C:C),INDEX($AN$63:$AN1718,AI1718))</f>
        <v>2.9677962537525113</v>
      </c>
      <c r="AN1718" s="23">
        <v>2.97</v>
      </c>
      <c r="AO1718" s="23">
        <f>IF(AJ1718=0,_xlfn.XLOOKUP(I1718,Goalies!B:B,Goalies!I:I),INDEX($AP$105:$AP1718,AJ1718))</f>
        <v>2.9080873265170504</v>
      </c>
      <c r="AP1718" s="23">
        <f t="shared" si="61"/>
        <v>2.9166929922123974</v>
      </c>
      <c r="AQ1718" s="23">
        <f t="shared" si="62"/>
        <v>2.8787623661399357</v>
      </c>
      <c r="AR1718" s="66">
        <v>0</v>
      </c>
      <c r="AS1718" s="96" t="s">
        <v>1591</v>
      </c>
      <c r="AT1718" s="20">
        <f t="shared" ref="AT1718" si="173">(AK1718*V1718*X1718*Z1719*AA1718*AB1719*AC1718*AD1719*AG1718*AH1719)+AR1718</f>
        <v>2.4998696944406493</v>
      </c>
      <c r="AU1718" s="20">
        <f t="shared" ref="AU1718" si="174">AT1719</f>
        <v>3.1999980122703118</v>
      </c>
      <c r="AV1718" s="12">
        <f t="shared" ref="AV1718" si="175">AK1718*V1718*X1718*Z1719*AA1718*AB1719</f>
        <v>2.4998696944406493</v>
      </c>
      <c r="AW1718" s="12">
        <f t="shared" ref="AW1718" si="176">AV1719</f>
        <v>3.2035235120692827</v>
      </c>
      <c r="AX1718" s="8">
        <f t="shared" si="67"/>
        <v>-0.20013030555934064</v>
      </c>
      <c r="AY1718" s="8">
        <f t="shared" si="68"/>
        <v>-0.10000198772967828</v>
      </c>
      <c r="AZ1718" s="8">
        <f t="shared" si="69"/>
        <v>-0.30013229328901891</v>
      </c>
      <c r="BA1718" s="8">
        <f t="shared" si="70"/>
        <v>-0.10012831782966236</v>
      </c>
      <c r="BB1718" s="62">
        <f t="shared" si="71"/>
        <v>161</v>
      </c>
      <c r="BC1718" s="21">
        <f t="shared" si="72"/>
        <v>-105</v>
      </c>
      <c r="BD1718" s="21">
        <f t="shared" si="73"/>
        <v>123</v>
      </c>
      <c r="BE1718" s="21">
        <f t="shared" si="74"/>
        <v>151</v>
      </c>
      <c r="BF1718" s="94">
        <f t="shared" ref="BF1718" si="177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IF(AT1718&gt;AT1719, 1-_xlpm.interp, _xlpm.interp)
)</f>
        <v>0.38352587226380058</v>
      </c>
      <c r="BG1718" s="22">
        <f t="shared" si="76"/>
        <v>0.51168535192397413</v>
      </c>
      <c r="BH1718" s="22">
        <f t="shared" si="76"/>
        <v>0.44895888330740708</v>
      </c>
      <c r="BI1718" s="22">
        <f t="shared" si="76"/>
        <v>0.39785275765238148</v>
      </c>
      <c r="BJ1718" s="21">
        <f t="shared" si="77"/>
        <v>161</v>
      </c>
      <c r="BK1718" s="21">
        <f t="shared" si="78"/>
        <v>-105</v>
      </c>
      <c r="BL1718" s="21">
        <f t="shared" si="79"/>
        <v>122</v>
      </c>
      <c r="BM1718" s="21">
        <f t="shared" si="80"/>
        <v>151</v>
      </c>
      <c r="BN1718" s="22">
        <f t="shared" ref="BN1718" si="178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IF(AV1718&gt;AV1719, 1-_xlpm.interp, _xlpm.interp)
)</f>
        <v>0.38330215040111976</v>
      </c>
      <c r="BO1718" s="22">
        <f t="shared" si="82"/>
        <v>0.51219124302421126</v>
      </c>
      <c r="BP1718" s="22">
        <f t="shared" si="82"/>
        <v>0.44946446236902271</v>
      </c>
      <c r="BQ1718" s="22">
        <f t="shared" si="82"/>
        <v>0.39825225658270946</v>
      </c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2"/>
        <v>TBL Andrei Vasilevskiy</v>
      </c>
      <c r="J1719" s="33" t="s">
        <v>187</v>
      </c>
      <c r="K1719" s="14">
        <v>2.96</v>
      </c>
      <c r="L1719" s="13">
        <v>0.15</v>
      </c>
      <c r="M1719" s="28">
        <v>0.1</v>
      </c>
      <c r="N1719">
        <f>IFERROR(_xlfn.XLOOKUP(A1719,Params!A:A,Params!D:D),0)</f>
        <v>3.2999999999999901</v>
      </c>
      <c r="O1719">
        <f t="shared" ref="O1719" si="179">N1718</f>
        <v>2.69999999999999</v>
      </c>
      <c r="P1719" s="68">
        <f t="shared" si="51"/>
        <v>3.2999999999999901</v>
      </c>
      <c r="Q1719">
        <f t="shared" ref="Q1719" si="180">P1718</f>
        <v>2.69999999999999</v>
      </c>
      <c r="R1719" s="5">
        <f t="shared" ref="R1719" si="181">N1719/W1719/X1719/Z1718/AB1718/AA1719</f>
        <v>3.4405865786452181</v>
      </c>
      <c r="S1719" s="5">
        <f t="shared" ref="S1719" si="182">O1719/W1718/Y1719/Z1719/AA1718/AB1719</f>
        <v>2.8099867228578401</v>
      </c>
      <c r="T1719" s="5">
        <f t="shared" ref="T1719" si="183">P1719/W1719/X1719/Z1718/AB1718</f>
        <v>3.234151383926505</v>
      </c>
      <c r="U1719" s="5">
        <f t="shared" ref="U1719" si="184">Q1719/W1718/Y1719/Z1719/AA1718</f>
        <v>2.9364361253864426</v>
      </c>
      <c r="V1719" s="5">
        <f>_xlfn.XLOOKUP(H1719,'Rest - Home'!A:A,'Rest - Home'!B:B)</f>
        <v>1.048</v>
      </c>
      <c r="W1719" s="5">
        <f>_xlfn.XLOOKUP(H1719,'Rest - Home'!A:A,'Rest - Home'!C:C)</f>
        <v>1.0491546019013618</v>
      </c>
      <c r="X1719" s="5">
        <f t="shared" ref="X1719" si="185">AM1718/K1719</f>
        <v>1.0026338695109835</v>
      </c>
      <c r="Y1719" s="5">
        <f t="shared" ref="Y1719" si="186">AK1718/K1719</f>
        <v>1.0414499950076324</v>
      </c>
      <c r="Z1719" s="5">
        <f>IF(J1719="",1,(_xlfn.XLOOKUP(I1719,Goalies!B:B,Goalies!J:J)))</f>
        <v>0.96499999999999997</v>
      </c>
      <c r="AA1719" s="23">
        <v>0.94</v>
      </c>
      <c r="AB1719" s="23">
        <v>1.0449999999999999</v>
      </c>
      <c r="AC1719" s="23">
        <f>_xlfn.XLOOKUP(E1719,'Game Adjustments'!A:A,'Game Adjustments'!B:B)</f>
        <v>1</v>
      </c>
      <c r="AD1719" s="23">
        <f>_xlfn.XLOOKUP(E1719,'Game Adjustments'!A:A,'Game Adjustments'!C:C)</f>
        <v>1</v>
      </c>
      <c r="AE1719" s="23">
        <f>IF(D1719="A",_xlfn.XLOOKUP(E1719,'Rest - Home'!F:F,'Rest - Home'!J:J),_xlfn.XLOOKUP(E1719,'Rest - Home'!F:F,'Rest - Home'!I:I))</f>
        <v>1</v>
      </c>
      <c r="AF1719" s="23">
        <f>IF(D1719="A",_xlfn.XLOOKUP(E1719,'Rest - Home'!F:F,'Rest - Home'!L:L),_xlfn.XLOOKUP(E1719,'Rest - Home'!F:F,'Rest - Home'!K:K))</f>
        <v>1</v>
      </c>
      <c r="AG1719" s="26">
        <v>1</v>
      </c>
      <c r="AH1719" s="26">
        <v>1</v>
      </c>
      <c r="AI1719" s="53" cm="1">
        <f t="array" ref="AI1719">MAX(IF($E$63:E1718=E1719,ROW($E$63:E1718)-MIN(ROW($E$63:E1718))+1))</f>
        <v>1630</v>
      </c>
      <c r="AJ1719" s="53" cm="1">
        <f t="array" ref="AJ1719">MAX(IF($I$105:I1718=I1719,ROW($I$105:I1718)-MIN(ROW($I$105:I1718))+1))</f>
        <v>1562</v>
      </c>
      <c r="AK1719" s="23">
        <f>IF(AI1719=0,_xlfn.XLOOKUP(E1719,'Starting GF'!A:A,'Starting GF'!B:B),INDEX($AL$63:$AL1719,AI1719))</f>
        <v>3.34</v>
      </c>
      <c r="AL1719" s="23">
        <f t="shared" si="59"/>
        <v>3.351991458876002</v>
      </c>
      <c r="AM1719" s="23">
        <f>IF(AI1719=0,_xlfn.XLOOKUP(E1719,'Starting GF'!A:A,'Starting GF'!C:C),INDEX($AN$63:$AN1719,AI1719))</f>
        <v>2.61</v>
      </c>
      <c r="AN1719" s="23">
        <v>2.61</v>
      </c>
      <c r="AO1719" s="23">
        <f>IF(AJ1719=0,_xlfn.XLOOKUP(I1719,Goalies!B:B,Goalies!I:I),INDEX($AP$105:$AP1719,AJ1719))</f>
        <v>2.5521914411170776</v>
      </c>
      <c r="AP1719" s="23">
        <f t="shared" si="61"/>
        <v>2.5761083030831884</v>
      </c>
      <c r="AQ1719" s="23">
        <f t="shared" si="62"/>
        <v>2.5186499999999996</v>
      </c>
      <c r="AR1719" s="66">
        <v>0</v>
      </c>
      <c r="AS1719" s="96" t="s">
        <v>1591</v>
      </c>
      <c r="AT1719" s="20">
        <f t="shared" ref="AT1719" si="187">(AK1719*V1719*X1719*Z1718*AA1719*AB1718*AC1719*AD1718*AG1719*AH1718)+AR1719</f>
        <v>3.1999980122703118</v>
      </c>
      <c r="AU1719" s="20">
        <f t="shared" ref="AU1719" si="188">AT1718</f>
        <v>2.4998696944406493</v>
      </c>
      <c r="AV1719" s="12">
        <f t="shared" ref="AV1719" si="189">AK1719*W1719*X1719*Z1718*AA1719*AB1718</f>
        <v>3.2035235120692827</v>
      </c>
      <c r="AW1719" s="12">
        <f t="shared" ref="AW1719" si="190">AV1718</f>
        <v>2.4998696944406493</v>
      </c>
      <c r="AX1719" s="8">
        <f t="shared" si="67"/>
        <v>-0.10000198772967828</v>
      </c>
      <c r="AY1719" s="8">
        <f t="shared" si="68"/>
        <v>-0.20013030555934064</v>
      </c>
      <c r="AZ1719" s="8">
        <f t="shared" si="69"/>
        <v>-0.30013229328901891</v>
      </c>
      <c r="BA1719" s="8">
        <f t="shared" si="70"/>
        <v>0.10012831782966236</v>
      </c>
      <c r="BB1719" s="62">
        <f t="shared" si="71"/>
        <v>-161</v>
      </c>
      <c r="BC1719" s="21">
        <f t="shared" si="72"/>
        <v>105</v>
      </c>
      <c r="BD1719" s="21">
        <f t="shared" si="73"/>
        <v>-123</v>
      </c>
      <c r="BE1719" s="21">
        <f t="shared" si="74"/>
        <v>-151</v>
      </c>
      <c r="BF1719" s="94">
        <f t="shared" si="38"/>
        <v>0.61647412773619936</v>
      </c>
      <c r="BG1719" s="22">
        <f t="shared" ref="BG1719" si="191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0.48831464807602587</v>
      </c>
      <c r="BH1719" s="22">
        <f t="shared" ref="BH1719" si="192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0.55104111669259292</v>
      </c>
      <c r="BI1719" s="22">
        <f t="shared" ref="BI1719" si="193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0.60214724234761852</v>
      </c>
      <c r="BJ1719" s="21">
        <f t="shared" si="77"/>
        <v>-161</v>
      </c>
      <c r="BK1719" s="21">
        <f t="shared" si="78"/>
        <v>105</v>
      </c>
      <c r="BL1719" s="21">
        <f t="shared" si="79"/>
        <v>-122</v>
      </c>
      <c r="BM1719" s="21">
        <f t="shared" si="80"/>
        <v>-151</v>
      </c>
      <c r="BN1719" s="22">
        <f t="shared" si="46"/>
        <v>0.61669784959888019</v>
      </c>
      <c r="BO1719" s="22">
        <f t="shared" ref="BO1719" si="194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0.48780875697578868</v>
      </c>
      <c r="BP1719" s="22">
        <f t="shared" ref="BP1719" si="195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0.55053553763097729</v>
      </c>
      <c r="BQ1719" s="22">
        <f t="shared" ref="BQ1719" si="196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0.60174774341729054</v>
      </c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2"/>
        <v>ANA Ville Husso</v>
      </c>
      <c r="J1720" s="33" t="s">
        <v>1164</v>
      </c>
      <c r="K1720" s="14">
        <v>2.96</v>
      </c>
      <c r="L1720" s="13">
        <v>0.15</v>
      </c>
      <c r="M1720" s="28">
        <v>0.1</v>
      </c>
      <c r="N1720">
        <f>IFERROR(_xlfn.XLOOKUP(A1720,Params!A:A,Params!D:D),0)</f>
        <v>2.6499999999999901</v>
      </c>
      <c r="O1720">
        <f t="shared" ref="O1720" si="197">N1721</f>
        <v>4.0499999999999901</v>
      </c>
      <c r="P1720" s="68">
        <f t="shared" si="51"/>
        <v>2.6499999999999901</v>
      </c>
      <c r="Q1720">
        <f t="shared" ref="Q1720" si="198">P1721</f>
        <v>4.0499999999999901</v>
      </c>
      <c r="R1720" s="5">
        <f t="shared" ref="R1720" si="199">N1720/W1720/X1720/Z1721/AB1721/AA1720</f>
        <v>3.0810261583341645</v>
      </c>
      <c r="S1720" s="5">
        <f t="shared" ref="S1720" si="200">O1720/W1721/Y1720/Z1720/AA1721/AB1720</f>
        <v>3.1906242332064196</v>
      </c>
      <c r="T1720" s="5">
        <f t="shared" ref="T1720" si="201">P1720/W1720/X1720/Z1721/AB1721</f>
        <v>2.8499491964591024</v>
      </c>
      <c r="U1720" s="5">
        <f t="shared" ref="U1720" si="202">Q1720/W1721/Y1720/Z1720/AA1721</f>
        <v>3.222530475538484</v>
      </c>
      <c r="V1720" s="5">
        <f>_xlfn.XLOOKUP(H1720,'Rest - Home'!A:A,'Rest - Home'!B:B)</f>
        <v>0.95</v>
      </c>
      <c r="W1720" s="5">
        <f>_xlfn.XLOOKUP(H1720,'Rest - Home'!A:A,'Rest - Home'!C:C)</f>
        <v>0.92554174501717079</v>
      </c>
      <c r="X1720" s="5">
        <f t="shared" ref="X1720" si="203">AM1721/K1720</f>
        <v>1.0304054054054053</v>
      </c>
      <c r="Y1720" s="5">
        <f t="shared" ref="Y1720" si="204">AK1721/K1720</f>
        <v>1.1216216216216215</v>
      </c>
      <c r="Z1720" s="5">
        <f>IF(J1720="",1,(_xlfn.XLOOKUP(I1720,Goalies!B:B,Goalies!J:J)))</f>
        <v>1.05</v>
      </c>
      <c r="AA1720" s="23">
        <v>0.92500000000000004</v>
      </c>
      <c r="AB1720" s="23">
        <v>1.01</v>
      </c>
      <c r="AC1720" s="23">
        <f>_xlfn.XLOOKUP(E1720,'Game Adjustments'!A:A,'Game Adjustments'!B:B)</f>
        <v>1</v>
      </c>
      <c r="AD1720" s="23">
        <f>_xlfn.XLOOKUP(E1720,'Game Adjustments'!A:A,'Game Adjustments'!C:C)</f>
        <v>1</v>
      </c>
      <c r="AE1720" s="23">
        <f>IF(D1720="A",_xlfn.XLOOKUP(E1720,'Rest - Home'!F:F,'Rest - Home'!J:J),_xlfn.XLOOKUP(E1720,'Rest - Home'!F:F,'Rest - Home'!I:I))</f>
        <v>1</v>
      </c>
      <c r="AF1720" s="23">
        <f>IF(D1720="A",_xlfn.XLOOKUP(E1720,'Rest - Home'!F:F,'Rest - Home'!L:L),_xlfn.XLOOKUP(E1720,'Rest - Home'!F:F,'Rest - Home'!K:K))</f>
        <v>1</v>
      </c>
      <c r="AG1720" s="26">
        <v>1</v>
      </c>
      <c r="AH1720" s="26">
        <v>1</v>
      </c>
      <c r="AI1720" s="53" cm="1">
        <f t="array" ref="AI1720">MAX(IF($E$63:E1719=E1720,ROW($E$63:E1719)-MIN(ROW($E$63:E1719))+1))</f>
        <v>1648</v>
      </c>
      <c r="AJ1720" s="53" cm="1">
        <f t="array" ref="AJ1720">MAX(IF($I$105:I1719=I1720,ROW($I$105:I1719)-MIN(ROW($I$105:I1719))+1))</f>
        <v>1489</v>
      </c>
      <c r="AK1720" s="23">
        <f>IF(AI1720=0,_xlfn.XLOOKUP(E1720,'Starting GF'!A:A,'Starting GF'!B:B),INDEX($AL$63:$AL1720,AI1720))</f>
        <v>3.1536638240357679</v>
      </c>
      <c r="AL1720" s="23">
        <f t="shared" si="59"/>
        <v>3.1393020197524013</v>
      </c>
      <c r="AM1720" s="23">
        <f>IF(AI1720=0,_xlfn.XLOOKUP(E1720,'Starting GF'!A:A,'Starting GF'!C:C),INDEX($AN$63:$AN1720,AI1720))</f>
        <v>3.2946397912577661</v>
      </c>
      <c r="AN1720" s="23">
        <f t="shared" si="60"/>
        <v>3.2790374575500643</v>
      </c>
      <c r="AO1720" s="23">
        <f>IF(AJ1720=0,_xlfn.XLOOKUP(I1720,Goalies!B:B,Goalies!I:I),INDEX($AP$105:$AP1720,AJ1720))</f>
        <v>3.3789685803094125</v>
      </c>
      <c r="AP1720" s="23">
        <f t="shared" si="61"/>
        <v>3.3746466099930119</v>
      </c>
      <c r="AQ1720" s="23">
        <f t="shared" si="62"/>
        <v>3.4593717808206543</v>
      </c>
      <c r="AR1720" s="66">
        <v>0</v>
      </c>
      <c r="AS1720" s="96" t="s">
        <v>1591</v>
      </c>
      <c r="AT1720" s="20">
        <f t="shared" ref="AT1720" si="205">(AK1720*V1720*X1720*Z1721*AA1720*AB1721*AC1720*AD1721*AG1720*AH1721)+AR1720</f>
        <v>2.7841554396531389</v>
      </c>
      <c r="AU1720" s="20">
        <f t="shared" ref="AU1720" si="206">AT1721</f>
        <v>4.0942783478307794</v>
      </c>
      <c r="AV1720" s="12">
        <f t="shared" ref="AV1720" si="207">AK1720*V1720*X1720*Z1721*AA1720*AB1721</f>
        <v>2.7841554396531389</v>
      </c>
      <c r="AW1720" s="12">
        <f t="shared" ref="AW1720" si="208">AV1721</f>
        <v>4.182031533429611</v>
      </c>
      <c r="AX1720" s="8">
        <f t="shared" si="67"/>
        <v>0.1341554396531488</v>
      </c>
      <c r="AY1720" s="8">
        <f t="shared" si="68"/>
        <v>4.4278347830789322E-2</v>
      </c>
      <c r="AZ1720" s="8">
        <f t="shared" si="69"/>
        <v>0.17843378748393812</v>
      </c>
      <c r="BA1720" s="8">
        <f t="shared" si="70"/>
        <v>8.9877091822359478E-2</v>
      </c>
      <c r="BB1720" s="62">
        <f t="shared" si="71"/>
        <v>221</v>
      </c>
      <c r="BC1720" s="21">
        <f t="shared" si="72"/>
        <v>-222</v>
      </c>
      <c r="BD1720" s="21">
        <f t="shared" si="73"/>
        <v>-186</v>
      </c>
      <c r="BE1720" s="21">
        <f t="shared" si="74"/>
        <v>-138</v>
      </c>
      <c r="BF1720" s="94">
        <f t="shared" ref="BF1720" si="209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IF(AT1720&gt;AT1721, 1-_xlpm.interp, _xlpm.interp)
)</f>
        <v>0.31155233117981979</v>
      </c>
      <c r="BG1720" s="22">
        <f t="shared" si="76"/>
        <v>0.68918155404011661</v>
      </c>
      <c r="BH1720" s="22">
        <f t="shared" si="76"/>
        <v>0.65074106036079071</v>
      </c>
      <c r="BI1720" s="22">
        <f t="shared" si="76"/>
        <v>0.5791203767694425</v>
      </c>
      <c r="BJ1720" s="21">
        <f t="shared" si="77"/>
        <v>231</v>
      </c>
      <c r="BK1720" s="21">
        <f t="shared" si="78"/>
        <v>-232</v>
      </c>
      <c r="BL1720" s="21">
        <f t="shared" si="79"/>
        <v>-196</v>
      </c>
      <c r="BM1720" s="21">
        <f t="shared" si="80"/>
        <v>-144</v>
      </c>
      <c r="BN1720" s="22">
        <f t="shared" ref="BN1720" si="210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IF(AV1720&gt;AV1721, 1-_xlpm.interp, _xlpm.interp)
)</f>
        <v>0.30242381811870928</v>
      </c>
      <c r="BO1720" s="22">
        <f t="shared" si="82"/>
        <v>0.69900431350110304</v>
      </c>
      <c r="BP1720" s="22">
        <f t="shared" si="82"/>
        <v>0.66238652937675147</v>
      </c>
      <c r="BQ1720" s="22">
        <f t="shared" si="82"/>
        <v>0.5905568778221324</v>
      </c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ref="I1721:I1770" si="211">E1721&amp;" "&amp;J1721</f>
        <v>EDM Tristan Jarry</v>
      </c>
      <c r="J1721" s="33" t="s">
        <v>181</v>
      </c>
      <c r="K1721" s="14">
        <v>2.96</v>
      </c>
      <c r="L1721" s="13">
        <v>0.15</v>
      </c>
      <c r="M1721" s="28">
        <v>0.1</v>
      </c>
      <c r="N1721">
        <f>IFERROR(_xlfn.XLOOKUP(A1721,Params!A:A,Params!D:D),0)</f>
        <v>4.0499999999999901</v>
      </c>
      <c r="O1721">
        <f t="shared" ref="O1721" si="212">N1720</f>
        <v>2.6499999999999901</v>
      </c>
      <c r="P1721" s="68">
        <f t="shared" si="51"/>
        <v>4.0499999999999901</v>
      </c>
      <c r="Q1721">
        <f t="shared" ref="Q1721" si="213">P1720</f>
        <v>2.6499999999999901</v>
      </c>
      <c r="R1721" s="5">
        <f t="shared" ref="R1721" si="214">N1721/W1721/X1721/Z1720/AB1720/AA1721</f>
        <v>3.2151837910636547</v>
      </c>
      <c r="S1721" s="5">
        <f t="shared" ref="S1721" si="215">O1721/W1720/Y1721/Z1721/AA1720/AB1721</f>
        <v>2.9797500010301103</v>
      </c>
      <c r="T1721" s="5">
        <f t="shared" ref="T1721" si="216">P1721/W1721/X1721/Z1720/AB1720</f>
        <v>3.1991078721083364</v>
      </c>
      <c r="U1721" s="5">
        <f t="shared" ref="U1721" si="217">Q1721/W1720/Y1721/Z1721/AA1720</f>
        <v>2.9797500010301103</v>
      </c>
      <c r="V1721" s="5">
        <f>_xlfn.XLOOKUP(H1721,'Rest - Home'!A:A,'Rest - Home'!B:B)</f>
        <v>1.05</v>
      </c>
      <c r="W1721" s="5">
        <f>_xlfn.XLOOKUP(H1721,'Rest - Home'!A:A,'Rest - Home'!C:C)</f>
        <v>1.0725047827848808</v>
      </c>
      <c r="X1721" s="5">
        <f t="shared" ref="X1721" si="218">AM1720/K1721</f>
        <v>1.1130539835330291</v>
      </c>
      <c r="Y1721" s="5">
        <f t="shared" ref="Y1721" si="219">AK1720/K1721</f>
        <v>1.0654269675796513</v>
      </c>
      <c r="Z1721" s="5">
        <f>IF(J1721="",1,(_xlfn.XLOOKUP(I1721,Goalies!B:B,Goalies!J:J)))</f>
        <v>0.97499999999999998</v>
      </c>
      <c r="AA1721" s="23">
        <v>0.995</v>
      </c>
      <c r="AB1721" s="23">
        <v>1</v>
      </c>
      <c r="AC1721" s="23">
        <f>_xlfn.XLOOKUP(E1721,'Game Adjustments'!A:A,'Game Adjustments'!B:B)</f>
        <v>1</v>
      </c>
      <c r="AD1721" s="23">
        <f>_xlfn.XLOOKUP(E1721,'Game Adjustments'!A:A,'Game Adjustments'!C:C)</f>
        <v>1</v>
      </c>
      <c r="AE1721" s="23">
        <f>IF(D1721="A",_xlfn.XLOOKUP(E1721,'Rest - Home'!F:F,'Rest - Home'!J:J),_xlfn.XLOOKUP(E1721,'Rest - Home'!F:F,'Rest - Home'!I:I))</f>
        <v>1</v>
      </c>
      <c r="AF1721" s="23">
        <f>IF(D1721="A",_xlfn.XLOOKUP(E1721,'Rest - Home'!F:F,'Rest - Home'!L:L),_xlfn.XLOOKUP(E1721,'Rest - Home'!F:F,'Rest - Home'!K:K))</f>
        <v>1</v>
      </c>
      <c r="AG1721" s="26">
        <v>1</v>
      </c>
      <c r="AH1721" s="26">
        <v>1</v>
      </c>
      <c r="AI1721" s="53" cm="1">
        <f t="array" ref="AI1721">MAX(IF($E$63:E1720=E1721,ROW($E$63:E1720)-MIN(ROW($E$63:E1720))+1))</f>
        <v>1637</v>
      </c>
      <c r="AJ1721" s="53" cm="1">
        <f t="array" ref="AJ1721">MAX(IF($I$105:I1720=I1721,ROW($I$105:I1720)-MIN(ROW($I$105:I1720))+1))</f>
        <v>1559</v>
      </c>
      <c r="AK1721" s="23">
        <f>IF(AI1721=0,_xlfn.XLOOKUP(E1721,'Starting GF'!A:A,'Starting GF'!B:B),INDEX($AL$63:$AL1721,AI1721))</f>
        <v>3.32</v>
      </c>
      <c r="AL1721" s="23">
        <f t="shared" si="59"/>
        <v>3.3040364298752181</v>
      </c>
      <c r="AM1721" s="23">
        <f>IF(AI1721=0,_xlfn.XLOOKUP(E1721,'Starting GF'!A:A,'Starting GF'!C:C),INDEX($AN$63:$AN1721,AI1721))</f>
        <v>3.05</v>
      </c>
      <c r="AN1721" s="23">
        <f t="shared" si="60"/>
        <v>3.0394625001545164</v>
      </c>
      <c r="AO1721" s="23">
        <f>IF(AJ1721=0,_xlfn.XLOOKUP(I1721,Goalies!B:B,Goalies!I:I),INDEX($AP$105:$AP1721,AJ1721))</f>
        <v>3.0643538624788995</v>
      </c>
      <c r="AP1721" s="23">
        <f t="shared" si="61"/>
        <v>3.0404892207577179</v>
      </c>
      <c r="AQ1721" s="23">
        <f t="shared" si="62"/>
        <v>2.9737499999999999</v>
      </c>
      <c r="AR1721" s="66">
        <v>0</v>
      </c>
      <c r="AS1721" s="96" t="s">
        <v>1591</v>
      </c>
      <c r="AT1721" s="20">
        <f t="shared" ref="AT1721" si="220">(AK1721*V1721*X1721*Z1720*AA1721*AB1720*AC1721*AD1720*AG1721*AH1720)+AR1721</f>
        <v>4.0942783478307794</v>
      </c>
      <c r="AU1721" s="20">
        <f t="shared" ref="AU1721" si="221">AT1720</f>
        <v>2.7841554396531389</v>
      </c>
      <c r="AV1721" s="12">
        <f t="shared" ref="AV1721" si="222">AK1721*W1721*X1721*Z1720*AA1721*AB1720</f>
        <v>4.182031533429611</v>
      </c>
      <c r="AW1721" s="12">
        <f t="shared" ref="AW1721" si="223">AV1720</f>
        <v>2.7841554396531389</v>
      </c>
      <c r="AX1721" s="8">
        <f t="shared" si="67"/>
        <v>4.4278347830789322E-2</v>
      </c>
      <c r="AY1721" s="8">
        <f t="shared" si="68"/>
        <v>0.1341554396531488</v>
      </c>
      <c r="AZ1721" s="8">
        <f t="shared" si="69"/>
        <v>0.17843378748393812</v>
      </c>
      <c r="BA1721" s="8">
        <f t="shared" si="70"/>
        <v>-8.9877091822359478E-2</v>
      </c>
      <c r="BB1721" s="62">
        <f t="shared" si="71"/>
        <v>-221</v>
      </c>
      <c r="BC1721" s="21">
        <f t="shared" si="72"/>
        <v>222</v>
      </c>
      <c r="BD1721" s="21">
        <f t="shared" si="73"/>
        <v>186</v>
      </c>
      <c r="BE1721" s="21">
        <f t="shared" si="74"/>
        <v>138</v>
      </c>
      <c r="BF1721" s="94">
        <f t="shared" si="38"/>
        <v>0.68844766882018016</v>
      </c>
      <c r="BG1721" s="22">
        <f t="shared" ref="BG1721" si="224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0.31081844595988339</v>
      </c>
      <c r="BH1721" s="22">
        <f t="shared" ref="BH1721" si="225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0.34925893963920929</v>
      </c>
      <c r="BI1721" s="22">
        <f t="shared" ref="BI1721" si="226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0.4208796232305575</v>
      </c>
      <c r="BJ1721" s="21">
        <f t="shared" si="77"/>
        <v>-231</v>
      </c>
      <c r="BK1721" s="21">
        <f t="shared" si="78"/>
        <v>232</v>
      </c>
      <c r="BL1721" s="21">
        <f t="shared" si="79"/>
        <v>196</v>
      </c>
      <c r="BM1721" s="21">
        <f t="shared" si="80"/>
        <v>144</v>
      </c>
      <c r="BN1721" s="22">
        <f t="shared" si="46"/>
        <v>0.69757618188129067</v>
      </c>
      <c r="BO1721" s="22">
        <f t="shared" ref="BO1721" si="227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0.30099568649889702</v>
      </c>
      <c r="BP1721" s="22">
        <f t="shared" ref="BP1721" si="228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0.33761347062324848</v>
      </c>
      <c r="BQ1721" s="22">
        <f t="shared" ref="BQ1721" si="229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0.4094431221778676</v>
      </c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11"/>
        <v>BUF Ukko-Pekka Luukkonen</v>
      </c>
      <c r="J1722" s="33" t="s">
        <v>225</v>
      </c>
      <c r="K1722" s="14">
        <v>2.96</v>
      </c>
      <c r="L1722" s="13">
        <v>0.15</v>
      </c>
      <c r="M1722" s="28">
        <v>0.1</v>
      </c>
      <c r="N1722">
        <f>IFERROR(_xlfn.XLOOKUP(A1722,Params!A:A,Params!D:D),0)</f>
        <v>0</v>
      </c>
      <c r="O1722">
        <f t="shared" ref="O1722" si="230">N1723</f>
        <v>0</v>
      </c>
      <c r="P1722" s="68">
        <f t="shared" ref="P1722:P1741" si="231">N1722</f>
        <v>0</v>
      </c>
      <c r="Q1722">
        <f t="shared" ref="Q1722" si="232">P1723</f>
        <v>0</v>
      </c>
      <c r="R1722" s="5">
        <f t="shared" ref="R1722" si="233">N1722/W1722/X1722/Z1723/AB1723/AA1722</f>
        <v>0</v>
      </c>
      <c r="S1722" s="5">
        <f t="shared" ref="S1722" si="234">O1722/W1723/Y1722/Z1722/AA1723/AB1722</f>
        <v>0</v>
      </c>
      <c r="T1722" s="5">
        <f t="shared" ref="T1722" si="235">P1722/W1722/X1722/Z1723/AB1723</f>
        <v>0</v>
      </c>
      <c r="U1722" s="5">
        <f t="shared" ref="U1722" si="236">Q1722/W1723/Y1722/Z1722/AA1723</f>
        <v>0</v>
      </c>
      <c r="V1722" s="5">
        <f>_xlfn.XLOOKUP(H1722,'Rest - Home'!A:A,'Rest - Home'!B:B)</f>
        <v>0.96</v>
      </c>
      <c r="W1722" s="5">
        <f>_xlfn.XLOOKUP(H1722,'Rest - Home'!A:A,'Rest - Home'!C:C)</f>
        <v>0.96305398776725637</v>
      </c>
      <c r="X1722" s="5">
        <f t="shared" ref="X1722" si="237">AM1723/K1722</f>
        <v>1.0475217610526446</v>
      </c>
      <c r="Y1722" s="5">
        <f t="shared" ref="Y1722" si="238">AK1723/K1722</f>
        <v>1.0202702702702704</v>
      </c>
      <c r="Z1722" s="5">
        <f>IF(J1722="",1,(_xlfn.XLOOKUP(I1722,Goalies!B:B,Goalies!J:J)))</f>
        <v>1.0149999999999999</v>
      </c>
      <c r="AA1722" s="23">
        <f>_xlfn.XLOOKUP(E1722,Injuries!A:A,Injuries!B:B)</f>
        <v>0.98</v>
      </c>
      <c r="AB1722" s="23">
        <f>_xlfn.XLOOKUP(E1722,Injuries!A:A,Injuries!C:C)</f>
        <v>1</v>
      </c>
      <c r="AC1722" s="23">
        <f>_xlfn.XLOOKUP(E1722,'Game Adjustments'!A:A,'Game Adjustments'!B:B)</f>
        <v>1</v>
      </c>
      <c r="AD1722" s="23">
        <f>_xlfn.XLOOKUP(E1722,'Game Adjustments'!A:A,'Game Adjustments'!C:C)</f>
        <v>1</v>
      </c>
      <c r="AE1722" s="23">
        <f>IF(D1722="A",_xlfn.XLOOKUP(E1722,'Rest - Home'!F:F,'Rest - Home'!J:J),_xlfn.XLOOKUP(E1722,'Rest - Home'!F:F,'Rest - Home'!I:I))</f>
        <v>1</v>
      </c>
      <c r="AF1722" s="23">
        <f>IF(D1722="A",_xlfn.XLOOKUP(E1722,'Rest - Home'!F:F,'Rest - Home'!L:L),_xlfn.XLOOKUP(E1722,'Rest - Home'!F:F,'Rest - Home'!K:K))</f>
        <v>1</v>
      </c>
      <c r="AG1722" s="26">
        <v>1</v>
      </c>
      <c r="AH1722" s="26">
        <v>1</v>
      </c>
      <c r="AI1722" s="53" cm="1">
        <f t="array" ref="AI1722">MAX(IF($E$63:E1721=E1722,ROW($E$63:E1721)-MIN(ROW($E$63:E1721))+1))</f>
        <v>1620</v>
      </c>
      <c r="AJ1722" s="53" cm="1">
        <f t="array" ref="AJ1722">MAX(IF($I$105:I1721=I1722,ROW($I$105:I1721)-MIN(ROW($I$105:I1721))+1))</f>
        <v>1546</v>
      </c>
      <c r="AK1722" s="23">
        <f>IF(AI1722=0,_xlfn.XLOOKUP(E1722,'Starting GF'!A:A,'Starting GF'!B:B),INDEX($AL$63:$AL1722,AI1722))</f>
        <v>3.15</v>
      </c>
      <c r="AL1722" s="23">
        <f t="shared" ref="AL1722:AL1741" si="239">IF(R1722=0,AK1722,R1722*L1722*(1-M1722)+T1722*L1722*M1722+AK1722*(1-L1722))</f>
        <v>3.15</v>
      </c>
      <c r="AM1722" s="23">
        <f>IF(AI1722=0,_xlfn.XLOOKUP(E1722,'Starting GF'!A:A,'Starting GF'!C:C),INDEX($AN$63:$AN1722,AI1722))</f>
        <v>3.03</v>
      </c>
      <c r="AN1722" s="23">
        <f t="shared" ref="AN1722:AN1741" si="240">IF(S1722=0,AM1722,S1722*L1722+AM1722*(1-L1722))</f>
        <v>3.03</v>
      </c>
      <c r="AO1722" s="23">
        <f>IF(AJ1722=0,_xlfn.XLOOKUP(I1722,Goalies!B:B,Goalies!I:I),INDEX($AP$105:$AP1722,AJ1722))</f>
        <v>3.1337609822600596</v>
      </c>
      <c r="AP1722" s="23">
        <f t="shared" ref="AP1722:AP1741" si="241">IF(S1722=0,AO1722,S1722*L1722*Z1722+AO1722*(1-L1722))</f>
        <v>3.1337609822600596</v>
      </c>
      <c r="AQ1722" s="23">
        <f t="shared" ref="AQ1722:AQ1741" si="242">AM1722*Z1722</f>
        <v>3.0754499999999996</v>
      </c>
      <c r="AR1722" s="66">
        <v>0.03</v>
      </c>
      <c r="AS1722" s="96" t="s">
        <v>1591</v>
      </c>
      <c r="AT1722" s="20">
        <f t="shared" ref="AT1722" si="243">(AK1722*V1722*X1722*Z1723*AA1722*AB1723*AC1722*AD1723*AG1722*AH1723)+AR1722</f>
        <v>3.0713333500216438</v>
      </c>
      <c r="AU1722" s="20">
        <f t="shared" ref="AU1722" si="244">AT1723</f>
        <v>3.0877083454054053</v>
      </c>
      <c r="AV1722" s="12">
        <f t="shared" ref="AV1722" si="245">AK1722*V1722*X1722*Z1723*AA1722*AB1723</f>
        <v>3.041333350021644</v>
      </c>
      <c r="AW1722" s="12">
        <f t="shared" ref="AW1722" si="246">AV1723</f>
        <v>3.1115200740076325</v>
      </c>
      <c r="AX1722" s="8">
        <f t="shared" ref="AX1722:AX1741" si="247">(AT1722-N1722)</f>
        <v>3.0713333500216438</v>
      </c>
      <c r="AY1722" s="8">
        <f t="shared" ref="AY1722:AY1741" si="248">(AU1722-O1722)</f>
        <v>3.0877083454054053</v>
      </c>
      <c r="AZ1722" s="8">
        <f t="shared" ref="AZ1722:AZ1741" si="249">SUM(AX1722:AY1722)</f>
        <v>6.1590416954270495</v>
      </c>
      <c r="BA1722" s="8">
        <f t="shared" ref="BA1722:BA1741" si="250">AX1722-AY1722</f>
        <v>-1.6374995383761526E-2</v>
      </c>
      <c r="BB1722" s="62">
        <f t="shared" ref="BB1722:BB1741" si="251">IF(BF1722=0.5,100,IF(BF1722&gt;0.5,-ROUND(100*BF1722/(1-BF1722),0),ROUND(100*(1-BF1722)/BF1722,0)))</f>
        <v>104</v>
      </c>
      <c r="BC1722" s="21">
        <f t="shared" ref="BC1722:BC1741" si="252">IF(BG1722=0.5,100,IF(BG1722&gt;0.5,-ROUND(100*BG1722/(1-BG1722),0),ROUND(100*(1-BG1722)/BG1722,0)))</f>
        <v>-142</v>
      </c>
      <c r="BD1722" s="21">
        <f t="shared" ref="BD1722:BD1741" si="253">IF(BH1722=0.5,100,IF(BH1722&gt;0.5,-ROUND(100*BH1722/(1-BH1722),0),ROUND(100*(1-BH1722)/BH1722,0)))</f>
        <v>-115</v>
      </c>
      <c r="BE1722" s="21">
        <f t="shared" ref="BE1722:BE1741" si="254">IF(BI1722=0.5,100,IF(BI1722&gt;0.5,-ROUND(100*BI1722/(1-BI1722),0),ROUND(100*(1-BI1722)/BI1722,0)))</f>
        <v>111</v>
      </c>
      <c r="BF1722" s="94">
        <f t="shared" ref="BF1722" si="255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IF(AT1722&gt;AT1723, 1-_xlpm.interp, _xlpm.interp)
)</f>
        <v>0.49009008551397426</v>
      </c>
      <c r="BG1722" s="22">
        <f t="shared" si="76"/>
        <v>0.58717513692809908</v>
      </c>
      <c r="BH1722" s="22">
        <f t="shared" si="76"/>
        <v>0.53465688730608751</v>
      </c>
      <c r="BI1722" s="22">
        <f t="shared" si="76"/>
        <v>0.47431208486799914</v>
      </c>
      <c r="BJ1722" s="21">
        <f t="shared" ref="BJ1722:BJ1741" si="256">IF(BN1722=0.5,100,IF(BN1722&gt;0.5,-ROUND(100*BN1722/(1-BN1722),0),ROUND(100*(1-BN1722)/BN1722,0)))</f>
        <v>107</v>
      </c>
      <c r="BK1722" s="21">
        <f t="shared" ref="BK1722:BK1741" si="257">IF(BO1722=0.5,100,IF(BO1722&gt;0.5,-ROUND(100*BO1722/(1-BO1722),0),ROUND(100*(1-BO1722)/BO1722,0)))</f>
        <v>-141</v>
      </c>
      <c r="BL1722" s="21">
        <f t="shared" ref="BL1722:BL1741" si="258">IF(BP1722=0.5,100,IF(BP1722&gt;0.5,-ROUND(100*BP1722/(1-BP1722),0),ROUND(100*(1-BP1722)/BP1722,0)))</f>
        <v>-114</v>
      </c>
      <c r="BM1722" s="21">
        <f t="shared" ref="BM1722:BM1741" si="259">IF(BQ1722=0.5,100,IF(BQ1722&gt;0.5,-ROUND(100*BQ1722/(1-BQ1722),0),ROUND(100*(1-BQ1722)/BQ1722,0)))</f>
        <v>111</v>
      </c>
      <c r="BN1722" s="22">
        <f t="shared" ref="BN1722" si="260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IF(AV1722&gt;AV1723, 1-_xlpm.interp, _xlpm.interp)
)</f>
        <v>0.48288133189213089</v>
      </c>
      <c r="BO1722" s="22">
        <f t="shared" si="82"/>
        <v>0.5857333567163977</v>
      </c>
      <c r="BP1722" s="22">
        <f t="shared" si="82"/>
        <v>0.53330668367499423</v>
      </c>
      <c r="BQ1722" s="22">
        <f t="shared" si="82"/>
        <v>0.47340253890009376</v>
      </c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11"/>
        <v>TOR Joseph Woll</v>
      </c>
      <c r="J1723" s="33" t="s">
        <v>190</v>
      </c>
      <c r="K1723" s="14">
        <v>2.96</v>
      </c>
      <c r="L1723" s="13">
        <v>0.15</v>
      </c>
      <c r="M1723" s="28">
        <v>0.1</v>
      </c>
      <c r="N1723">
        <f>IFERROR(_xlfn.XLOOKUP(A1723,Params!A:A,Params!D:D),0)</f>
        <v>0</v>
      </c>
      <c r="O1723">
        <f t="shared" ref="O1723" si="261">N1722</f>
        <v>0</v>
      </c>
      <c r="P1723" s="68">
        <f t="shared" si="231"/>
        <v>0</v>
      </c>
      <c r="Q1723">
        <f t="shared" ref="Q1723" si="262">P1722</f>
        <v>0</v>
      </c>
      <c r="R1723" s="5">
        <f t="shared" ref="R1723" si="263">N1723/W1723/X1723/Z1722/AB1722/AA1723</f>
        <v>0</v>
      </c>
      <c r="S1723" s="5">
        <f t="shared" ref="S1723" si="264">O1723/W1722/Y1723/Z1723/AA1722/AB1723</f>
        <v>0</v>
      </c>
      <c r="T1723" s="5">
        <f t="shared" ref="T1723" si="265">P1723/W1723/X1723/Z1722/AB1722</f>
        <v>0</v>
      </c>
      <c r="U1723" s="5">
        <f t="shared" ref="U1723" si="266">Q1723/W1722/Y1723/Z1723/AA1722</f>
        <v>0</v>
      </c>
      <c r="V1723" s="5">
        <f>_xlfn.XLOOKUP(H1723,'Rest - Home'!A:A,'Rest - Home'!B:B)</f>
        <v>1.0349999999999999</v>
      </c>
      <c r="W1723" s="5">
        <f>_xlfn.XLOOKUP(H1723,'Rest - Home'!A:A,'Rest - Home'!C:C)</f>
        <v>1.0329456510400874</v>
      </c>
      <c r="X1723" s="5">
        <f t="shared" ref="X1723" si="267">AM1722/K1723</f>
        <v>1.0236486486486487</v>
      </c>
      <c r="Y1723" s="5">
        <f t="shared" ref="Y1723" si="268">AK1722/K1723</f>
        <v>1.0641891891891893</v>
      </c>
      <c r="Z1723" s="5">
        <f>IF(J1723="",1,(_xlfn.XLOOKUP(I1723,Goalies!B:B,Goalies!J:J)))</f>
        <v>0.97</v>
      </c>
      <c r="AA1723" s="23">
        <f>_xlfn.XLOOKUP(E1723,Injuries!A:A,Injuries!B:B)</f>
        <v>0.96</v>
      </c>
      <c r="AB1723" s="23">
        <f>_xlfn.XLOOKUP(E1723,Injuries!A:A,Injuries!C:C)</f>
        <v>1.01</v>
      </c>
      <c r="AC1723" s="23">
        <f>_xlfn.XLOOKUP(E1723,'Game Adjustments'!A:A,'Game Adjustments'!B:B)</f>
        <v>1</v>
      </c>
      <c r="AD1723" s="23">
        <f>_xlfn.XLOOKUP(E1723,'Game Adjustments'!A:A,'Game Adjustments'!C:C)</f>
        <v>1</v>
      </c>
      <c r="AE1723" s="23">
        <f>IF(D1723="A",_xlfn.XLOOKUP(E1723,'Rest - Home'!F:F,'Rest - Home'!J:J),_xlfn.XLOOKUP(E1723,'Rest - Home'!F:F,'Rest - Home'!I:I))</f>
        <v>1</v>
      </c>
      <c r="AF1723" s="23">
        <f>IF(D1723="A",_xlfn.XLOOKUP(E1723,'Rest - Home'!F:F,'Rest - Home'!L:L),_xlfn.XLOOKUP(E1723,'Rest - Home'!F:F,'Rest - Home'!K:K))</f>
        <v>1</v>
      </c>
      <c r="AG1723" s="26">
        <v>1</v>
      </c>
      <c r="AH1723" s="26">
        <v>1</v>
      </c>
      <c r="AI1723" s="53" cm="1">
        <f t="array" ref="AI1723">MAX(IF($E$63:E1722=E1723,ROW($E$63:E1722)-MIN(ROW($E$63:E1722))+1))</f>
        <v>1639</v>
      </c>
      <c r="AJ1723" s="53" cm="1">
        <f t="array" ref="AJ1723">MAX(IF($I$105:I1722=I1723,ROW($I$105:I1722)-MIN(ROW($I$105:I1722))+1))</f>
        <v>1597</v>
      </c>
      <c r="AK1723" s="23">
        <f>IF(AI1723=0,_xlfn.XLOOKUP(E1723,'Starting GF'!A:A,'Starting GF'!B:B),INDEX($AL$63:$AL1723,AI1723))</f>
        <v>3.02</v>
      </c>
      <c r="AL1723" s="23">
        <f t="shared" si="239"/>
        <v>3.02</v>
      </c>
      <c r="AM1723" s="23">
        <f>IF(AI1723=0,_xlfn.XLOOKUP(E1723,'Starting GF'!A:A,'Starting GF'!C:C),INDEX($AN$63:$AN1723,AI1723))</f>
        <v>3.1006644127158283</v>
      </c>
      <c r="AN1723" s="23">
        <f t="shared" si="240"/>
        <v>3.1006644127158283</v>
      </c>
      <c r="AO1723" s="23">
        <f>IF(AJ1723=0,_xlfn.XLOOKUP(I1723,Goalies!B:B,Goalies!I:I),INDEX($AP$105:$AP1723,AJ1723))</f>
        <v>3.0568949482335697</v>
      </c>
      <c r="AP1723" s="23">
        <f t="shared" si="241"/>
        <v>3.0568949482335697</v>
      </c>
      <c r="AQ1723" s="23">
        <f t="shared" si="242"/>
        <v>3.0076444803343532</v>
      </c>
      <c r="AR1723" s="66">
        <v>-0.03</v>
      </c>
      <c r="AS1723" s="96" t="s">
        <v>1591</v>
      </c>
      <c r="AT1723" s="20">
        <f t="shared" ref="AT1723" si="269">(AK1723*V1723*X1723*Z1722*AA1723*AB1722*AC1723*AD1722*AG1723*AH1722)+AR1723</f>
        <v>3.0877083454054053</v>
      </c>
      <c r="AU1723" s="20">
        <f t="shared" ref="AU1723" si="270">AT1722</f>
        <v>3.0713333500216438</v>
      </c>
      <c r="AV1723" s="12">
        <f t="shared" ref="AV1723" si="271">AK1723*W1723*X1723*Z1722*AA1723*AB1722</f>
        <v>3.1115200740076325</v>
      </c>
      <c r="AW1723" s="12">
        <f t="shared" ref="AW1723" si="272">AV1722</f>
        <v>3.041333350021644</v>
      </c>
      <c r="AX1723" s="8">
        <f t="shared" si="247"/>
        <v>3.0877083454054053</v>
      </c>
      <c r="AY1723" s="8">
        <f t="shared" si="248"/>
        <v>3.0713333500216438</v>
      </c>
      <c r="AZ1723" s="8">
        <f t="shared" si="249"/>
        <v>6.1590416954270495</v>
      </c>
      <c r="BA1723" s="8">
        <f t="shared" si="250"/>
        <v>1.6374995383761526E-2</v>
      </c>
      <c r="BB1723" s="62">
        <f t="shared" si="251"/>
        <v>-104</v>
      </c>
      <c r="BC1723" s="21">
        <f t="shared" si="252"/>
        <v>142</v>
      </c>
      <c r="BD1723" s="21">
        <f t="shared" si="253"/>
        <v>115</v>
      </c>
      <c r="BE1723" s="21">
        <f t="shared" si="254"/>
        <v>-111</v>
      </c>
      <c r="BF1723" s="94">
        <f t="shared" si="38"/>
        <v>0.50990991448602574</v>
      </c>
      <c r="BG1723" s="22">
        <f t="shared" ref="BG1723" si="27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0.41282486307190092</v>
      </c>
      <c r="BH1723" s="22">
        <f t="shared" ref="BH1723" si="274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0.46534311269391249</v>
      </c>
      <c r="BI1723" s="22">
        <f t="shared" ref="BI1723" si="275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0.52568791513200086</v>
      </c>
      <c r="BJ1723" s="21">
        <f t="shared" si="256"/>
        <v>-107</v>
      </c>
      <c r="BK1723" s="21">
        <f t="shared" si="257"/>
        <v>141</v>
      </c>
      <c r="BL1723" s="21">
        <f t="shared" si="258"/>
        <v>114</v>
      </c>
      <c r="BM1723" s="21">
        <f t="shared" si="259"/>
        <v>-111</v>
      </c>
      <c r="BN1723" s="22">
        <f t="shared" si="46"/>
        <v>0.51711866810786911</v>
      </c>
      <c r="BO1723" s="22">
        <f t="shared" ref="BO1723" si="276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0.4142666432836023</v>
      </c>
      <c r="BP1723" s="22">
        <f t="shared" ref="BP1723" si="277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0.46669331632500582</v>
      </c>
      <c r="BQ1723" s="22">
        <f t="shared" ref="BQ1723" si="278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0.52659746109990624</v>
      </c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8</v>
      </c>
      <c r="I1724" t="str">
        <f t="shared" si="211"/>
        <v>LAK Darcy Kuemper</v>
      </c>
      <c r="J1724" s="33" t="s">
        <v>167</v>
      </c>
      <c r="K1724" s="14">
        <v>2.96</v>
      </c>
      <c r="L1724" s="13">
        <v>0.15</v>
      </c>
      <c r="M1724" s="28">
        <v>0.1</v>
      </c>
      <c r="N1724">
        <f>IFERROR(_xlfn.XLOOKUP(A1724,Params!A:A,Params!D:D),0)</f>
        <v>0</v>
      </c>
      <c r="O1724">
        <f t="shared" ref="O1724" si="279">N1725</f>
        <v>0</v>
      </c>
      <c r="P1724" s="68">
        <f t="shared" si="231"/>
        <v>0</v>
      </c>
      <c r="Q1724">
        <f t="shared" ref="Q1724" si="280">P1725</f>
        <v>0</v>
      </c>
      <c r="R1724" s="5">
        <f t="shared" ref="R1724" si="281">N1724/W1724/X1724/Z1725/AB1725/AA1724</f>
        <v>0</v>
      </c>
      <c r="S1724" s="5">
        <f t="shared" ref="S1724" si="282">O1724/W1725/Y1724/Z1724/AA1725/AB1724</f>
        <v>0</v>
      </c>
      <c r="T1724" s="5">
        <f t="shared" ref="T1724" si="283">P1724/W1724/X1724/Z1725/AB1725</f>
        <v>0</v>
      </c>
      <c r="U1724" s="5">
        <f t="shared" ref="U1724" si="284">Q1724/W1725/Y1724/Z1724/AA1725</f>
        <v>0</v>
      </c>
      <c r="V1724" s="5">
        <f>_xlfn.XLOOKUP(H1724,'Rest - Home'!A:A,'Rest - Home'!B:B)</f>
        <v>0.96</v>
      </c>
      <c r="W1724" s="5">
        <f>_xlfn.XLOOKUP(H1724,'Rest - Home'!A:A,'Rest - Home'!C:C)</f>
        <v>0.95702751457800772</v>
      </c>
      <c r="X1724" s="5">
        <f t="shared" ref="X1724" si="285">AM1725/K1724</f>
        <v>1.027027027027027</v>
      </c>
      <c r="Y1724" s="5">
        <f t="shared" ref="Y1724" si="286">AK1725/K1724</f>
        <v>1.0101351351351353</v>
      </c>
      <c r="Z1724" s="5">
        <f>IF(J1724="",1,(_xlfn.XLOOKUP(I1724,Goalies!B:B,Goalies!J:J)))</f>
        <v>0.97499999999999998</v>
      </c>
      <c r="AA1724" s="23">
        <f>_xlfn.XLOOKUP(E1724,Injuries!A:A,Injuries!B:B)</f>
        <v>0.96</v>
      </c>
      <c r="AB1724" s="23">
        <f>_xlfn.XLOOKUP(E1724,Injuries!A:A,Injuries!C:C)</f>
        <v>1.01</v>
      </c>
      <c r="AC1724" s="23">
        <f>_xlfn.XLOOKUP(E1724,'Game Adjustments'!A:A,'Game Adjustments'!B:B)</f>
        <v>1</v>
      </c>
      <c r="AD1724" s="23">
        <f>_xlfn.XLOOKUP(E1724,'Game Adjustments'!A:A,'Game Adjustments'!C:C)</f>
        <v>1</v>
      </c>
      <c r="AE1724" s="23">
        <f>IF(D1724="A",_xlfn.XLOOKUP(E1724,'Rest - Home'!F:F,'Rest - Home'!J:J),_xlfn.XLOOKUP(E1724,'Rest - Home'!F:F,'Rest - Home'!I:I))</f>
        <v>1</v>
      </c>
      <c r="AF1724" s="23">
        <f>IF(D1724="A",_xlfn.XLOOKUP(E1724,'Rest - Home'!F:F,'Rest - Home'!L:L),_xlfn.XLOOKUP(E1724,'Rest - Home'!F:F,'Rest - Home'!K:K))</f>
        <v>1</v>
      </c>
      <c r="AG1724" s="26">
        <v>1</v>
      </c>
      <c r="AH1724" s="26">
        <v>1</v>
      </c>
      <c r="AI1724" s="53" cm="1">
        <f t="array" ref="AI1724">MAX(IF($E$63:E1723=E1724,ROW($E$63:E1723)-MIN(ROW($E$63:E1723))+1))</f>
        <v>1652</v>
      </c>
      <c r="AJ1724" s="53" cm="1">
        <f t="array" ref="AJ1724">MAX(IF($I$105:I1723=I1724,ROW($I$105:I1723)-MIN(ROW($I$105:I1723))+1))</f>
        <v>1610</v>
      </c>
      <c r="AK1724" s="23">
        <f>IF(AI1724=0,_xlfn.XLOOKUP(E1724,'Starting GF'!A:A,'Starting GF'!B:B),INDEX($AL$63:$AL1724,AI1724))</f>
        <v>2.8447414852776705</v>
      </c>
      <c r="AL1724" s="23">
        <f t="shared" si="239"/>
        <v>2.8447414852776705</v>
      </c>
      <c r="AM1724" s="23">
        <f>IF(AI1724=0,_xlfn.XLOOKUP(E1724,'Starting GF'!A:A,'Starting GF'!C:C),INDEX($AN$63:$AN1724,AI1724))</f>
        <v>2.8</v>
      </c>
      <c r="AN1724" s="23">
        <f t="shared" si="240"/>
        <v>2.8</v>
      </c>
      <c r="AO1724" s="23">
        <f>IF(AJ1724=0,_xlfn.XLOOKUP(I1724,Goalies!B:B,Goalies!I:I),INDEX($AP$105:$AP1724,AJ1724))</f>
        <v>2.7735085344756891</v>
      </c>
      <c r="AP1724" s="23">
        <f t="shared" si="241"/>
        <v>2.7735085344756891</v>
      </c>
      <c r="AQ1724" s="23">
        <f t="shared" si="242"/>
        <v>2.73</v>
      </c>
      <c r="AR1724" s="66">
        <v>0</v>
      </c>
      <c r="AS1724" s="96" t="s">
        <v>1591</v>
      </c>
      <c r="AT1724" s="20">
        <f t="shared" ref="AT1724" si="287">(AK1724*V1724*X1724*Z1725*AA1724*AB1725*AC1724*AD1725*AG1724*AH1725)+AR1724</f>
        <v>2.6521823180675148</v>
      </c>
      <c r="AU1724" s="20">
        <f t="shared" ref="AU1724" si="288">AT1725</f>
        <v>2.8618398623310815</v>
      </c>
      <c r="AV1724" s="12">
        <f t="shared" ref="AV1724" si="289">AK1724*V1724*X1724*Z1725*AA1724*AB1725</f>
        <v>2.6521823180675148</v>
      </c>
      <c r="AW1724" s="12">
        <f t="shared" ref="AW1724" si="290">AV1725</f>
        <v>2.8768536332280292</v>
      </c>
      <c r="AX1724" s="8">
        <f t="shared" si="247"/>
        <v>2.6521823180675148</v>
      </c>
      <c r="AY1724" s="8">
        <f t="shared" si="248"/>
        <v>2.8618398623310815</v>
      </c>
      <c r="AZ1724" s="8">
        <f t="shared" si="249"/>
        <v>5.5140221803985963</v>
      </c>
      <c r="BA1724" s="8">
        <f t="shared" si="250"/>
        <v>-0.20965754426356664</v>
      </c>
      <c r="BB1724" s="62">
        <f t="shared" si="251"/>
        <v>117</v>
      </c>
      <c r="BC1724" s="21">
        <f t="shared" si="252"/>
        <v>108</v>
      </c>
      <c r="BD1724" s="21">
        <f t="shared" si="253"/>
        <v>141</v>
      </c>
      <c r="BE1724" s="21">
        <f t="shared" si="254"/>
        <v>171</v>
      </c>
      <c r="BF1724" s="94">
        <f t="shared" ref="BF1724" si="291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IF(AT1724&gt;AT1725, 1-_xlpm.interp, _xlpm.interp)
)</f>
        <v>0.46167108554454028</v>
      </c>
      <c r="BG1724" s="22">
        <f t="shared" si="76"/>
        <v>0.48100105718942399</v>
      </c>
      <c r="BH1724" s="22">
        <f t="shared" si="76"/>
        <v>0.41561403708318967</v>
      </c>
      <c r="BI1724" s="22">
        <f t="shared" si="76"/>
        <v>0.36910760998826142</v>
      </c>
      <c r="BJ1724" s="21">
        <f t="shared" si="256"/>
        <v>118</v>
      </c>
      <c r="BK1724" s="21">
        <f t="shared" si="257"/>
        <v>107</v>
      </c>
      <c r="BL1724" s="21">
        <f t="shared" si="258"/>
        <v>139</v>
      </c>
      <c r="BM1724" s="21">
        <f t="shared" si="259"/>
        <v>169</v>
      </c>
      <c r="BN1724" s="22">
        <f t="shared" ref="BN1724" si="292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IF(AV1724&gt;AV1725, 1-_xlpm.interp, _xlpm.interp)
)</f>
        <v>0.45929891645061333</v>
      </c>
      <c r="BO1724" s="22">
        <f t="shared" si="82"/>
        <v>0.48418319361770867</v>
      </c>
      <c r="BP1724" s="22">
        <f t="shared" si="82"/>
        <v>0.41906141050582568</v>
      </c>
      <c r="BQ1724" s="22">
        <f t="shared" si="82"/>
        <v>0.37208172023018238</v>
      </c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11</v>
      </c>
      <c r="I1725" t="str">
        <f t="shared" si="211"/>
        <v>DET John Gibson</v>
      </c>
      <c r="J1725" s="33" t="s">
        <v>161</v>
      </c>
      <c r="K1725" s="14">
        <v>2.96</v>
      </c>
      <c r="L1725" s="13">
        <v>0.15</v>
      </c>
      <c r="M1725" s="28">
        <v>0.1</v>
      </c>
      <c r="N1725">
        <f>IFERROR(_xlfn.XLOOKUP(A1725,Params!A:A,Params!D:D),0)</f>
        <v>0</v>
      </c>
      <c r="O1725">
        <f t="shared" ref="O1725" si="293">N1724</f>
        <v>0</v>
      </c>
      <c r="P1725" s="68">
        <f t="shared" si="231"/>
        <v>0</v>
      </c>
      <c r="Q1725">
        <f t="shared" ref="Q1725" si="294">P1724</f>
        <v>0</v>
      </c>
      <c r="R1725" s="5">
        <f t="shared" ref="R1725" si="295">N1725/W1725/X1725/Z1724/AB1724/AA1725</f>
        <v>0</v>
      </c>
      <c r="S1725" s="5">
        <f t="shared" ref="S1725" si="296">O1725/W1724/Y1725/Z1725/AA1724/AB1725</f>
        <v>0</v>
      </c>
      <c r="T1725" s="5">
        <f t="shared" ref="T1725" si="297">P1725/W1725/X1725/Z1724/AB1724</f>
        <v>0</v>
      </c>
      <c r="U1725" s="5">
        <f t="shared" ref="U1725" si="298">Q1725/W1724/Y1725/Z1725/AA1724</f>
        <v>0</v>
      </c>
      <c r="V1725" s="5">
        <f>_xlfn.XLOOKUP(H1725,'Rest - Home'!A:A,'Rest - Home'!B:B)</f>
        <v>1.0275000000000001</v>
      </c>
      <c r="W1725" s="5">
        <f>_xlfn.XLOOKUP(H1725,'Rest - Home'!A:A,'Rest - Home'!C:C)</f>
        <v>1.0328904656929507</v>
      </c>
      <c r="X1725" s="5">
        <f t="shared" ref="X1725" si="299">AM1724/K1725</f>
        <v>0.94594594594594594</v>
      </c>
      <c r="Y1725" s="5">
        <f t="shared" ref="Y1725" si="300">AK1724/K1725</f>
        <v>0.96106131259380756</v>
      </c>
      <c r="Z1725" s="5">
        <f>IF(J1725="",1,(_xlfn.XLOOKUP(I1725,Goalies!B:B,Goalies!J:J)))</f>
        <v>0.98499999999999999</v>
      </c>
      <c r="AA1725" s="23">
        <f>_xlfn.XLOOKUP(E1725,Injuries!A:A,Injuries!B:B)</f>
        <v>1</v>
      </c>
      <c r="AB1725" s="23">
        <f>_xlfn.XLOOKUP(E1725,Injuries!A:A,Injuries!C:C)</f>
        <v>1</v>
      </c>
      <c r="AC1725" s="23">
        <f>_xlfn.XLOOKUP(E1725,'Game Adjustments'!A:A,'Game Adjustments'!B:B)</f>
        <v>1</v>
      </c>
      <c r="AD1725" s="23">
        <f>_xlfn.XLOOKUP(E1725,'Game Adjustments'!A:A,'Game Adjustments'!C:C)</f>
        <v>1</v>
      </c>
      <c r="AE1725" s="23">
        <f>IF(D1725="A",_xlfn.XLOOKUP(E1725,'Rest - Home'!F:F,'Rest - Home'!J:J),_xlfn.XLOOKUP(E1725,'Rest - Home'!F:F,'Rest - Home'!I:I))</f>
        <v>1</v>
      </c>
      <c r="AF1725" s="23">
        <f>IF(D1725="A",_xlfn.XLOOKUP(E1725,'Rest - Home'!F:F,'Rest - Home'!L:L),_xlfn.XLOOKUP(E1725,'Rest - Home'!F:F,'Rest - Home'!K:K))</f>
        <v>1</v>
      </c>
      <c r="AG1725" s="26">
        <v>1</v>
      </c>
      <c r="AH1725" s="26">
        <v>1</v>
      </c>
      <c r="AI1725" s="53" cm="1">
        <f t="array" ref="AI1725">MAX(IF($E$63:E1724=E1725,ROW($E$63:E1724)-MIN(ROW($E$63:E1724))+1))</f>
        <v>1626</v>
      </c>
      <c r="AJ1725" s="53" cm="1">
        <f t="array" ref="AJ1725">MAX(IF($I$105:I1724=I1725,ROW($I$105:I1724)-MIN(ROW($I$105:I1724))+1))</f>
        <v>1584</v>
      </c>
      <c r="AK1725" s="23">
        <f>IF(AI1725=0,_xlfn.XLOOKUP(E1725,'Starting GF'!A:A,'Starting GF'!B:B),INDEX($AL$63:$AL1725,AI1725))</f>
        <v>2.99</v>
      </c>
      <c r="AL1725" s="23">
        <f t="shared" si="239"/>
        <v>2.99</v>
      </c>
      <c r="AM1725" s="23">
        <f>IF(AI1725=0,_xlfn.XLOOKUP(E1725,'Starting GF'!A:A,'Starting GF'!C:C),INDEX($AN$63:$AN1725,AI1725))</f>
        <v>3.04</v>
      </c>
      <c r="AN1725" s="23">
        <f t="shared" si="240"/>
        <v>3.04</v>
      </c>
      <c r="AO1725" s="23">
        <f>IF(AJ1725=0,_xlfn.XLOOKUP(I1725,Goalies!B:B,Goalies!I:I),INDEX($AP$105:$AP1725,AJ1725))</f>
        <v>3.0898561826231234</v>
      </c>
      <c r="AP1725" s="23">
        <f t="shared" si="241"/>
        <v>3.0898561826231234</v>
      </c>
      <c r="AQ1725" s="23">
        <f t="shared" si="242"/>
        <v>2.9944000000000002</v>
      </c>
      <c r="AR1725" s="66">
        <v>0</v>
      </c>
      <c r="AS1725" s="96" t="s">
        <v>1591</v>
      </c>
      <c r="AT1725" s="20">
        <f t="shared" ref="AT1725" si="301">(AK1725*V1725*X1725*Z1724*AA1725*AB1724*AC1725*AD1724*AG1725*AH1724)+AR1725</f>
        <v>2.8618398623310815</v>
      </c>
      <c r="AU1725" s="20">
        <f t="shared" ref="AU1725" si="302">AT1724</f>
        <v>2.6521823180675148</v>
      </c>
      <c r="AV1725" s="12">
        <f t="shared" ref="AV1725" si="303">AK1725*W1725*X1725*Z1724*AA1725*AB1724</f>
        <v>2.8768536332280292</v>
      </c>
      <c r="AW1725" s="12">
        <f t="shared" ref="AW1725" si="304">AV1724</f>
        <v>2.6521823180675148</v>
      </c>
      <c r="AX1725" s="8">
        <f t="shared" si="247"/>
        <v>2.8618398623310815</v>
      </c>
      <c r="AY1725" s="8">
        <f t="shared" si="248"/>
        <v>2.6521823180675148</v>
      </c>
      <c r="AZ1725" s="8">
        <f t="shared" si="249"/>
        <v>5.5140221803985963</v>
      </c>
      <c r="BA1725" s="8">
        <f t="shared" si="250"/>
        <v>0.20965754426356664</v>
      </c>
      <c r="BB1725" s="62">
        <f t="shared" si="251"/>
        <v>-117</v>
      </c>
      <c r="BC1725" s="21">
        <f t="shared" si="252"/>
        <v>-108</v>
      </c>
      <c r="BD1725" s="21">
        <f t="shared" si="253"/>
        <v>-141</v>
      </c>
      <c r="BE1725" s="21">
        <f t="shared" si="254"/>
        <v>-171</v>
      </c>
      <c r="BF1725" s="94">
        <f t="shared" si="38"/>
        <v>0.53832891445545972</v>
      </c>
      <c r="BG1725" s="22">
        <f t="shared" ref="BG1725" si="305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0.51899894281057601</v>
      </c>
      <c r="BH1725" s="22">
        <f t="shared" ref="BH1725" si="306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0.58438596291681033</v>
      </c>
      <c r="BI1725" s="22">
        <f t="shared" ref="BI1725" si="307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0.63089239001173858</v>
      </c>
      <c r="BJ1725" s="21">
        <f t="shared" si="256"/>
        <v>-118</v>
      </c>
      <c r="BK1725" s="21">
        <f t="shared" si="257"/>
        <v>-107</v>
      </c>
      <c r="BL1725" s="21">
        <f t="shared" si="258"/>
        <v>-139</v>
      </c>
      <c r="BM1725" s="21">
        <f t="shared" si="259"/>
        <v>-169</v>
      </c>
      <c r="BN1725" s="22">
        <f t="shared" si="46"/>
        <v>0.54070108354938662</v>
      </c>
      <c r="BO1725" s="22">
        <f t="shared" ref="BO1725" si="308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0.51581680638229133</v>
      </c>
      <c r="BP1725" s="22">
        <f t="shared" ref="BP1725" si="309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0.58093858949417432</v>
      </c>
      <c r="BQ1725" s="22">
        <f t="shared" ref="BQ1725" si="310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0.62791827976981762</v>
      </c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11"/>
        <v>NSH Juuse Saros</v>
      </c>
      <c r="J1726" s="33" t="s">
        <v>172</v>
      </c>
      <c r="K1726" s="14">
        <v>2.96</v>
      </c>
      <c r="L1726" s="13">
        <v>0.15</v>
      </c>
      <c r="M1726" s="28">
        <v>0.1</v>
      </c>
      <c r="N1726">
        <f>IFERROR(_xlfn.XLOOKUP(A1726,Params!A:A,Params!D:D),0)</f>
        <v>0</v>
      </c>
      <c r="O1726">
        <f t="shared" ref="O1726" si="311">N1727</f>
        <v>0</v>
      </c>
      <c r="P1726" s="68">
        <f t="shared" si="231"/>
        <v>0</v>
      </c>
      <c r="Q1726">
        <f t="shared" ref="Q1726" si="312">P1727</f>
        <v>0</v>
      </c>
      <c r="R1726" s="5">
        <f t="shared" ref="R1726" si="313">N1726/W1726/X1726/Z1727/AB1727/AA1726</f>
        <v>0</v>
      </c>
      <c r="S1726" s="5">
        <f t="shared" ref="S1726" si="314">O1726/W1727/Y1726/Z1726/AA1727/AB1726</f>
        <v>0</v>
      </c>
      <c r="T1726" s="5">
        <f t="shared" ref="T1726" si="315">P1726/W1726/X1726/Z1727/AB1727</f>
        <v>0</v>
      </c>
      <c r="U1726" s="5">
        <f t="shared" ref="U1726" si="316">Q1726/W1727/Y1726/Z1726/AA1727</f>
        <v>0</v>
      </c>
      <c r="V1726" s="5">
        <f>_xlfn.XLOOKUP(H1726,'Rest - Home'!A:A,'Rest - Home'!B:B)</f>
        <v>1.0649999999999999</v>
      </c>
      <c r="W1726" s="5">
        <f>_xlfn.XLOOKUP(H1726,'Rest - Home'!A:A,'Rest - Home'!C:C)</f>
        <v>1.0082621487897616</v>
      </c>
      <c r="X1726" s="5">
        <f t="shared" ref="X1726" si="317">AM1727/K1726</f>
        <v>1.0395875066738474</v>
      </c>
      <c r="Y1726" s="5">
        <f t="shared" ref="Y1726" si="318">AK1727/K1726</f>
        <v>0.99421991556002254</v>
      </c>
      <c r="Z1726" s="5">
        <f>IF(J1726="",1,(_xlfn.XLOOKUP(I1726,Goalies!B:B,Goalies!J:J)))</f>
        <v>0.99094124800379646</v>
      </c>
      <c r="AA1726" s="23">
        <f>_xlfn.XLOOKUP(E1726,Injuries!A:A,Injuries!B:B)</f>
        <v>1</v>
      </c>
      <c r="AB1726" s="23">
        <f>_xlfn.XLOOKUP(E1726,Injuries!A:A,Injuries!C:C)</f>
        <v>1</v>
      </c>
      <c r="AC1726" s="23">
        <f>_xlfn.XLOOKUP(E1726,'Game Adjustments'!A:A,'Game Adjustments'!B:B)</f>
        <v>1</v>
      </c>
      <c r="AD1726" s="23">
        <f>_xlfn.XLOOKUP(E1726,'Game Adjustments'!A:A,'Game Adjustments'!C:C)</f>
        <v>1</v>
      </c>
      <c r="AE1726" s="23">
        <f>IF(D1726="A",_xlfn.XLOOKUP(E1726,'Rest - Home'!F:F,'Rest - Home'!J:J),_xlfn.XLOOKUP(E1726,'Rest - Home'!F:F,'Rest - Home'!I:I))</f>
        <v>1</v>
      </c>
      <c r="AF1726" s="23">
        <f>IF(D1726="A",_xlfn.XLOOKUP(E1726,'Rest - Home'!F:F,'Rest - Home'!L:L),_xlfn.XLOOKUP(E1726,'Rest - Home'!F:F,'Rest - Home'!K:K))</f>
        <v>1</v>
      </c>
      <c r="AG1726" s="26">
        <v>1</v>
      </c>
      <c r="AH1726" s="26">
        <v>1</v>
      </c>
      <c r="AI1726" s="53" cm="1">
        <f t="array" ref="AI1726">MAX(IF($E$63:E1725=E1726,ROW($E$63:E1725)-MIN(ROW($E$63:E1725))+1))</f>
        <v>1623</v>
      </c>
      <c r="AJ1726" s="53" cm="1">
        <f t="array" ref="AJ1726">MAX(IF($I$105:I1725=I1726,ROW($I$105:I1725)-MIN(ROW($I$105:I1725))+1))</f>
        <v>1581</v>
      </c>
      <c r="AK1726" s="23">
        <f>IF(AI1726=0,_xlfn.XLOOKUP(E1726,'Starting GF'!A:A,'Starting GF'!B:B),INDEX($AL$63:$AL1726,AI1726))</f>
        <v>2.8571326646295359</v>
      </c>
      <c r="AL1726" s="23">
        <f t="shared" si="239"/>
        <v>2.8571326646295359</v>
      </c>
      <c r="AM1726" s="23">
        <f>IF(AI1726=0,_xlfn.XLOOKUP(E1726,'Starting GF'!A:A,'Starting GF'!C:C),INDEX($AN$63:$AN1726,AI1726))</f>
        <v>3.1617371679165291</v>
      </c>
      <c r="AN1726" s="23">
        <f t="shared" si="240"/>
        <v>3.1617371679165291</v>
      </c>
      <c r="AO1726" s="23">
        <f>IF(AJ1726=0,_xlfn.XLOOKUP(I1726,Goalies!B:B,Goalies!I:I),INDEX($AP$105:$AP1726,AJ1726))</f>
        <v>3.1553052161044004</v>
      </c>
      <c r="AP1726" s="23">
        <f t="shared" si="241"/>
        <v>3.1553052161044004</v>
      </c>
      <c r="AQ1726" s="23">
        <f t="shared" si="242"/>
        <v>3.1330957750351942</v>
      </c>
      <c r="AR1726" s="66">
        <v>-0.05</v>
      </c>
      <c r="AS1726" s="96" t="s">
        <v>1591</v>
      </c>
      <c r="AT1726" s="20">
        <f t="shared" ref="AT1726" si="319">(AK1726*V1726*X1726*Z1727*AA1726*AB1727*AC1726*AD1727*AG1726*AH1727)+AR1726</f>
        <v>3.0650645845276849</v>
      </c>
      <c r="AU1726" s="20">
        <f t="shared" ref="AU1726" si="320">AT1727</f>
        <v>3.1961360790659237</v>
      </c>
      <c r="AV1726" s="12">
        <f t="shared" ref="AV1726" si="321">AK1726*V1726*X1726*Z1727*AA1726*AB1727</f>
        <v>3.1150645845276848</v>
      </c>
      <c r="AW1726" s="12">
        <f t="shared" ref="AW1726" si="322">AV1727</f>
        <v>3.1319378514362977</v>
      </c>
      <c r="AX1726" s="8">
        <f t="shared" si="247"/>
        <v>3.0650645845276849</v>
      </c>
      <c r="AY1726" s="8">
        <f t="shared" si="248"/>
        <v>3.1961360790659237</v>
      </c>
      <c r="AZ1726" s="8">
        <f t="shared" si="249"/>
        <v>6.2612006635936091</v>
      </c>
      <c r="BA1726" s="8">
        <f t="shared" si="250"/>
        <v>-0.13107149453823874</v>
      </c>
      <c r="BB1726" s="62">
        <f t="shared" si="251"/>
        <v>110</v>
      </c>
      <c r="BC1726" s="21">
        <f t="shared" si="252"/>
        <v>-151</v>
      </c>
      <c r="BD1726" s="21">
        <f t="shared" si="253"/>
        <v>-123</v>
      </c>
      <c r="BE1726" s="21">
        <f t="shared" si="254"/>
        <v>104</v>
      </c>
      <c r="BF1726" s="94">
        <f t="shared" ref="BF1726" si="323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IF(AT1726&gt;AT1727, 1-_xlpm.interp, _xlpm.interp)
)</f>
        <v>0.47691953800512416</v>
      </c>
      <c r="BG1726" s="22">
        <f t="shared" si="76"/>
        <v>0.60160976836479985</v>
      </c>
      <c r="BH1726" s="22">
        <f t="shared" si="76"/>
        <v>0.55125798490042777</v>
      </c>
      <c r="BI1726" s="22">
        <f t="shared" si="76"/>
        <v>0.48940987091185695</v>
      </c>
      <c r="BJ1726" s="21">
        <f t="shared" si="256"/>
        <v>103</v>
      </c>
      <c r="BK1726" s="21">
        <f t="shared" si="257"/>
        <v>-151</v>
      </c>
      <c r="BL1726" s="21">
        <f t="shared" si="258"/>
        <v>-123</v>
      </c>
      <c r="BM1726" s="21">
        <f t="shared" si="259"/>
        <v>104</v>
      </c>
      <c r="BN1726" s="22">
        <f t="shared" ref="BN1726" si="324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IF(AV1726&gt;AV1727, 1-_xlpm.interp, _xlpm.interp)
)</f>
        <v>0.49177921819054116</v>
      </c>
      <c r="BO1726" s="22">
        <f t="shared" si="82"/>
        <v>0.60120509230311037</v>
      </c>
      <c r="BP1726" s="22">
        <f t="shared" si="82"/>
        <v>0.55083031721871367</v>
      </c>
      <c r="BQ1726" s="22">
        <f t="shared" si="82"/>
        <v>0.4890627857479839</v>
      </c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11"/>
        <v>BOS Jeremy Swayman</v>
      </c>
      <c r="J1727" s="33" t="s">
        <v>148</v>
      </c>
      <c r="K1727" s="14">
        <v>2.96</v>
      </c>
      <c r="L1727" s="13">
        <v>0.15</v>
      </c>
      <c r="M1727" s="28">
        <v>0.1</v>
      </c>
      <c r="N1727">
        <f>IFERROR(_xlfn.XLOOKUP(A1727,Params!A:A,Params!D:D),0)</f>
        <v>0</v>
      </c>
      <c r="O1727">
        <f t="shared" ref="O1727" si="325">N1726</f>
        <v>0</v>
      </c>
      <c r="P1727" s="68">
        <f t="shared" si="231"/>
        <v>0</v>
      </c>
      <c r="Q1727">
        <f t="shared" ref="Q1727" si="326">P1726</f>
        <v>0</v>
      </c>
      <c r="R1727" s="5">
        <f t="shared" ref="R1727" si="327">N1727/W1727/X1727/Z1726/AB1726/AA1727</f>
        <v>0</v>
      </c>
      <c r="S1727" s="5">
        <f t="shared" ref="S1727" si="328">O1727/W1726/Y1727/Z1727/AA1726/AB1727</f>
        <v>0</v>
      </c>
      <c r="T1727" s="5">
        <f t="shared" ref="T1727" si="329">P1727/W1727/X1727/Z1726/AB1726</f>
        <v>0</v>
      </c>
      <c r="U1727" s="5">
        <f t="shared" ref="U1727" si="330">Q1727/W1726/Y1727/Z1727/AA1726</f>
        <v>0</v>
      </c>
      <c r="V1727" s="5">
        <f>_xlfn.XLOOKUP(H1727,'Rest - Home'!A:A,'Rest - Home'!B:B)</f>
        <v>1.01</v>
      </c>
      <c r="W1727" s="5">
        <f>_xlfn.XLOOKUP(H1727,'Rest - Home'!A:A,'Rest - Home'!C:C)</f>
        <v>1.0054419613311261</v>
      </c>
      <c r="X1727" s="5">
        <f t="shared" ref="X1727" si="331">AM1726/K1727</f>
        <v>1.0681544486204491</v>
      </c>
      <c r="Y1727" s="5">
        <f t="shared" ref="Y1727" si="332">AK1726/K1727</f>
        <v>0.96524752183430262</v>
      </c>
      <c r="Z1727" s="5">
        <f>IF(J1727="",1,(_xlfn.XLOOKUP(I1727,Goalies!B:B,Goalies!J:J)))</f>
        <v>0.97499999999999998</v>
      </c>
      <c r="AA1727" s="23">
        <f>_xlfn.XLOOKUP(E1727,Injuries!A:A,Injuries!B:B)</f>
        <v>1</v>
      </c>
      <c r="AB1727" s="23">
        <f>_xlfn.XLOOKUP(E1727,Injuries!A:A,Injuries!C:C)</f>
        <v>1.01</v>
      </c>
      <c r="AC1727" s="23">
        <f>_xlfn.XLOOKUP(E1727,'Game Adjustments'!A:A,'Game Adjustments'!B:B)</f>
        <v>1</v>
      </c>
      <c r="AD1727" s="23">
        <f>_xlfn.XLOOKUP(E1727,'Game Adjustments'!A:A,'Game Adjustments'!C:C)</f>
        <v>1</v>
      </c>
      <c r="AE1727" s="23">
        <f>IF(D1727="A",_xlfn.XLOOKUP(E1727,'Rest - Home'!F:F,'Rest - Home'!J:J),_xlfn.XLOOKUP(E1727,'Rest - Home'!F:F,'Rest - Home'!I:I))</f>
        <v>1</v>
      </c>
      <c r="AF1727" s="23">
        <f>IF(D1727="A",_xlfn.XLOOKUP(E1727,'Rest - Home'!F:F,'Rest - Home'!L:L),_xlfn.XLOOKUP(E1727,'Rest - Home'!F:F,'Rest - Home'!K:K))</f>
        <v>1</v>
      </c>
      <c r="AG1727" s="26">
        <v>1</v>
      </c>
      <c r="AH1727" s="26">
        <v>1</v>
      </c>
      <c r="AI1727" s="53" cm="1">
        <f t="array" ref="AI1727">MAX(IF($E$63:E1726=E1727,ROW($E$63:E1726)-MIN(ROW($E$63:E1726))+1))</f>
        <v>1650</v>
      </c>
      <c r="AJ1727" s="53" cm="1">
        <f t="array" ref="AJ1727">MAX(IF($I$105:I1726=I1727,ROW($I$105:I1726)-MIN(ROW($I$105:I1726))+1))</f>
        <v>1587</v>
      </c>
      <c r="AK1727" s="23">
        <f>IF(AI1727=0,_xlfn.XLOOKUP(E1727,'Starting GF'!A:A,'Starting GF'!B:B),INDEX($AL$63:$AL1727,AI1727))</f>
        <v>2.9428909500576665</v>
      </c>
      <c r="AL1727" s="23">
        <f t="shared" si="239"/>
        <v>2.9428909500576665</v>
      </c>
      <c r="AM1727" s="23">
        <f>IF(AI1727=0,_xlfn.XLOOKUP(E1727,'Starting GF'!A:A,'Starting GF'!C:C),INDEX($AN$63:$AN1727,AI1727))</f>
        <v>3.0771790197545883</v>
      </c>
      <c r="AN1727" s="23">
        <f t="shared" si="240"/>
        <v>3.0771790197545883</v>
      </c>
      <c r="AO1727" s="23">
        <f>IF(AJ1727=0,_xlfn.XLOOKUP(I1727,Goalies!B:B,Goalies!I:I),INDEX($AP$105:$AP1727,AJ1727))</f>
        <v>3.1031818410246714</v>
      </c>
      <c r="AP1727" s="23">
        <f t="shared" si="241"/>
        <v>3.1031818410246714</v>
      </c>
      <c r="AQ1727" s="23">
        <f t="shared" si="242"/>
        <v>3.0002495442607233</v>
      </c>
      <c r="AR1727" s="66">
        <v>0.05</v>
      </c>
      <c r="AS1727" s="96" t="s">
        <v>1591</v>
      </c>
      <c r="AT1727" s="20">
        <f t="shared" ref="AT1727" si="333">(AK1727*V1727*X1727*Z1726*AA1727*AB1726*AC1727*AD1726*AG1727*AH1726)+AR1727</f>
        <v>3.1961360790659237</v>
      </c>
      <c r="AU1727" s="20">
        <f t="shared" ref="AU1727" si="334">AT1726</f>
        <v>3.0650645845276849</v>
      </c>
      <c r="AV1727" s="12">
        <f t="shared" ref="AV1727" si="335">AK1727*W1727*X1727*Z1726*AA1727*AB1726</f>
        <v>3.1319378514362977</v>
      </c>
      <c r="AW1727" s="12">
        <f t="shared" ref="AW1727" si="336">AV1726</f>
        <v>3.1150645845276848</v>
      </c>
      <c r="AX1727" s="8">
        <f t="shared" si="247"/>
        <v>3.1961360790659237</v>
      </c>
      <c r="AY1727" s="8">
        <f t="shared" si="248"/>
        <v>3.0650645845276849</v>
      </c>
      <c r="AZ1727" s="8">
        <f t="shared" si="249"/>
        <v>6.2612006635936091</v>
      </c>
      <c r="BA1727" s="8">
        <f t="shared" si="250"/>
        <v>0.13107149453823874</v>
      </c>
      <c r="BB1727" s="62">
        <f t="shared" si="251"/>
        <v>-110</v>
      </c>
      <c r="BC1727" s="21">
        <f t="shared" si="252"/>
        <v>151</v>
      </c>
      <c r="BD1727" s="21">
        <f t="shared" si="253"/>
        <v>123</v>
      </c>
      <c r="BE1727" s="21">
        <f t="shared" si="254"/>
        <v>-104</v>
      </c>
      <c r="BF1727" s="94">
        <f t="shared" si="38"/>
        <v>0.5230804619948759</v>
      </c>
      <c r="BG1727" s="22">
        <f t="shared" ref="BG1727" si="337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0.39839023163520021</v>
      </c>
      <c r="BH1727" s="22">
        <f t="shared" ref="BH1727" si="338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0.44874201509957223</v>
      </c>
      <c r="BI1727" s="22">
        <f t="shared" ref="BI1727" si="339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0.51059012908814305</v>
      </c>
      <c r="BJ1727" s="21">
        <f t="shared" si="256"/>
        <v>-103</v>
      </c>
      <c r="BK1727" s="21">
        <f t="shared" si="257"/>
        <v>151</v>
      </c>
      <c r="BL1727" s="21">
        <f t="shared" si="258"/>
        <v>123</v>
      </c>
      <c r="BM1727" s="21">
        <f t="shared" si="259"/>
        <v>-104</v>
      </c>
      <c r="BN1727" s="22">
        <f t="shared" si="46"/>
        <v>0.50822078180945884</v>
      </c>
      <c r="BO1727" s="22">
        <f t="shared" ref="BO1727" si="340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0.39879490769688963</v>
      </c>
      <c r="BP1727" s="22">
        <f t="shared" ref="BP1727" si="341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0.44916968278128638</v>
      </c>
      <c r="BQ1727" s="22">
        <f t="shared" ref="BQ1727" si="342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0.5109372142520161</v>
      </c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343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11"/>
        <v>UTA Vitek Vanecek</v>
      </c>
      <c r="J1728" s="33" t="s">
        <v>192</v>
      </c>
      <c r="K1728" s="14">
        <v>2.96</v>
      </c>
      <c r="L1728" s="13">
        <v>0.15</v>
      </c>
      <c r="M1728" s="28">
        <v>0.1</v>
      </c>
      <c r="N1728">
        <f>IFERROR(_xlfn.XLOOKUP(A1728,Params!A:A,Params!D:D),0)</f>
        <v>0</v>
      </c>
      <c r="O1728">
        <f t="shared" ref="O1728" si="344">N1729</f>
        <v>0</v>
      </c>
      <c r="P1728" s="68">
        <f t="shared" si="231"/>
        <v>0</v>
      </c>
      <c r="Q1728">
        <f t="shared" ref="Q1728" si="345">P1729</f>
        <v>0</v>
      </c>
      <c r="R1728" s="5">
        <f t="shared" ref="R1728" si="346">N1728/W1728/X1728/Z1729/AB1729/AA1728</f>
        <v>0</v>
      </c>
      <c r="S1728" s="5">
        <f t="shared" ref="S1728" si="347">O1728/W1729/Y1728/Z1728/AA1729/AB1728</f>
        <v>0</v>
      </c>
      <c r="T1728" s="5">
        <f t="shared" ref="T1728" si="348">P1728/W1728/X1728/Z1729/AB1729</f>
        <v>0</v>
      </c>
      <c r="U1728" s="5">
        <f t="shared" ref="U1728" si="349">Q1728/W1729/Y1728/Z1728/AA1729</f>
        <v>0</v>
      </c>
      <c r="V1728" s="5">
        <f>_xlfn.XLOOKUP(H1728,'Rest - Home'!A:A,'Rest - Home'!B:B)</f>
        <v>0.95</v>
      </c>
      <c r="W1728" s="5">
        <f>_xlfn.XLOOKUP(H1728,'Rest - Home'!A:A,'Rest - Home'!C:C)</f>
        <v>0.92554174501717079</v>
      </c>
      <c r="X1728" s="5">
        <f t="shared" ref="X1728" si="350">AM1729/K1728</f>
        <v>0.94810837299628847</v>
      </c>
      <c r="Y1728" s="5">
        <f t="shared" ref="Y1728" si="351">AK1729/K1728</f>
        <v>1.0641891891891893</v>
      </c>
      <c r="Z1728" s="5">
        <f>IF(J1728="",1,(_xlfn.XLOOKUP(I1728,Goalies!B:B,Goalies!J:J)))</f>
        <v>1.05</v>
      </c>
      <c r="AA1728" s="23">
        <f>_xlfn.XLOOKUP(E1728,Injuries!A:A,Injuries!B:B)</f>
        <v>0.96</v>
      </c>
      <c r="AB1728" s="23">
        <f>_xlfn.XLOOKUP(E1728,Injuries!A:A,Injuries!C:C)</f>
        <v>1</v>
      </c>
      <c r="AC1728" s="23">
        <f>_xlfn.XLOOKUP(E1728,'Game Adjustments'!A:A,'Game Adjustments'!B:B)</f>
        <v>1</v>
      </c>
      <c r="AD1728" s="23">
        <f>_xlfn.XLOOKUP(E1728,'Game Adjustments'!A:A,'Game Adjustments'!C:C)</f>
        <v>1</v>
      </c>
      <c r="AE1728" s="23">
        <f>IF(D1728="A",_xlfn.XLOOKUP(E1728,'Rest - Home'!F:F,'Rest - Home'!J:J),_xlfn.XLOOKUP(E1728,'Rest - Home'!F:F,'Rest - Home'!I:I))</f>
        <v>1</v>
      </c>
      <c r="AF1728" s="23">
        <f>IF(D1728="A",_xlfn.XLOOKUP(E1728,'Rest - Home'!F:F,'Rest - Home'!L:L),_xlfn.XLOOKUP(E1728,'Rest - Home'!F:F,'Rest - Home'!K:K))</f>
        <v>1</v>
      </c>
      <c r="AG1728" s="26">
        <v>1</v>
      </c>
      <c r="AH1728" s="26">
        <v>1</v>
      </c>
      <c r="AI1728" s="53" cm="1">
        <f t="array" ref="AI1728">MAX(IF($E$63:E1727=E1728,ROW($E$63:E1727)-MIN(ROW($E$63:E1727))+1))</f>
        <v>1656</v>
      </c>
      <c r="AJ1728" s="53" cm="1">
        <f t="array" ref="AJ1728">MAX(IF($I$105:I1727=I1728,ROW($I$105:I1727)-MIN(ROW($I$105:I1727))+1))</f>
        <v>1385</v>
      </c>
      <c r="AK1728" s="23">
        <f>IF(AI1728=0,_xlfn.XLOOKUP(E1728,'Starting GF'!A:A,'Starting GF'!B:B),INDEX($AL$63:$AL1728,AI1728))</f>
        <v>3.1</v>
      </c>
      <c r="AL1728" s="23">
        <f t="shared" si="239"/>
        <v>3.1</v>
      </c>
      <c r="AM1728" s="23">
        <f>IF(AI1728=0,_xlfn.XLOOKUP(E1728,'Starting GF'!A:A,'Starting GF'!C:C),INDEX($AN$63:$AN1728,AI1728))</f>
        <v>2.97</v>
      </c>
      <c r="AN1728" s="23">
        <f t="shared" si="240"/>
        <v>2.97</v>
      </c>
      <c r="AO1728" s="23">
        <f>IF(AJ1728=0,_xlfn.XLOOKUP(I1728,Goalies!B:B,Goalies!I:I),INDEX($AP$105:$AP1728,AJ1728))</f>
        <v>2.9920552003153702</v>
      </c>
      <c r="AP1728" s="23">
        <f t="shared" si="241"/>
        <v>2.9920552003153702</v>
      </c>
      <c r="AQ1728" s="23">
        <f t="shared" si="242"/>
        <v>3.1185000000000005</v>
      </c>
      <c r="AR1728" s="66">
        <v>0.03</v>
      </c>
      <c r="AS1728" s="96" t="s">
        <v>1589</v>
      </c>
      <c r="AT1728" s="20">
        <f t="shared" ref="AT1728" si="352">(AK1728*V1728*X1728*Z1729*AA1728*AB1729*AC1728*AD1729*AG1728*AH1729)+AR1728</f>
        <v>2.8177116718205104</v>
      </c>
      <c r="AU1728" s="20">
        <f t="shared" ref="AU1728" si="353">AT1729</f>
        <v>3.4197616089527036</v>
      </c>
      <c r="AV1728" s="12">
        <f t="shared" ref="AV1728" si="354">AK1728*V1728*X1728*Z1729*AA1728*AB1729</f>
        <v>2.7877116718205106</v>
      </c>
      <c r="AW1728" s="12">
        <f t="shared" ref="AW1728" si="355">AV1729</f>
        <v>3.5237007857804192</v>
      </c>
      <c r="AX1728" s="8">
        <f t="shared" si="247"/>
        <v>2.8177116718205104</v>
      </c>
      <c r="AY1728" s="8">
        <f t="shared" si="248"/>
        <v>3.4197616089527036</v>
      </c>
      <c r="AZ1728" s="8">
        <f t="shared" si="249"/>
        <v>6.2374732807732141</v>
      </c>
      <c r="BA1728" s="8">
        <f t="shared" si="250"/>
        <v>-0.60204993713219324</v>
      </c>
      <c r="BB1728" s="62">
        <f t="shared" si="251"/>
        <v>147</v>
      </c>
      <c r="BC1728" s="21">
        <f t="shared" si="252"/>
        <v>-150</v>
      </c>
      <c r="BD1728" s="21">
        <f t="shared" si="253"/>
        <v>-121</v>
      </c>
      <c r="BE1728" s="21">
        <f t="shared" si="254"/>
        <v>106</v>
      </c>
      <c r="BF1728" s="94">
        <f t="shared" ref="BF1728" si="356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IF(AT1728&gt;AT1729, 1-_xlpm.interp, _xlpm.interp)
)</f>
        <v>0.40500945920086412</v>
      </c>
      <c r="BG1728" s="22">
        <f t="shared" si="76"/>
        <v>0.59945151341459146</v>
      </c>
      <c r="BH1728" s="22">
        <f t="shared" si="76"/>
        <v>0.5481382889971691</v>
      </c>
      <c r="BI1728" s="22">
        <f t="shared" si="76"/>
        <v>0.48589572520523716</v>
      </c>
      <c r="BJ1728" s="21">
        <f t="shared" si="256"/>
        <v>160</v>
      </c>
      <c r="BK1728" s="21">
        <f t="shared" si="257"/>
        <v>-155</v>
      </c>
      <c r="BL1728" s="21">
        <f t="shared" si="258"/>
        <v>-126</v>
      </c>
      <c r="BM1728" s="21">
        <f t="shared" si="259"/>
        <v>102</v>
      </c>
      <c r="BN1728" s="22">
        <f t="shared" ref="BN1728" si="357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IF(AV1728&gt;AV1729, 1-_xlpm.interp, _xlpm.interp)
)</f>
        <v>0.38462595657840348</v>
      </c>
      <c r="BO1728" s="22">
        <f t="shared" si="82"/>
        <v>0.60850713053120353</v>
      </c>
      <c r="BP1728" s="22">
        <f t="shared" si="82"/>
        <v>0.55836222790410783</v>
      </c>
      <c r="BQ1728" s="22">
        <f t="shared" si="82"/>
        <v>0.49496458958330414</v>
      </c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343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11"/>
        <v>FLA Sergei Bobrovsky</v>
      </c>
      <c r="J1729" s="33" t="s">
        <v>165</v>
      </c>
      <c r="K1729" s="14">
        <v>2.96</v>
      </c>
      <c r="L1729" s="13">
        <v>0.15</v>
      </c>
      <c r="M1729" s="28">
        <v>0.1</v>
      </c>
      <c r="N1729">
        <f>IFERROR(_xlfn.XLOOKUP(A1729,Params!A:A,Params!D:D),0)</f>
        <v>0</v>
      </c>
      <c r="O1729">
        <f t="shared" ref="O1729" si="358">N1728</f>
        <v>0</v>
      </c>
      <c r="P1729" s="68">
        <f t="shared" si="231"/>
        <v>0</v>
      </c>
      <c r="Q1729">
        <f t="shared" ref="Q1729" si="359">P1728</f>
        <v>0</v>
      </c>
      <c r="R1729" s="5">
        <f t="shared" ref="R1729" si="360">N1729/W1729/X1729/Z1728/AB1728/AA1729</f>
        <v>0</v>
      </c>
      <c r="S1729" s="5">
        <f t="shared" ref="S1729" si="361">O1729/W1728/Y1729/Z1729/AA1728/AB1729</f>
        <v>0</v>
      </c>
      <c r="T1729" s="5">
        <f t="shared" ref="T1729" si="362">P1729/W1729/X1729/Z1728/AB1728</f>
        <v>0</v>
      </c>
      <c r="U1729" s="5">
        <f t="shared" ref="U1729" si="363">Q1729/W1728/Y1729/Z1729/AA1728</f>
        <v>0</v>
      </c>
      <c r="V1729" s="5">
        <f>_xlfn.XLOOKUP(H1729,'Rest - Home'!A:A,'Rest - Home'!B:B)</f>
        <v>1.05</v>
      </c>
      <c r="W1729" s="5">
        <f>_xlfn.XLOOKUP(H1729,'Rest - Home'!A:A,'Rest - Home'!C:C)</f>
        <v>1.0725047827848808</v>
      </c>
      <c r="X1729" s="5">
        <f t="shared" ref="X1729" si="364">AM1728/K1729</f>
        <v>1.0033783783783785</v>
      </c>
      <c r="Y1729" s="5">
        <f t="shared" ref="Y1729" si="365">AK1728/K1729</f>
        <v>1.0472972972972974</v>
      </c>
      <c r="Z1729" s="5">
        <f>IF(J1729="",1,(_xlfn.XLOOKUP(I1729,Goalies!B:B,Goalies!J:J)))</f>
        <v>1</v>
      </c>
      <c r="AA1729" s="23">
        <f>_xlfn.XLOOKUP(E1729,Injuries!A:A,Injuries!B:B)</f>
        <v>0.99</v>
      </c>
      <c r="AB1729" s="23">
        <f>_xlfn.XLOOKUP(E1729,Injuries!A:A,Injuries!C:C)</f>
        <v>1.04</v>
      </c>
      <c r="AC1729" s="23">
        <f>_xlfn.XLOOKUP(E1729,'Game Adjustments'!A:A,'Game Adjustments'!B:B)</f>
        <v>1</v>
      </c>
      <c r="AD1729" s="23">
        <f>_xlfn.XLOOKUP(E1729,'Game Adjustments'!A:A,'Game Adjustments'!C:C)</f>
        <v>1</v>
      </c>
      <c r="AE1729" s="23">
        <f>IF(D1729="A",_xlfn.XLOOKUP(E1729,'Rest - Home'!F:F,'Rest - Home'!J:J),_xlfn.XLOOKUP(E1729,'Rest - Home'!F:F,'Rest - Home'!I:I))</f>
        <v>1</v>
      </c>
      <c r="AF1729" s="23">
        <f>IF(D1729="A",_xlfn.XLOOKUP(E1729,'Rest - Home'!F:F,'Rest - Home'!L:L),_xlfn.XLOOKUP(E1729,'Rest - Home'!F:F,'Rest - Home'!K:K))</f>
        <v>1</v>
      </c>
      <c r="AG1729" s="26">
        <v>1</v>
      </c>
      <c r="AH1729" s="26">
        <v>1</v>
      </c>
      <c r="AI1729" s="53" cm="1">
        <f t="array" ref="AI1729">MAX(IF($E$63:E1728=E1729,ROW($E$63:E1728)-MIN(ROW($E$63:E1728))+1))</f>
        <v>1646</v>
      </c>
      <c r="AJ1729" s="53" cm="1">
        <f t="array" ref="AJ1729">MAX(IF($I$105:I1728=I1729,ROW($I$105:I1728)-MIN(ROW($I$105:I1728))+1))</f>
        <v>1592</v>
      </c>
      <c r="AK1729" s="23">
        <f>IF(AI1729=0,_xlfn.XLOOKUP(E1729,'Starting GF'!A:A,'Starting GF'!B:B),INDEX($AL$63:$AL1729,AI1729))</f>
        <v>3.15</v>
      </c>
      <c r="AL1729" s="23">
        <f t="shared" si="239"/>
        <v>3.15</v>
      </c>
      <c r="AM1729" s="23">
        <f>IF(AI1729=0,_xlfn.XLOOKUP(E1729,'Starting GF'!A:A,'Starting GF'!C:C),INDEX($AN$63:$AN1729,AI1729))</f>
        <v>2.8064007840690137</v>
      </c>
      <c r="AN1729" s="23">
        <f t="shared" si="240"/>
        <v>2.8064007840690137</v>
      </c>
      <c r="AO1729" s="23">
        <f>IF(AJ1729=0,_xlfn.XLOOKUP(I1729,Goalies!B:B,Goalies!I:I),INDEX($AP$105:$AP1729,AJ1729))</f>
        <v>2.777947055059212</v>
      </c>
      <c r="AP1729" s="23">
        <f t="shared" si="241"/>
        <v>2.777947055059212</v>
      </c>
      <c r="AQ1729" s="23">
        <f t="shared" si="242"/>
        <v>2.8064007840690137</v>
      </c>
      <c r="AR1729" s="66">
        <v>-0.03</v>
      </c>
      <c r="AS1729" s="96" t="s">
        <v>1589</v>
      </c>
      <c r="AT1729" s="20">
        <f t="shared" ref="AT1729" si="366">(AK1729*V1729*X1729*Z1728*AA1729*AB1728*AC1729*AD1728*AG1729*AH1728)+AR1729</f>
        <v>3.4197616089527036</v>
      </c>
      <c r="AU1729" s="20">
        <f t="shared" ref="AU1729" si="367">AT1728</f>
        <v>2.8177116718205104</v>
      </c>
      <c r="AV1729" s="12">
        <f t="shared" ref="AV1729" si="368">AK1729*W1729*X1729*Z1728*AA1729*AB1728</f>
        <v>3.5237007857804192</v>
      </c>
      <c r="AW1729" s="12">
        <f t="shared" ref="AW1729" si="369">AV1728</f>
        <v>2.7877116718205106</v>
      </c>
      <c r="AX1729" s="8">
        <f t="shared" si="247"/>
        <v>3.4197616089527036</v>
      </c>
      <c r="AY1729" s="8">
        <f t="shared" si="248"/>
        <v>2.8177116718205104</v>
      </c>
      <c r="AZ1729" s="8">
        <f t="shared" si="249"/>
        <v>6.2374732807732141</v>
      </c>
      <c r="BA1729" s="8">
        <f t="shared" si="250"/>
        <v>0.60204993713219324</v>
      </c>
      <c r="BB1729" s="62">
        <f t="shared" si="251"/>
        <v>-147</v>
      </c>
      <c r="BC1729" s="21">
        <f t="shared" si="252"/>
        <v>150</v>
      </c>
      <c r="BD1729" s="21">
        <f t="shared" si="253"/>
        <v>121</v>
      </c>
      <c r="BE1729" s="21">
        <f t="shared" si="254"/>
        <v>-106</v>
      </c>
      <c r="BF1729" s="94">
        <f t="shared" si="38"/>
        <v>0.59499054079913583</v>
      </c>
      <c r="BG1729" s="22">
        <f t="shared" ref="BG1729" si="370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0.40054848658540854</v>
      </c>
      <c r="BH1729" s="22">
        <f t="shared" ref="BH1729" si="371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0.45186171100283096</v>
      </c>
      <c r="BI1729" s="22">
        <f t="shared" ref="BI1729" si="372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0.51410427479476284</v>
      </c>
      <c r="BJ1729" s="21">
        <f t="shared" si="256"/>
        <v>-160</v>
      </c>
      <c r="BK1729" s="21">
        <f t="shared" si="257"/>
        <v>155</v>
      </c>
      <c r="BL1729" s="21">
        <f t="shared" si="258"/>
        <v>126</v>
      </c>
      <c r="BM1729" s="21">
        <f t="shared" si="259"/>
        <v>-102</v>
      </c>
      <c r="BN1729" s="22">
        <f t="shared" si="46"/>
        <v>0.61537404342159652</v>
      </c>
      <c r="BO1729" s="22">
        <f t="shared" ref="BO1729" si="373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0.39149286946879647</v>
      </c>
      <c r="BP1729" s="22">
        <f t="shared" ref="BP1729" si="374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0.44163777209589217</v>
      </c>
      <c r="BQ1729" s="22">
        <f t="shared" ref="BQ1729" si="375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0.50503541041669586</v>
      </c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343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11"/>
        <v>VGK Adin Hill</v>
      </c>
      <c r="J1730" s="33" t="s">
        <v>195</v>
      </c>
      <c r="K1730" s="14">
        <v>2.96</v>
      </c>
      <c r="L1730" s="13">
        <v>0.15</v>
      </c>
      <c r="M1730" s="28">
        <v>0.1</v>
      </c>
      <c r="N1730">
        <f>IFERROR(_xlfn.XLOOKUP(A1730,Params!A:A,Params!D:D),0)</f>
        <v>0</v>
      </c>
      <c r="O1730">
        <f t="shared" ref="O1730" si="376">N1731</f>
        <v>0</v>
      </c>
      <c r="P1730" s="68">
        <f t="shared" si="231"/>
        <v>0</v>
      </c>
      <c r="Q1730">
        <f t="shared" ref="Q1730" si="377">P1731</f>
        <v>0</v>
      </c>
      <c r="R1730" s="5">
        <f t="shared" ref="R1730" si="378">N1730/W1730/X1730/Z1731/AB1731/AA1730</f>
        <v>0</v>
      </c>
      <c r="S1730" s="5">
        <f t="shared" ref="S1730" si="379">O1730/W1731/Y1730/Z1730/AA1731/AB1730</f>
        <v>0</v>
      </c>
      <c r="T1730" s="5">
        <f t="shared" ref="T1730" si="380">P1730/W1730/X1730/Z1731/AB1731</f>
        <v>0</v>
      </c>
      <c r="U1730" s="5">
        <f t="shared" ref="U1730" si="381">Q1730/W1731/Y1730/Z1730/AA1731</f>
        <v>0</v>
      </c>
      <c r="V1730" s="5">
        <f>_xlfn.XLOOKUP(H1730,'Rest - Home'!A:A,'Rest - Home'!B:B)</f>
        <v>0.97</v>
      </c>
      <c r="W1730" s="5">
        <f>_xlfn.XLOOKUP(H1730,'Rest - Home'!A:A,'Rest - Home'!C:C)</f>
        <v>0.95751047349149665</v>
      </c>
      <c r="X1730" s="5">
        <f t="shared" ref="X1730" si="382">AM1731/K1730</f>
        <v>1.0405405405405406</v>
      </c>
      <c r="Y1730" s="5">
        <f t="shared" ref="Y1730" si="383">AK1731/K1730</f>
        <v>1.0454441909080614</v>
      </c>
      <c r="Z1730" s="5">
        <f>IF(J1730="",1,(_xlfn.XLOOKUP(I1730,Goalies!B:B,Goalies!J:J)))</f>
        <v>1</v>
      </c>
      <c r="AA1730" s="23">
        <f>_xlfn.XLOOKUP(E1730,Injuries!A:A,Injuries!B:B)</f>
        <v>0.97499999999999998</v>
      </c>
      <c r="AB1730" s="23">
        <f>_xlfn.XLOOKUP(E1730,Injuries!A:A,Injuries!C:C)</f>
        <v>1.02</v>
      </c>
      <c r="AC1730" s="23">
        <f>_xlfn.XLOOKUP(E1730,'Game Adjustments'!A:A,'Game Adjustments'!B:B)</f>
        <v>1</v>
      </c>
      <c r="AD1730" s="23">
        <f>_xlfn.XLOOKUP(E1730,'Game Adjustments'!A:A,'Game Adjustments'!C:C)</f>
        <v>1</v>
      </c>
      <c r="AE1730" s="23">
        <f>IF(D1730="A",_xlfn.XLOOKUP(E1730,'Rest - Home'!F:F,'Rest - Home'!J:J),_xlfn.XLOOKUP(E1730,'Rest - Home'!F:F,'Rest - Home'!I:I))</f>
        <v>1</v>
      </c>
      <c r="AF1730" s="23">
        <f>IF(D1730="A",_xlfn.XLOOKUP(E1730,'Rest - Home'!F:F,'Rest - Home'!L:L),_xlfn.XLOOKUP(E1730,'Rest - Home'!F:F,'Rest - Home'!K:K))</f>
        <v>1</v>
      </c>
      <c r="AG1730" s="26">
        <v>1</v>
      </c>
      <c r="AH1730" s="26">
        <v>1</v>
      </c>
      <c r="AI1730" s="53" cm="1">
        <f t="array" ref="AI1730">MAX(IF($E$63:E1729=E1730,ROW($E$63:E1729)-MIN(ROW($E$63:E1729))+1))</f>
        <v>1642</v>
      </c>
      <c r="AJ1730" s="53" cm="1">
        <f t="array" ref="AJ1730">MAX(IF($I$105:I1729=I1730,ROW($I$105:I1729)-MIN(ROW($I$105:I1729))+1))</f>
        <v>1600</v>
      </c>
      <c r="AK1730" s="23">
        <f>IF(AI1730=0,_xlfn.XLOOKUP(E1730,'Starting GF'!A:A,'Starting GF'!B:B),INDEX($AL$63:$AL1730,AI1730))</f>
        <v>3.23</v>
      </c>
      <c r="AL1730" s="23">
        <f t="shared" si="239"/>
        <v>3.23</v>
      </c>
      <c r="AM1730" s="23">
        <f>IF(AI1730=0,_xlfn.XLOOKUP(E1730,'Starting GF'!A:A,'Starting GF'!C:C),INDEX($AN$63:$AN1730,AI1730))</f>
        <v>2.76</v>
      </c>
      <c r="AN1730" s="23">
        <f t="shared" si="240"/>
        <v>2.76</v>
      </c>
      <c r="AO1730" s="23">
        <f>IF(AJ1730=0,_xlfn.XLOOKUP(I1730,Goalies!B:B,Goalies!I:I),INDEX($AP$105:$AP1730,AJ1730))</f>
        <v>2.7015103736145112</v>
      </c>
      <c r="AP1730" s="23">
        <f t="shared" si="241"/>
        <v>2.7015103736145112</v>
      </c>
      <c r="AQ1730" s="23">
        <f t="shared" si="242"/>
        <v>2.76</v>
      </c>
      <c r="AR1730" s="66">
        <v>-0.02</v>
      </c>
      <c r="AS1730" s="96" t="s">
        <v>1589</v>
      </c>
      <c r="AT1730" s="20">
        <f t="shared" ref="AT1730" si="384">(AK1730*V1730*X1730*Z1731*AA1730*AB1731*AC1730*AD1731*AG1730*AH1731)+AR1730</f>
        <v>3.2221869209459455</v>
      </c>
      <c r="AU1730" s="20">
        <f t="shared" ref="AU1730" si="385">AT1731</f>
        <v>3.0340640273628638</v>
      </c>
      <c r="AV1730" s="12">
        <f t="shared" ref="AV1730" si="386">AK1730*V1730*X1730*Z1731*AA1730*AB1731</f>
        <v>3.2421869209459455</v>
      </c>
      <c r="AW1730" s="12">
        <f t="shared" ref="AW1730" si="387">AV1731</f>
        <v>2.9992800580047945</v>
      </c>
      <c r="AX1730" s="8">
        <f t="shared" si="247"/>
        <v>3.2221869209459455</v>
      </c>
      <c r="AY1730" s="8">
        <f t="shared" si="248"/>
        <v>3.0340640273628638</v>
      </c>
      <c r="AZ1730" s="8">
        <f t="shared" si="249"/>
        <v>6.2562509483088089</v>
      </c>
      <c r="BA1730" s="8">
        <f t="shared" si="250"/>
        <v>0.18812289358308165</v>
      </c>
      <c r="BB1730" s="62">
        <f t="shared" si="251"/>
        <v>-114</v>
      </c>
      <c r="BC1730" s="21">
        <f t="shared" si="252"/>
        <v>-151</v>
      </c>
      <c r="BD1730" s="21">
        <f t="shared" si="253"/>
        <v>-123</v>
      </c>
      <c r="BE1730" s="21">
        <f t="shared" si="254"/>
        <v>104</v>
      </c>
      <c r="BF1730" s="94">
        <f t="shared" ref="BF1730" si="388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IF(AT1730&gt;AT1731, 1-_xlpm.interp, _xlpm.interp)
)</f>
        <v>0.53232478674834816</v>
      </c>
      <c r="BG1730" s="22">
        <f t="shared" si="76"/>
        <v>0.60147999251923978</v>
      </c>
      <c r="BH1730" s="22">
        <f t="shared" si="76"/>
        <v>0.55098052425272848</v>
      </c>
      <c r="BI1730" s="22">
        <f t="shared" si="76"/>
        <v>0.48902523476273363</v>
      </c>
      <c r="BJ1730" s="21">
        <f t="shared" si="256"/>
        <v>-118</v>
      </c>
      <c r="BK1730" s="21">
        <f t="shared" si="257"/>
        <v>-151</v>
      </c>
      <c r="BL1730" s="21">
        <f t="shared" si="258"/>
        <v>-122</v>
      </c>
      <c r="BM1730" s="21">
        <f t="shared" si="259"/>
        <v>105</v>
      </c>
      <c r="BN1730" s="22">
        <f t="shared" ref="BN1730" si="389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IF(AV1730&gt;AV1731, 1-_xlpm.interp, _xlpm.interp)
)</f>
        <v>0.54208551608591071</v>
      </c>
      <c r="BO1730" s="22">
        <f t="shared" si="82"/>
        <v>0.60084981367670121</v>
      </c>
      <c r="BP1730" s="22">
        <f t="shared" si="82"/>
        <v>0.5502734301072143</v>
      </c>
      <c r="BQ1730" s="22">
        <f t="shared" si="82"/>
        <v>0.48839472002371609</v>
      </c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343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11"/>
        <v>MTL Jakub Dobes</v>
      </c>
      <c r="J1731" s="33" t="s">
        <v>171</v>
      </c>
      <c r="K1731" s="14">
        <v>2.96</v>
      </c>
      <c r="L1731" s="13">
        <v>0.15</v>
      </c>
      <c r="M1731" s="28">
        <v>0.1</v>
      </c>
      <c r="N1731">
        <f>IFERROR(_xlfn.XLOOKUP(A1731,Params!A:A,Params!D:D),0)</f>
        <v>0</v>
      </c>
      <c r="O1731">
        <f t="shared" ref="O1731" si="390">N1730</f>
        <v>0</v>
      </c>
      <c r="P1731" s="68">
        <f t="shared" si="231"/>
        <v>0</v>
      </c>
      <c r="Q1731">
        <f t="shared" ref="Q1731" si="391">P1730</f>
        <v>0</v>
      </c>
      <c r="R1731" s="5">
        <f t="shared" ref="R1731" si="392">N1731/W1731/X1731/Z1730/AB1730/AA1731</f>
        <v>0</v>
      </c>
      <c r="S1731" s="5">
        <f t="shared" ref="S1731" si="393">O1731/W1730/Y1731/Z1731/AA1730/AB1731</f>
        <v>0</v>
      </c>
      <c r="T1731" s="5">
        <f t="shared" ref="T1731" si="394">P1731/W1731/X1731/Z1730/AB1730</f>
        <v>0</v>
      </c>
      <c r="U1731" s="5">
        <f t="shared" ref="U1731" si="395">Q1731/W1730/Y1731/Z1731/AA1730</f>
        <v>0</v>
      </c>
      <c r="V1731" s="5">
        <f>_xlfn.XLOOKUP(H1731,'Rest - Home'!A:A,'Rest - Home'!B:B)</f>
        <v>1.0449999999999999</v>
      </c>
      <c r="W1731" s="5">
        <f>_xlfn.XLOOKUP(H1731,'Rest - Home'!A:A,'Rest - Home'!C:C)</f>
        <v>1.0398742800952707</v>
      </c>
      <c r="X1731" s="5">
        <f t="shared" ref="X1731" si="396">AM1730/K1731</f>
        <v>0.93243243243243235</v>
      </c>
      <c r="Y1731" s="5">
        <f t="shared" ref="Y1731" si="397">AK1730/K1731</f>
        <v>1.0912162162162162</v>
      </c>
      <c r="Z1731" s="5">
        <f>IF(J1731="",1,(_xlfn.XLOOKUP(I1731,Goalies!B:B,Goalies!J:J)))</f>
        <v>1.02</v>
      </c>
      <c r="AA1731" s="23">
        <f>_xlfn.XLOOKUP(E1731,Injuries!A:A,Injuries!B:B)</f>
        <v>0.98</v>
      </c>
      <c r="AB1731" s="23">
        <f>_xlfn.XLOOKUP(E1731,Injuries!A:A,Injuries!C:C)</f>
        <v>1</v>
      </c>
      <c r="AC1731" s="23">
        <f>_xlfn.XLOOKUP(E1731,'Game Adjustments'!A:A,'Game Adjustments'!B:B)</f>
        <v>1</v>
      </c>
      <c r="AD1731" s="23">
        <f>_xlfn.XLOOKUP(E1731,'Game Adjustments'!A:A,'Game Adjustments'!C:C)</f>
        <v>1</v>
      </c>
      <c r="AE1731" s="23">
        <f>IF(D1731="A",_xlfn.XLOOKUP(E1731,'Rest - Home'!F:F,'Rest - Home'!J:J),_xlfn.XLOOKUP(E1731,'Rest - Home'!F:F,'Rest - Home'!I:I))</f>
        <v>1</v>
      </c>
      <c r="AF1731" s="23">
        <f>IF(D1731="A",_xlfn.XLOOKUP(E1731,'Rest - Home'!F:F,'Rest - Home'!L:L),_xlfn.XLOOKUP(E1731,'Rest - Home'!F:F,'Rest - Home'!K:K))</f>
        <v>1</v>
      </c>
      <c r="AG1731" s="26">
        <v>1</v>
      </c>
      <c r="AH1731" s="26">
        <v>1</v>
      </c>
      <c r="AI1731" s="53" cm="1">
        <f t="array" ref="AI1731">MAX(IF($E$63:E1730=E1731,ROW($E$63:E1730)-MIN(ROW($E$63:E1730))+1))</f>
        <v>1628</v>
      </c>
      <c r="AJ1731" s="53" cm="1">
        <f t="array" ref="AJ1731">MAX(IF($I$105:I1730=I1731,ROW($I$105:I1730)-MIN(ROW($I$105:I1730))+1))</f>
        <v>1519</v>
      </c>
      <c r="AK1731" s="23">
        <f>IF(AI1731=0,_xlfn.XLOOKUP(E1731,'Starting GF'!A:A,'Starting GF'!B:B),INDEX($AL$63:$AL1731,AI1731))</f>
        <v>3.0945148050878619</v>
      </c>
      <c r="AL1731" s="23">
        <f t="shared" si="239"/>
        <v>3.0945148050878619</v>
      </c>
      <c r="AM1731" s="23">
        <f>IF(AI1731=0,_xlfn.XLOOKUP(E1731,'Starting GF'!A:A,'Starting GF'!C:C),INDEX($AN$63:$AN1731,AI1731))</f>
        <v>3.08</v>
      </c>
      <c r="AN1731" s="23">
        <f t="shared" si="240"/>
        <v>3.08</v>
      </c>
      <c r="AO1731" s="23">
        <f>IF(AJ1731=0,_xlfn.XLOOKUP(I1731,Goalies!B:B,Goalies!I:I),INDEX($AP$105:$AP1731,AJ1731))</f>
        <v>3.0926902792584126</v>
      </c>
      <c r="AP1731" s="23">
        <f t="shared" si="241"/>
        <v>3.0926902792584126</v>
      </c>
      <c r="AQ1731" s="23">
        <f t="shared" si="242"/>
        <v>3.1415999999999999</v>
      </c>
      <c r="AR1731" s="66">
        <v>0.02</v>
      </c>
      <c r="AS1731" s="96" t="s">
        <v>1589</v>
      </c>
      <c r="AT1731" s="20">
        <f t="shared" ref="AT1731" si="398">(AK1731*V1731*X1731*Z1730*AA1731*AB1730*AC1731*AD1730*AG1731*AH1730)+AR1731</f>
        <v>3.0340640273628638</v>
      </c>
      <c r="AU1731" s="20">
        <f t="shared" ref="AU1731" si="399">AT1730</f>
        <v>3.2221869209459455</v>
      </c>
      <c r="AV1731" s="12">
        <f t="shared" ref="AV1731" si="400">AK1731*W1731*X1731*Z1730*AA1731*AB1730</f>
        <v>2.9992800580047945</v>
      </c>
      <c r="AW1731" s="12">
        <f t="shared" ref="AW1731" si="401">AV1730</f>
        <v>3.2421869209459455</v>
      </c>
      <c r="AX1731" s="8">
        <f t="shared" si="247"/>
        <v>3.0340640273628638</v>
      </c>
      <c r="AY1731" s="8">
        <f t="shared" si="248"/>
        <v>3.2221869209459455</v>
      </c>
      <c r="AZ1731" s="8">
        <f t="shared" si="249"/>
        <v>6.2562509483088089</v>
      </c>
      <c r="BA1731" s="8">
        <f t="shared" si="250"/>
        <v>-0.18812289358308165</v>
      </c>
      <c r="BB1731" s="62">
        <f t="shared" si="251"/>
        <v>114</v>
      </c>
      <c r="BC1731" s="21">
        <f t="shared" si="252"/>
        <v>151</v>
      </c>
      <c r="BD1731" s="21">
        <f t="shared" si="253"/>
        <v>123</v>
      </c>
      <c r="BE1731" s="21">
        <f t="shared" si="254"/>
        <v>-104</v>
      </c>
      <c r="BF1731" s="94">
        <f t="shared" si="38"/>
        <v>0.46767521325165184</v>
      </c>
      <c r="BG1731" s="22">
        <f t="shared" ref="BG1731" si="402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0.39852000748076016</v>
      </c>
      <c r="BH1731" s="22">
        <f t="shared" ref="BH1731" si="403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0.44901947574727152</v>
      </c>
      <c r="BI1731" s="22">
        <f t="shared" ref="BI1731" si="404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0.51097476523726637</v>
      </c>
      <c r="BJ1731" s="21">
        <f t="shared" si="256"/>
        <v>118</v>
      </c>
      <c r="BK1731" s="21">
        <f t="shared" si="257"/>
        <v>151</v>
      </c>
      <c r="BL1731" s="21">
        <f t="shared" si="258"/>
        <v>122</v>
      </c>
      <c r="BM1731" s="21">
        <f t="shared" si="259"/>
        <v>-105</v>
      </c>
      <c r="BN1731" s="22">
        <f t="shared" si="46"/>
        <v>0.45791448391408929</v>
      </c>
      <c r="BO1731" s="22">
        <f t="shared" ref="BO1731" si="405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0.39915018632329879</v>
      </c>
      <c r="BP1731" s="22">
        <f t="shared" ref="BP1731" si="406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0.44972656989278575</v>
      </c>
      <c r="BQ1731" s="22">
        <f t="shared" ref="BQ1731" si="407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0.51160527997628391</v>
      </c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343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11"/>
        <v>WPG Connor Hellebuyck</v>
      </c>
      <c r="J1732" s="33" t="s">
        <v>199</v>
      </c>
      <c r="K1732" s="14">
        <v>2.96</v>
      </c>
      <c r="L1732" s="13">
        <v>0.15</v>
      </c>
      <c r="M1732" s="28">
        <v>0.1</v>
      </c>
      <c r="N1732">
        <f>IFERROR(_xlfn.XLOOKUP(A1732,Params!A:A,Params!D:D),0)</f>
        <v>0</v>
      </c>
      <c r="O1732">
        <f t="shared" ref="O1732" si="408">N1733</f>
        <v>0</v>
      </c>
      <c r="P1732" s="68">
        <f t="shared" si="231"/>
        <v>0</v>
      </c>
      <c r="Q1732">
        <f t="shared" ref="Q1732" si="409">P1733</f>
        <v>0</v>
      </c>
      <c r="R1732" s="5">
        <f t="shared" ref="R1732" si="410">N1732/W1732/X1732/Z1733/AB1733/AA1732</f>
        <v>0</v>
      </c>
      <c r="S1732" s="5">
        <f t="shared" ref="S1732" si="411">O1732/W1733/Y1732/Z1732/AA1733/AB1732</f>
        <v>0</v>
      </c>
      <c r="T1732" s="5">
        <f t="shared" ref="T1732" si="412">P1732/W1732/X1732/Z1733/AB1733</f>
        <v>0</v>
      </c>
      <c r="U1732" s="5">
        <f t="shared" ref="U1732" si="413">Q1732/W1733/Y1732/Z1732/AA1733</f>
        <v>0</v>
      </c>
      <c r="V1732" s="5">
        <f>_xlfn.XLOOKUP(H1732,'Rest - Home'!A:A,'Rest - Home'!B:B)</f>
        <v>0.96</v>
      </c>
      <c r="W1732" s="5">
        <f>_xlfn.XLOOKUP(H1732,'Rest - Home'!A:A,'Rest - Home'!C:C)</f>
        <v>0.96305398776725637</v>
      </c>
      <c r="X1732" s="5">
        <f t="shared" ref="X1732" si="414">AM1733/K1732</f>
        <v>0.98986486486486491</v>
      </c>
      <c r="Y1732" s="5">
        <f t="shared" ref="Y1732" si="415">AK1733/K1732</f>
        <v>0.99084501588583396</v>
      </c>
      <c r="Z1732" s="5">
        <f>IF(J1732="",1,(_xlfn.XLOOKUP(I1732,Goalies!B:B,Goalies!J:J)))</f>
        <v>0.96499999999999997</v>
      </c>
      <c r="AA1732" s="23">
        <f>_xlfn.XLOOKUP(E1732,Injuries!A:A,Injuries!B:B)</f>
        <v>1</v>
      </c>
      <c r="AB1732" s="23">
        <f>_xlfn.XLOOKUP(E1732,Injuries!A:A,Injuries!C:C)</f>
        <v>1.02</v>
      </c>
      <c r="AC1732" s="23">
        <f>_xlfn.XLOOKUP(E1732,'Game Adjustments'!A:A,'Game Adjustments'!B:B)</f>
        <v>1</v>
      </c>
      <c r="AD1732" s="23">
        <f>_xlfn.XLOOKUP(E1732,'Game Adjustments'!A:A,'Game Adjustments'!C:C)</f>
        <v>1</v>
      </c>
      <c r="AE1732" s="23">
        <f>IF(D1732="A",_xlfn.XLOOKUP(E1732,'Rest - Home'!F:F,'Rest - Home'!J:J),_xlfn.XLOOKUP(E1732,'Rest - Home'!F:F,'Rest - Home'!I:I))</f>
        <v>1</v>
      </c>
      <c r="AF1732" s="23">
        <f>IF(D1732="A",_xlfn.XLOOKUP(E1732,'Rest - Home'!F:F,'Rest - Home'!L:L),_xlfn.XLOOKUP(E1732,'Rest - Home'!F:F,'Rest - Home'!K:K))</f>
        <v>1</v>
      </c>
      <c r="AG1732" s="26">
        <v>1</v>
      </c>
      <c r="AH1732" s="26">
        <v>1</v>
      </c>
      <c r="AI1732" s="53" cm="1">
        <f t="array" ref="AI1732">MAX(IF($E$63:E1731=E1732,ROW($E$63:E1731)-MIN(ROW($E$63:E1731))+1))</f>
        <v>1627</v>
      </c>
      <c r="AJ1732" s="53" cm="1">
        <f t="array" ref="AJ1732">MAX(IF($I$105:I1731=I1732,ROW($I$105:I1731)-MIN(ROW($I$105:I1731))+1))</f>
        <v>1585</v>
      </c>
      <c r="AK1732" s="23">
        <f>IF(AI1732=0,_xlfn.XLOOKUP(E1732,'Starting GF'!A:A,'Starting GF'!B:B),INDEX($AL$63:$AL1732,AI1732))</f>
        <v>2.8437181515263266</v>
      </c>
      <c r="AL1732" s="23">
        <f t="shared" si="239"/>
        <v>2.8437181515263266</v>
      </c>
      <c r="AM1732" s="23">
        <f>IF(AI1732=0,_xlfn.XLOOKUP(E1732,'Starting GF'!A:A,'Starting GF'!C:C),INDEX($AN$63:$AN1732,AI1732))</f>
        <v>3.02</v>
      </c>
      <c r="AN1732" s="23">
        <f t="shared" si="240"/>
        <v>3.02</v>
      </c>
      <c r="AO1732" s="23">
        <f>IF(AJ1732=0,_xlfn.XLOOKUP(I1732,Goalies!B:B,Goalies!I:I),INDEX($AP$105:$AP1732,AJ1732))</f>
        <v>2.9122977068793525</v>
      </c>
      <c r="AP1732" s="23">
        <f t="shared" si="241"/>
        <v>2.9122977068793525</v>
      </c>
      <c r="AQ1732" s="23">
        <f t="shared" si="242"/>
        <v>2.9142999999999999</v>
      </c>
      <c r="AR1732" s="66">
        <v>0</v>
      </c>
      <c r="AS1732" s="96" t="s">
        <v>1591</v>
      </c>
      <c r="AT1732" s="20">
        <f t="shared" ref="AT1732" si="416">(AK1732*V1732*X1732*Z1733*AA1732*AB1733*AC1732*AD1733*AG1732*AH1733)+AR1732</f>
        <v>2.7287833644243449</v>
      </c>
      <c r="AU1732" s="20">
        <f t="shared" ref="AU1732" si="417">AT1733</f>
        <v>3.0179754427439707</v>
      </c>
      <c r="AV1732" s="12">
        <f t="shared" ref="AV1732" si="418">AK1732*V1732*X1732*Z1733*AA1732*AB1733</f>
        <v>2.7287833644243449</v>
      </c>
      <c r="AW1732" s="12">
        <f t="shared" ref="AW1732" si="419">AV1733</f>
        <v>3.0119851290127211</v>
      </c>
      <c r="AX1732" s="8">
        <f t="shared" si="247"/>
        <v>2.7287833644243449</v>
      </c>
      <c r="AY1732" s="8">
        <f t="shared" si="248"/>
        <v>3.0179754427439707</v>
      </c>
      <c r="AZ1732" s="8">
        <f t="shared" si="249"/>
        <v>5.746758807168316</v>
      </c>
      <c r="BA1732" s="8">
        <f t="shared" si="250"/>
        <v>-0.28919207831962579</v>
      </c>
      <c r="BB1732" s="62">
        <f t="shared" si="251"/>
        <v>123</v>
      </c>
      <c r="BC1732" s="21">
        <f t="shared" si="252"/>
        <v>-109</v>
      </c>
      <c r="BD1732" s="21">
        <f t="shared" si="253"/>
        <v>118</v>
      </c>
      <c r="BE1732" s="21">
        <f t="shared" si="254"/>
        <v>146</v>
      </c>
      <c r="BF1732" s="94">
        <f t="shared" ref="BF1732" si="420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IF(AT1732&gt;AT1733, 1-_xlpm.interp, _xlpm.interp)
)</f>
        <v>0.44935455296065363</v>
      </c>
      <c r="BG1732" s="22">
        <f t="shared" si="76"/>
        <v>0.52060422051774213</v>
      </c>
      <c r="BH1732" s="22">
        <f t="shared" si="76"/>
        <v>0.45914332976303363</v>
      </c>
      <c r="BI1732" s="22">
        <f t="shared" si="76"/>
        <v>0.40697308429268786</v>
      </c>
      <c r="BJ1732" s="21">
        <f t="shared" si="256"/>
        <v>122</v>
      </c>
      <c r="BK1732" s="21">
        <f t="shared" si="257"/>
        <v>-108</v>
      </c>
      <c r="BL1732" s="21">
        <f t="shared" si="258"/>
        <v>118</v>
      </c>
      <c r="BM1732" s="21">
        <f t="shared" si="259"/>
        <v>146</v>
      </c>
      <c r="BN1732" s="22">
        <f t="shared" ref="BN1732" si="421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IF(AV1732&gt;AV1733, 1-_xlpm.interp, _xlpm.interp)
)</f>
        <v>0.45041430140874383</v>
      </c>
      <c r="BO1732" s="22">
        <f t="shared" si="82"/>
        <v>0.51967890021353291</v>
      </c>
      <c r="BP1732" s="22">
        <f t="shared" si="82"/>
        <v>0.45806802330702667</v>
      </c>
      <c r="BQ1732" s="22">
        <f t="shared" si="82"/>
        <v>0.40599709686661789</v>
      </c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343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11"/>
        <v>NJD Jake Allen</v>
      </c>
      <c r="J1733" s="33" t="s">
        <v>174</v>
      </c>
      <c r="K1733" s="14">
        <v>2.96</v>
      </c>
      <c r="L1733" s="13">
        <v>0.15</v>
      </c>
      <c r="M1733" s="28">
        <v>0.1</v>
      </c>
      <c r="N1733">
        <f>IFERROR(_xlfn.XLOOKUP(A1733,Params!A:A,Params!D:D),0)</f>
        <v>0</v>
      </c>
      <c r="O1733">
        <f t="shared" ref="O1733" si="422">N1732</f>
        <v>0</v>
      </c>
      <c r="P1733" s="68">
        <f t="shared" si="231"/>
        <v>0</v>
      </c>
      <c r="Q1733">
        <f t="shared" ref="Q1733" si="423">P1732</f>
        <v>0</v>
      </c>
      <c r="R1733" s="5">
        <f t="shared" ref="R1733" si="424">N1733/W1733/X1733/Z1732/AB1732/AA1733</f>
        <v>0</v>
      </c>
      <c r="S1733" s="5">
        <f t="shared" ref="S1733" si="425">O1733/W1732/Y1733/Z1733/AA1732/AB1733</f>
        <v>0</v>
      </c>
      <c r="T1733" s="5">
        <f t="shared" ref="T1733" si="426">P1733/W1733/X1733/Z1732/AB1732</f>
        <v>0</v>
      </c>
      <c r="U1733" s="5">
        <f t="shared" ref="U1733" si="427">Q1733/W1732/Y1733/Z1733/AA1732</f>
        <v>0</v>
      </c>
      <c r="V1733" s="5">
        <f>_xlfn.XLOOKUP(H1733,'Rest - Home'!A:A,'Rest - Home'!B:B)</f>
        <v>1.0349999999999999</v>
      </c>
      <c r="W1733" s="5">
        <f>_xlfn.XLOOKUP(H1733,'Rest - Home'!A:A,'Rest - Home'!C:C)</f>
        <v>1.0329456510400874</v>
      </c>
      <c r="X1733" s="5">
        <f t="shared" ref="X1733" si="428">AM1732/K1733</f>
        <v>1.0202702702702704</v>
      </c>
      <c r="Y1733" s="5">
        <f t="shared" ref="Y1733" si="429">AK1732/K1733</f>
        <v>0.96071559173186705</v>
      </c>
      <c r="Z1733" s="5">
        <f>IF(J1733="",1,(_xlfn.XLOOKUP(I1733,Goalies!B:B,Goalies!J:J)))</f>
        <v>0.99</v>
      </c>
      <c r="AA1733" s="23">
        <f>_xlfn.XLOOKUP(E1733,Injuries!A:A,Injuries!B:B)</f>
        <v>0.99</v>
      </c>
      <c r="AB1733" s="23">
        <f>_xlfn.XLOOKUP(E1733,Injuries!A:A,Injuries!C:C)</f>
        <v>1.02</v>
      </c>
      <c r="AC1733" s="23">
        <f>_xlfn.XLOOKUP(E1733,'Game Adjustments'!A:A,'Game Adjustments'!B:B)</f>
        <v>1</v>
      </c>
      <c r="AD1733" s="23">
        <f>_xlfn.XLOOKUP(E1733,'Game Adjustments'!A:A,'Game Adjustments'!C:C)</f>
        <v>1</v>
      </c>
      <c r="AE1733" s="23">
        <f>IF(D1733="A",_xlfn.XLOOKUP(E1733,'Rest - Home'!F:F,'Rest - Home'!J:J),_xlfn.XLOOKUP(E1733,'Rest - Home'!F:F,'Rest - Home'!I:I))</f>
        <v>1</v>
      </c>
      <c r="AF1733" s="23">
        <f>IF(D1733="A",_xlfn.XLOOKUP(E1733,'Rest - Home'!F:F,'Rest - Home'!L:L),_xlfn.XLOOKUP(E1733,'Rest - Home'!F:F,'Rest - Home'!K:K))</f>
        <v>1</v>
      </c>
      <c r="AG1733" s="26">
        <v>1</v>
      </c>
      <c r="AH1733" s="26">
        <v>1</v>
      </c>
      <c r="AI1733" s="53" cm="1">
        <f t="array" ref="AI1733">MAX(IF($E$63:E1732=E1733,ROW($E$63:E1732)-MIN(ROW($E$63:E1732))+1))</f>
        <v>1640</v>
      </c>
      <c r="AJ1733" s="53" cm="1">
        <f t="array" ref="AJ1733">MAX(IF($I$105:I1732=I1733,ROW($I$105:I1732)-MIN(ROW($I$105:I1732))+1))</f>
        <v>1530</v>
      </c>
      <c r="AK1733" s="23">
        <f>IF(AI1733=0,_xlfn.XLOOKUP(E1733,'Starting GF'!A:A,'Starting GF'!B:B),INDEX($AL$63:$AL1733,AI1733))</f>
        <v>2.9329012470220683</v>
      </c>
      <c r="AL1733" s="23">
        <f t="shared" si="239"/>
        <v>2.9329012470220683</v>
      </c>
      <c r="AM1733" s="23">
        <f>IF(AI1733=0,_xlfn.XLOOKUP(E1733,'Starting GF'!A:A,'Starting GF'!C:C),INDEX($AN$63:$AN1733,AI1733))</f>
        <v>2.93</v>
      </c>
      <c r="AN1733" s="23">
        <f t="shared" si="240"/>
        <v>2.93</v>
      </c>
      <c r="AO1733" s="23">
        <f>IF(AJ1733=0,_xlfn.XLOOKUP(I1733,Goalies!B:B,Goalies!I:I),INDEX($AP$105:$AP1733,AJ1733))</f>
        <v>2.9041558423095739</v>
      </c>
      <c r="AP1733" s="23">
        <f t="shared" si="241"/>
        <v>2.9041558423095739</v>
      </c>
      <c r="AQ1733" s="23">
        <f t="shared" si="242"/>
        <v>2.9007000000000001</v>
      </c>
      <c r="AR1733" s="66">
        <v>0</v>
      </c>
      <c r="AS1733" s="96" t="s">
        <v>1591</v>
      </c>
      <c r="AT1733" s="20">
        <f t="shared" ref="AT1733" si="430">(AK1733*V1733*X1733*Z1732*AA1733*AB1732*AC1733*AD1732*AG1733*AH1732)+AR1733</f>
        <v>3.0179754427439707</v>
      </c>
      <c r="AU1733" s="20">
        <f t="shared" ref="AU1733" si="431">AT1732</f>
        <v>2.7287833644243449</v>
      </c>
      <c r="AV1733" s="12">
        <f t="shared" ref="AV1733" si="432">AK1733*W1733*X1733*Z1732*AA1733*AB1732</f>
        <v>3.0119851290127211</v>
      </c>
      <c r="AW1733" s="12">
        <f t="shared" ref="AW1733" si="433">AV1732</f>
        <v>2.7287833644243449</v>
      </c>
      <c r="AX1733" s="8">
        <f t="shared" si="247"/>
        <v>3.0179754427439707</v>
      </c>
      <c r="AY1733" s="8">
        <f t="shared" si="248"/>
        <v>2.7287833644243449</v>
      </c>
      <c r="AZ1733" s="8">
        <f t="shared" si="249"/>
        <v>5.746758807168316</v>
      </c>
      <c r="BA1733" s="8">
        <f t="shared" si="250"/>
        <v>0.28919207831962579</v>
      </c>
      <c r="BB1733" s="62">
        <f t="shared" si="251"/>
        <v>-123</v>
      </c>
      <c r="BC1733" s="21">
        <f t="shared" si="252"/>
        <v>109</v>
      </c>
      <c r="BD1733" s="21">
        <f t="shared" si="253"/>
        <v>-118</v>
      </c>
      <c r="BE1733" s="21">
        <f t="shared" si="254"/>
        <v>-146</v>
      </c>
      <c r="BF1733" s="94">
        <f t="shared" si="38"/>
        <v>0.55064544703934637</v>
      </c>
      <c r="BG1733" s="22">
        <f t="shared" ref="BG1733" si="434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0.47939577948225781</v>
      </c>
      <c r="BH1733" s="22">
        <f t="shared" ref="BH1733" si="435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0.54085667023696637</v>
      </c>
      <c r="BI1733" s="22">
        <f t="shared" ref="BI1733" si="436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0.59302691570731214</v>
      </c>
      <c r="BJ1733" s="21">
        <f t="shared" si="256"/>
        <v>-122</v>
      </c>
      <c r="BK1733" s="21">
        <f t="shared" si="257"/>
        <v>108</v>
      </c>
      <c r="BL1733" s="21">
        <f t="shared" si="258"/>
        <v>-118</v>
      </c>
      <c r="BM1733" s="21">
        <f t="shared" si="259"/>
        <v>-146</v>
      </c>
      <c r="BN1733" s="22">
        <f t="shared" si="46"/>
        <v>0.54958569859125617</v>
      </c>
      <c r="BO1733" s="22">
        <f t="shared" ref="BO1733" si="437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0.48032109978646703</v>
      </c>
      <c r="BP1733" s="22">
        <f t="shared" ref="BP1733" si="438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0.54193197669297333</v>
      </c>
      <c r="BQ1733" s="22">
        <f t="shared" ref="BQ1733" si="439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0.59400290313338211</v>
      </c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343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11"/>
        <v>CHI Spencer Knight</v>
      </c>
      <c r="J1734" s="33" t="s">
        <v>155</v>
      </c>
      <c r="K1734" s="14">
        <v>2.96</v>
      </c>
      <c r="L1734" s="13">
        <v>0.15</v>
      </c>
      <c r="M1734" s="28">
        <v>0.1</v>
      </c>
      <c r="N1734">
        <f>IFERROR(_xlfn.XLOOKUP(A1734,Params!A:A,Params!D:D),0)</f>
        <v>0</v>
      </c>
      <c r="O1734">
        <f t="shared" ref="O1734" si="440">N1735</f>
        <v>0</v>
      </c>
      <c r="P1734" s="68">
        <f t="shared" si="231"/>
        <v>0</v>
      </c>
      <c r="Q1734">
        <f t="shared" ref="Q1734" si="441">P1735</f>
        <v>0</v>
      </c>
      <c r="R1734" s="5">
        <f t="shared" ref="R1734" si="442">N1734/W1734/X1734/Z1735/AB1735/AA1734</f>
        <v>0</v>
      </c>
      <c r="S1734" s="5">
        <f t="shared" ref="S1734" si="443">O1734/W1735/Y1734/Z1734/AA1735/AB1734</f>
        <v>0</v>
      </c>
      <c r="T1734" s="5">
        <f t="shared" ref="T1734" si="444">P1734/W1734/X1734/Z1735/AB1735</f>
        <v>0</v>
      </c>
      <c r="U1734" s="5">
        <f t="shared" ref="U1734" si="445">Q1734/W1735/Y1734/Z1734/AA1735</f>
        <v>0</v>
      </c>
      <c r="V1734" s="5">
        <f>_xlfn.XLOOKUP(H1734,'Rest - Home'!A:A,'Rest - Home'!B:B)</f>
        <v>0.97</v>
      </c>
      <c r="W1734" s="5">
        <f>_xlfn.XLOOKUP(H1734,'Rest - Home'!A:A,'Rest - Home'!C:C)</f>
        <v>0.95751047349149665</v>
      </c>
      <c r="X1734" s="5">
        <f t="shared" ref="X1734" si="446">AM1735/K1734</f>
        <v>0.96283783783783783</v>
      </c>
      <c r="Y1734" s="5">
        <f t="shared" ref="Y1734" si="447">AK1735/K1734</f>
        <v>1.0590418543512807</v>
      </c>
      <c r="Z1734" s="5">
        <f>IF(J1734="",1,(_xlfn.XLOOKUP(I1734,Goalies!B:B,Goalies!J:J)))</f>
        <v>0.96</v>
      </c>
      <c r="AA1734" s="23">
        <f>_xlfn.XLOOKUP(E1734,Injuries!A:A,Injuries!B:B)</f>
        <v>0.98499999999999999</v>
      </c>
      <c r="AB1734" s="23">
        <f>_xlfn.XLOOKUP(E1734,Injuries!A:A,Injuries!C:C)</f>
        <v>1</v>
      </c>
      <c r="AC1734" s="23">
        <f>_xlfn.XLOOKUP(E1734,'Game Adjustments'!A:A,'Game Adjustments'!B:B)</f>
        <v>1</v>
      </c>
      <c r="AD1734" s="23">
        <f>_xlfn.XLOOKUP(E1734,'Game Adjustments'!A:A,'Game Adjustments'!C:C)</f>
        <v>1</v>
      </c>
      <c r="AE1734" s="23">
        <f>IF(D1734="A",_xlfn.XLOOKUP(E1734,'Rest - Home'!F:F,'Rest - Home'!J:J),_xlfn.XLOOKUP(E1734,'Rest - Home'!F:F,'Rest - Home'!I:I))</f>
        <v>1</v>
      </c>
      <c r="AF1734" s="23">
        <f>IF(D1734="A",_xlfn.XLOOKUP(E1734,'Rest - Home'!F:F,'Rest - Home'!L:L),_xlfn.XLOOKUP(E1734,'Rest - Home'!F:F,'Rest - Home'!K:K))</f>
        <v>1</v>
      </c>
      <c r="AG1734" s="26">
        <v>1</v>
      </c>
      <c r="AH1734" s="26">
        <v>1</v>
      </c>
      <c r="AI1734" s="53" cm="1">
        <f t="array" ref="AI1734">MAX(IF($E$63:E1733=E1734,ROW($E$63:E1733)-MIN(ROW($E$63:E1733))+1))</f>
        <v>1647</v>
      </c>
      <c r="AJ1734" s="53" cm="1">
        <f t="array" ref="AJ1734">MAX(IF($I$105:I1733=I1734,ROW($I$105:I1733)-MIN(ROW($I$105:I1733))+1))</f>
        <v>1605</v>
      </c>
      <c r="AK1734" s="23">
        <f>IF(AI1734=0,_xlfn.XLOOKUP(E1734,'Starting GF'!A:A,'Starting GF'!B:B),INDEX($AL$63:$AL1734,AI1734))</f>
        <v>2.681119315077674</v>
      </c>
      <c r="AL1734" s="23">
        <f t="shared" si="239"/>
        <v>2.681119315077674</v>
      </c>
      <c r="AM1734" s="23">
        <f>IF(AI1734=0,_xlfn.XLOOKUP(E1734,'Starting GF'!A:A,'Starting GF'!C:C),INDEX($AN$63:$AN1734,AI1734))</f>
        <v>3.3282189382010956</v>
      </c>
      <c r="AN1734" s="23">
        <f t="shared" si="240"/>
        <v>3.3282189382010956</v>
      </c>
      <c r="AO1734" s="23">
        <f>IF(AJ1734=0,_xlfn.XLOOKUP(I1734,Goalies!B:B,Goalies!I:I),INDEX($AP$105:$AP1734,AJ1734))</f>
        <v>3.2645452440178637</v>
      </c>
      <c r="AP1734" s="23">
        <f t="shared" si="241"/>
        <v>3.2645452440178637</v>
      </c>
      <c r="AQ1734" s="23">
        <f t="shared" si="242"/>
        <v>3.1950901806730516</v>
      </c>
      <c r="AR1734" s="66">
        <v>-0.03</v>
      </c>
      <c r="AS1734" s="96" t="s">
        <v>1591</v>
      </c>
      <c r="AT1734" s="20">
        <f t="shared" ref="AT1734" si="448">(AK1734*V1734*X1734*Z1735*AA1734*AB1735*AC1734*AD1735*AG1734*AH1735)+AR1734</f>
        <v>2.5736142307690639</v>
      </c>
      <c r="AU1734" s="20">
        <f t="shared" ref="AU1734" si="449">AT1735</f>
        <v>3.5660022700987377</v>
      </c>
      <c r="AV1734" s="12">
        <f t="shared" ref="AV1734" si="450">AK1734*V1734*X1734*Z1735*AA1734*AB1735</f>
        <v>2.6036142307690637</v>
      </c>
      <c r="AW1734" s="12">
        <f t="shared" ref="AW1734" si="451">AV1735</f>
        <v>3.5186581962049455</v>
      </c>
      <c r="AX1734" s="8">
        <f t="shared" si="247"/>
        <v>2.5736142307690639</v>
      </c>
      <c r="AY1734" s="8">
        <f t="shared" si="248"/>
        <v>3.5660022700987377</v>
      </c>
      <c r="AZ1734" s="8">
        <f t="shared" si="249"/>
        <v>6.1396165008678016</v>
      </c>
      <c r="BA1734" s="8">
        <f t="shared" si="250"/>
        <v>-0.99238803932967379</v>
      </c>
      <c r="BB1734" s="62">
        <f t="shared" si="251"/>
        <v>189</v>
      </c>
      <c r="BC1734" s="21">
        <f t="shared" si="252"/>
        <v>-140</v>
      </c>
      <c r="BD1734" s="21">
        <f t="shared" si="253"/>
        <v>-112</v>
      </c>
      <c r="BE1734" s="21">
        <f t="shared" si="254"/>
        <v>114</v>
      </c>
      <c r="BF1734" s="94">
        <f t="shared" ref="BF1734" si="452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IF(AT1734&gt;AT1735, 1-_xlpm.interp, _xlpm.interp)
)</f>
        <v>0.3462109186128226</v>
      </c>
      <c r="BG1734" s="22">
        <f t="shared" si="76"/>
        <v>0.58343026164501288</v>
      </c>
      <c r="BH1734" s="22">
        <f t="shared" si="76"/>
        <v>0.52878472112012465</v>
      </c>
      <c r="BI1734" s="22">
        <f t="shared" si="76"/>
        <v>0.4674464340665575</v>
      </c>
      <c r="BJ1734" s="21">
        <f t="shared" si="256"/>
        <v>181</v>
      </c>
      <c r="BK1734" s="21">
        <f t="shared" si="257"/>
        <v>-138</v>
      </c>
      <c r="BL1734" s="21">
        <f t="shared" si="258"/>
        <v>-111</v>
      </c>
      <c r="BM1734" s="21">
        <f t="shared" si="259"/>
        <v>115</v>
      </c>
      <c r="BN1734" s="22">
        <f t="shared" ref="BN1734" si="453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IF(AV1734&gt;AV1735, 1-_xlpm.interp, _xlpm.interp)
)</f>
        <v>0.35626168067003178</v>
      </c>
      <c r="BO1734" s="22">
        <f t="shared" si="82"/>
        <v>0.58015377099713528</v>
      </c>
      <c r="BP1734" s="22">
        <f t="shared" si="82"/>
        <v>0.52528404058718681</v>
      </c>
      <c r="BQ1734" s="22">
        <f t="shared" si="82"/>
        <v>0.46456202280475167</v>
      </c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343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11"/>
        <v>MIN Jesper Wallstedt</v>
      </c>
      <c r="J1735" s="33" t="s">
        <v>229</v>
      </c>
      <c r="K1735" s="14">
        <v>2.96</v>
      </c>
      <c r="L1735" s="13">
        <v>0.15</v>
      </c>
      <c r="M1735" s="28">
        <v>0.1</v>
      </c>
      <c r="N1735">
        <f>IFERROR(_xlfn.XLOOKUP(A1735,Params!A:A,Params!D:D),0)</f>
        <v>0</v>
      </c>
      <c r="O1735">
        <f t="shared" ref="O1735" si="454">N1734</f>
        <v>0</v>
      </c>
      <c r="P1735" s="68">
        <f t="shared" si="231"/>
        <v>0</v>
      </c>
      <c r="Q1735">
        <f t="shared" ref="Q1735" si="455">P1734</f>
        <v>0</v>
      </c>
      <c r="R1735" s="5">
        <f t="shared" ref="R1735" si="456">N1735/W1735/X1735/Z1734/AB1734/AA1735</f>
        <v>0</v>
      </c>
      <c r="S1735" s="5">
        <f t="shared" ref="S1735" si="457">O1735/W1734/Y1735/Z1735/AA1734/AB1735</f>
        <v>0</v>
      </c>
      <c r="T1735" s="5">
        <f t="shared" ref="T1735" si="458">P1735/W1735/X1735/Z1734/AB1734</f>
        <v>0</v>
      </c>
      <c r="U1735" s="5">
        <f t="shared" ref="U1735" si="459">Q1735/W1734/Y1735/Z1735/AA1734</f>
        <v>0</v>
      </c>
      <c r="V1735" s="5">
        <f>_xlfn.XLOOKUP(H1735,'Rest - Home'!A:A,'Rest - Home'!B:B)</f>
        <v>1.0449999999999999</v>
      </c>
      <c r="W1735" s="5">
        <f>_xlfn.XLOOKUP(H1735,'Rest - Home'!A:A,'Rest - Home'!C:C)</f>
        <v>1.0398742800952707</v>
      </c>
      <c r="X1735" s="5">
        <f t="shared" ref="X1735" si="460">AM1734/K1735</f>
        <v>1.1243982899328027</v>
      </c>
      <c r="Y1735" s="5">
        <f t="shared" ref="Y1735" si="461">AK1734/K1735</f>
        <v>0.90578355239110608</v>
      </c>
      <c r="Z1735" s="5">
        <f>IF(J1735="",1,(_xlfn.XLOOKUP(I1735,Goalies!B:B,Goalies!J:J)))</f>
        <v>1.0149999999999999</v>
      </c>
      <c r="AA1735" s="23">
        <f>_xlfn.XLOOKUP(E1735,Injuries!A:A,Injuries!B:B)</f>
        <v>1</v>
      </c>
      <c r="AB1735" s="23">
        <f>_xlfn.XLOOKUP(E1735,Injuries!A:A,Injuries!C:C)</f>
        <v>1.04</v>
      </c>
      <c r="AC1735" s="23">
        <f>_xlfn.XLOOKUP(E1735,'Game Adjustments'!A:A,'Game Adjustments'!B:B)</f>
        <v>1</v>
      </c>
      <c r="AD1735" s="23">
        <f>_xlfn.XLOOKUP(E1735,'Game Adjustments'!A:A,'Game Adjustments'!C:C)</f>
        <v>1</v>
      </c>
      <c r="AE1735" s="23">
        <f>IF(D1735="A",_xlfn.XLOOKUP(E1735,'Rest - Home'!F:F,'Rest - Home'!J:J),_xlfn.XLOOKUP(E1735,'Rest - Home'!F:F,'Rest - Home'!I:I))</f>
        <v>1</v>
      </c>
      <c r="AF1735" s="23">
        <f>IF(D1735="A",_xlfn.XLOOKUP(E1735,'Rest - Home'!F:F,'Rest - Home'!L:L),_xlfn.XLOOKUP(E1735,'Rest - Home'!F:F,'Rest - Home'!K:K))</f>
        <v>1</v>
      </c>
      <c r="AG1735" s="26">
        <v>1</v>
      </c>
      <c r="AH1735" s="26">
        <v>1</v>
      </c>
      <c r="AI1735" s="53" cm="1">
        <f t="array" ref="AI1735">MAX(IF($E$63:E1734=E1735,ROW($E$63:E1734)-MIN(ROW($E$63:E1734))+1))</f>
        <v>1635</v>
      </c>
      <c r="AJ1735" s="53" cm="1">
        <f t="array" ref="AJ1735">MAX(IF($I$105:I1734=I1735,ROW($I$105:I1734)-MIN(ROW($I$105:I1734))+1))</f>
        <v>1518</v>
      </c>
      <c r="AK1735" s="23">
        <f>IF(AI1735=0,_xlfn.XLOOKUP(E1735,'Starting GF'!A:A,'Starting GF'!B:B),INDEX($AL$63:$AL1735,AI1735))</f>
        <v>3.1347638888797911</v>
      </c>
      <c r="AL1735" s="23">
        <f t="shared" si="239"/>
        <v>3.1347638888797911</v>
      </c>
      <c r="AM1735" s="23">
        <f>IF(AI1735=0,_xlfn.XLOOKUP(E1735,'Starting GF'!A:A,'Starting GF'!C:C),INDEX($AN$63:$AN1735,AI1735))</f>
        <v>2.85</v>
      </c>
      <c r="AN1735" s="23">
        <f t="shared" si="240"/>
        <v>2.85</v>
      </c>
      <c r="AO1735" s="23">
        <f>IF(AJ1735=0,_xlfn.XLOOKUP(I1735,Goalies!B:B,Goalies!I:I),INDEX($AP$105:$AP1735,AJ1735))</f>
        <v>2.9256307176243252</v>
      </c>
      <c r="AP1735" s="23">
        <f t="shared" si="241"/>
        <v>2.9256307176243252</v>
      </c>
      <c r="AQ1735" s="23">
        <f t="shared" si="242"/>
        <v>2.8927499999999999</v>
      </c>
      <c r="AR1735" s="66">
        <v>0.03</v>
      </c>
      <c r="AS1735" s="96" t="s">
        <v>1591</v>
      </c>
      <c r="AT1735" s="20">
        <f t="shared" ref="AT1735" si="462">(AK1735*V1735*X1735*Z1734*AA1735*AB1734*AC1735*AD1734*AG1735*AH1734)+AR1735</f>
        <v>3.5660022700987377</v>
      </c>
      <c r="AU1735" s="20">
        <f t="shared" ref="AU1735" si="463">AT1734</f>
        <v>2.5736142307690639</v>
      </c>
      <c r="AV1735" s="12">
        <f t="shared" ref="AV1735" si="464">AK1735*W1735*X1735*Z1734*AA1735*AB1734</f>
        <v>3.5186581962049455</v>
      </c>
      <c r="AW1735" s="12">
        <f t="shared" ref="AW1735" si="465">AV1734</f>
        <v>2.6036142307690637</v>
      </c>
      <c r="AX1735" s="8">
        <f t="shared" si="247"/>
        <v>3.5660022700987377</v>
      </c>
      <c r="AY1735" s="8">
        <f t="shared" si="248"/>
        <v>2.5736142307690639</v>
      </c>
      <c r="AZ1735" s="8">
        <f t="shared" si="249"/>
        <v>6.1396165008678016</v>
      </c>
      <c r="BA1735" s="8">
        <f t="shared" si="250"/>
        <v>0.99238803932967379</v>
      </c>
      <c r="BB1735" s="62">
        <f t="shared" si="251"/>
        <v>-189</v>
      </c>
      <c r="BC1735" s="21">
        <f t="shared" si="252"/>
        <v>140</v>
      </c>
      <c r="BD1735" s="21">
        <f t="shared" si="253"/>
        <v>112</v>
      </c>
      <c r="BE1735" s="21">
        <f t="shared" si="254"/>
        <v>-114</v>
      </c>
      <c r="BF1735" s="94">
        <f t="shared" si="38"/>
        <v>0.6537890813871774</v>
      </c>
      <c r="BG1735" s="22">
        <f t="shared" ref="BG1735" si="466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0.41656973835498706</v>
      </c>
      <c r="BH1735" s="22">
        <f t="shared" ref="BH1735" si="467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0.47121527887987535</v>
      </c>
      <c r="BI1735" s="22">
        <f t="shared" ref="BI1735" si="468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0.5325535659334425</v>
      </c>
      <c r="BJ1735" s="21">
        <f t="shared" si="256"/>
        <v>-181</v>
      </c>
      <c r="BK1735" s="21">
        <f t="shared" si="257"/>
        <v>138</v>
      </c>
      <c r="BL1735" s="21">
        <f t="shared" si="258"/>
        <v>111</v>
      </c>
      <c r="BM1735" s="21">
        <f t="shared" si="259"/>
        <v>-115</v>
      </c>
      <c r="BN1735" s="22">
        <f t="shared" si="46"/>
        <v>0.64373831932996817</v>
      </c>
      <c r="BO1735" s="22">
        <f t="shared" ref="BO1735" si="469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0.41984622900286472</v>
      </c>
      <c r="BP1735" s="22">
        <f t="shared" ref="BP1735" si="470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0.47471595941281325</v>
      </c>
      <c r="BQ1735" s="22">
        <f t="shared" ref="BQ1735" si="471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0.53543797719524833</v>
      </c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343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11"/>
        <v>DAL Jake Oettinger</v>
      </c>
      <c r="J1736" s="33" t="s">
        <v>160</v>
      </c>
      <c r="K1736" s="14">
        <v>2.96</v>
      </c>
      <c r="L1736" s="13">
        <v>0.15</v>
      </c>
      <c r="M1736" s="28">
        <v>0.1</v>
      </c>
      <c r="N1736">
        <f>IFERROR(_xlfn.XLOOKUP(A1736,Params!A:A,Params!D:D),0)</f>
        <v>0</v>
      </c>
      <c r="O1736">
        <f t="shared" ref="O1736" si="472">N1737</f>
        <v>0</v>
      </c>
      <c r="P1736" s="68">
        <f t="shared" si="231"/>
        <v>0</v>
      </c>
      <c r="Q1736">
        <f t="shared" ref="Q1736" si="473">P1737</f>
        <v>0</v>
      </c>
      <c r="R1736" s="5">
        <f t="shared" ref="R1736" si="474">N1736/W1736/X1736/Z1737/AB1737/AA1736</f>
        <v>0</v>
      </c>
      <c r="S1736" s="5">
        <f t="shared" ref="S1736" si="475">O1736/W1737/Y1736/Z1736/AA1737/AB1736</f>
        <v>0</v>
      </c>
      <c r="T1736" s="5">
        <f t="shared" ref="T1736" si="476">P1736/W1736/X1736/Z1737/AB1737</f>
        <v>0</v>
      </c>
      <c r="U1736" s="5">
        <f t="shared" ref="U1736" si="477">Q1736/W1737/Y1736/Z1736/AA1737</f>
        <v>0</v>
      </c>
      <c r="V1736" s="5">
        <f>_xlfn.XLOOKUP(H1736,'Rest - Home'!A:A,'Rest - Home'!B:B)</f>
        <v>0.96</v>
      </c>
      <c r="W1736" s="5">
        <f>_xlfn.XLOOKUP(H1736,'Rest - Home'!A:A,'Rest - Home'!C:C)</f>
        <v>0.95702751457800772</v>
      </c>
      <c r="X1736" s="5">
        <f t="shared" ref="X1736" si="478">AM1737/K1736</f>
        <v>1.0478232145531188</v>
      </c>
      <c r="Y1736" s="5">
        <f t="shared" ref="Y1736" si="479">AK1737/K1736</f>
        <v>0.92834497482911127</v>
      </c>
      <c r="Z1736" s="5">
        <f>IF(J1736="",1,(_xlfn.XLOOKUP(I1736,Goalies!B:B,Goalies!J:J)))</f>
        <v>0.995</v>
      </c>
      <c r="AA1736" s="23">
        <f>_xlfn.XLOOKUP(E1736,Injuries!A:A,Injuries!B:B)</f>
        <v>1</v>
      </c>
      <c r="AB1736" s="23">
        <f>_xlfn.XLOOKUP(E1736,Injuries!A:A,Injuries!C:C)</f>
        <v>1</v>
      </c>
      <c r="AC1736" s="23">
        <f>_xlfn.XLOOKUP(E1736,'Game Adjustments'!A:A,'Game Adjustments'!B:B)</f>
        <v>1</v>
      </c>
      <c r="AD1736" s="23">
        <f>_xlfn.XLOOKUP(E1736,'Game Adjustments'!A:A,'Game Adjustments'!C:C)</f>
        <v>1</v>
      </c>
      <c r="AE1736" s="23">
        <f>IF(D1736="A",_xlfn.XLOOKUP(E1736,'Rest - Home'!F:F,'Rest - Home'!J:J),_xlfn.XLOOKUP(E1736,'Rest - Home'!F:F,'Rest - Home'!I:I))</f>
        <v>1</v>
      </c>
      <c r="AF1736" s="23">
        <f>IF(D1736="A",_xlfn.XLOOKUP(E1736,'Rest - Home'!F:F,'Rest - Home'!L:L),_xlfn.XLOOKUP(E1736,'Rest - Home'!F:F,'Rest - Home'!K:K))</f>
        <v>1</v>
      </c>
      <c r="AG1736" s="26">
        <v>1</v>
      </c>
      <c r="AH1736" s="26">
        <v>1</v>
      </c>
      <c r="AI1736" s="53" cm="1">
        <f t="array" ref="AI1736">MAX(IF($E$63:E1735=E1736,ROW($E$63:E1735)-MIN(ROW($E$63:E1735))+1))</f>
        <v>1609</v>
      </c>
      <c r="AJ1736" s="53" cm="1">
        <f t="array" ref="AJ1736">MAX(IF($I$105:I1735=I1736,ROW($I$105:I1735)-MIN(ROW($I$105:I1735))+1))</f>
        <v>1567</v>
      </c>
      <c r="AK1736" s="23">
        <f>IF(AI1736=0,_xlfn.XLOOKUP(E1736,'Starting GF'!A:A,'Starting GF'!B:B),INDEX($AL$63:$AL1736,AI1736))</f>
        <v>3.07</v>
      </c>
      <c r="AL1736" s="23">
        <f t="shared" si="239"/>
        <v>3.07</v>
      </c>
      <c r="AM1736" s="23">
        <f>IF(AI1736=0,_xlfn.XLOOKUP(E1736,'Starting GF'!A:A,'Starting GF'!C:C),INDEX($AN$63:$AN1736,AI1736))</f>
        <v>2.864462044918513</v>
      </c>
      <c r="AN1736" s="23">
        <f t="shared" si="240"/>
        <v>2.864462044918513</v>
      </c>
      <c r="AO1736" s="23">
        <f>IF(AJ1736=0,_xlfn.XLOOKUP(I1736,Goalies!B:B,Goalies!I:I),INDEX($AP$105:$AP1736,AJ1736))</f>
        <v>2.859016583827271</v>
      </c>
      <c r="AP1736" s="23">
        <f t="shared" si="241"/>
        <v>2.859016583827271</v>
      </c>
      <c r="AQ1736" s="23">
        <f t="shared" si="242"/>
        <v>2.8501397346939203</v>
      </c>
      <c r="AR1736" s="66">
        <v>0.03</v>
      </c>
      <c r="AS1736" s="96" t="s">
        <v>1591</v>
      </c>
      <c r="AT1736" s="20">
        <f t="shared" ref="AT1736" si="480">(AK1736*V1736*X1736*Z1737*AA1736*AB1737*AC1736*AD1737*AG1736*AH1737)+AR1736</f>
        <v>3.2114065441844661</v>
      </c>
      <c r="AU1736" s="20">
        <f t="shared" ref="AU1736" si="481">AT1737</f>
        <v>2.5255549747198662</v>
      </c>
      <c r="AV1736" s="12">
        <f t="shared" ref="AV1736" si="482">AK1736*V1736*X1736*Z1737*AA1736*AB1737</f>
        <v>3.1814065441844663</v>
      </c>
      <c r="AW1736" s="12">
        <f t="shared" ref="AW1736" si="483">AV1737</f>
        <v>2.5689619152723493</v>
      </c>
      <c r="AX1736" s="8">
        <f t="shared" si="247"/>
        <v>3.2114065441844661</v>
      </c>
      <c r="AY1736" s="8">
        <f t="shared" si="248"/>
        <v>2.5255549747198662</v>
      </c>
      <c r="AZ1736" s="8">
        <f t="shared" si="249"/>
        <v>5.7369615189043319</v>
      </c>
      <c r="BA1736" s="8">
        <f t="shared" si="250"/>
        <v>0.68585156946459991</v>
      </c>
      <c r="BB1736" s="62">
        <f t="shared" si="251"/>
        <v>-158</v>
      </c>
      <c r="BC1736" s="21">
        <f t="shared" si="252"/>
        <v>-107</v>
      </c>
      <c r="BD1736" s="21">
        <f t="shared" si="253"/>
        <v>119</v>
      </c>
      <c r="BE1736" s="21">
        <f t="shared" si="254"/>
        <v>148</v>
      </c>
      <c r="BF1736" s="94">
        <f t="shared" ref="BF1736" si="484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IF(AT1736&gt;AT1737, 1-_xlpm.interp, _xlpm.interp)
)</f>
        <v>0.61235603711838316</v>
      </c>
      <c r="BG1736" s="22">
        <f t="shared" si="76"/>
        <v>0.51780271438452397</v>
      </c>
      <c r="BH1736" s="22">
        <f t="shared" si="76"/>
        <v>0.4557312120464555</v>
      </c>
      <c r="BI1736" s="22">
        <f t="shared" si="76"/>
        <v>0.40375513512614436</v>
      </c>
      <c r="BJ1736" s="21">
        <f t="shared" si="256"/>
        <v>-150</v>
      </c>
      <c r="BK1736" s="21">
        <f t="shared" si="257"/>
        <v>-109</v>
      </c>
      <c r="BL1736" s="21">
        <f t="shared" si="258"/>
        <v>118</v>
      </c>
      <c r="BM1736" s="21">
        <f t="shared" si="259"/>
        <v>146</v>
      </c>
      <c r="BN1736" s="22">
        <f t="shared" ref="BN1736" si="485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IF(AV1736&gt;AV1737, 1-_xlpm.interp, _xlpm.interp)
)</f>
        <v>0.60070361768173763</v>
      </c>
      <c r="BO1736" s="22">
        <f t="shared" si="82"/>
        <v>0.52050102744924243</v>
      </c>
      <c r="BP1736" s="22">
        <f t="shared" si="82"/>
        <v>0.45890512597723521</v>
      </c>
      <c r="BQ1736" s="22">
        <f t="shared" si="82"/>
        <v>0.40666133732577181</v>
      </c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343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11"/>
        <v>STL Jordan Binnington</v>
      </c>
      <c r="J1737" s="33" t="s">
        <v>186</v>
      </c>
      <c r="K1737" s="14">
        <v>2.96</v>
      </c>
      <c r="L1737" s="13">
        <v>0.15</v>
      </c>
      <c r="M1737" s="28">
        <v>0.1</v>
      </c>
      <c r="N1737">
        <f>IFERROR(_xlfn.XLOOKUP(A1737,Params!A:A,Params!D:D),0)</f>
        <v>0</v>
      </c>
      <c r="O1737">
        <f t="shared" ref="O1737" si="486">N1736</f>
        <v>0</v>
      </c>
      <c r="P1737" s="68">
        <f t="shared" si="231"/>
        <v>0</v>
      </c>
      <c r="Q1737">
        <f t="shared" ref="Q1737" si="487">P1736</f>
        <v>0</v>
      </c>
      <c r="R1737" s="5">
        <f t="shared" ref="R1737" si="488">N1737/W1737/X1737/Z1736/AB1736/AA1737</f>
        <v>0</v>
      </c>
      <c r="S1737" s="5">
        <f t="shared" ref="S1737" si="489">O1737/W1736/Y1737/Z1737/AA1736/AB1737</f>
        <v>0</v>
      </c>
      <c r="T1737" s="5">
        <f t="shared" ref="T1737" si="490">P1737/W1737/X1737/Z1736/AB1736</f>
        <v>0</v>
      </c>
      <c r="U1737" s="5">
        <f t="shared" ref="U1737" si="491">Q1737/W1736/Y1737/Z1737/AA1736</f>
        <v>0</v>
      </c>
      <c r="V1737" s="5">
        <f>_xlfn.XLOOKUP(H1737,'Rest - Home'!A:A,'Rest - Home'!B:B)</f>
        <v>1.0275000000000001</v>
      </c>
      <c r="W1737" s="5">
        <f>_xlfn.XLOOKUP(H1737,'Rest - Home'!A:A,'Rest - Home'!C:C)</f>
        <v>1.0328904656929507</v>
      </c>
      <c r="X1737" s="5">
        <f t="shared" ref="X1737" si="492">AM1736/K1737</f>
        <v>0.96772366382382191</v>
      </c>
      <c r="Y1737" s="5">
        <f t="shared" ref="Y1737" si="493">AK1736/K1737</f>
        <v>1.0371621621621621</v>
      </c>
      <c r="Z1737" s="5">
        <f>IF(J1737="",1,(_xlfn.XLOOKUP(I1737,Goalies!B:B,Goalies!J:J)))</f>
        <v>1.02</v>
      </c>
      <c r="AA1737" s="23">
        <f>_xlfn.XLOOKUP(E1737,Injuries!A:A,Injuries!B:B)</f>
        <v>0.94</v>
      </c>
      <c r="AB1737" s="23">
        <f>_xlfn.XLOOKUP(E1737,Injuries!A:A,Injuries!C:C)</f>
        <v>1.01</v>
      </c>
      <c r="AC1737" s="23">
        <f>_xlfn.XLOOKUP(E1737,'Game Adjustments'!A:A,'Game Adjustments'!B:B)</f>
        <v>1</v>
      </c>
      <c r="AD1737" s="23">
        <f>_xlfn.XLOOKUP(E1737,'Game Adjustments'!A:A,'Game Adjustments'!C:C)</f>
        <v>1</v>
      </c>
      <c r="AE1737" s="23">
        <f>IF(D1737="A",_xlfn.XLOOKUP(E1737,'Rest - Home'!F:F,'Rest - Home'!J:J),_xlfn.XLOOKUP(E1737,'Rest - Home'!F:F,'Rest - Home'!I:I))</f>
        <v>1</v>
      </c>
      <c r="AF1737" s="23">
        <f>IF(D1737="A",_xlfn.XLOOKUP(E1737,'Rest - Home'!F:F,'Rest - Home'!L:L),_xlfn.XLOOKUP(E1737,'Rest - Home'!F:F,'Rest - Home'!K:K))</f>
        <v>1</v>
      </c>
      <c r="AG1737" s="26">
        <v>1</v>
      </c>
      <c r="AH1737" s="26">
        <v>1</v>
      </c>
      <c r="AI1737" s="53" cm="1">
        <f t="array" ref="AI1737">MAX(IF($E$63:E1736=E1737,ROW($E$63:E1736)-MIN(ROW($E$63:E1736))+1))</f>
        <v>1633</v>
      </c>
      <c r="AJ1737" s="53" cm="1">
        <f t="array" ref="AJ1737">MAX(IF($I$105:I1736=I1737,ROW($I$105:I1736)-MIN(ROW($I$105:I1736))+1))</f>
        <v>1566</v>
      </c>
      <c r="AK1737" s="23">
        <f>IF(AI1737=0,_xlfn.XLOOKUP(E1737,'Starting GF'!A:A,'Starting GF'!B:B),INDEX($AL$63:$AL1737,AI1737))</f>
        <v>2.7479011254941694</v>
      </c>
      <c r="AL1737" s="23">
        <f t="shared" si="239"/>
        <v>2.7479011254941694</v>
      </c>
      <c r="AM1737" s="23">
        <f>IF(AI1737=0,_xlfn.XLOOKUP(E1737,'Starting GF'!A:A,'Starting GF'!C:C),INDEX($AN$63:$AN1737,AI1737))</f>
        <v>3.1015567150772316</v>
      </c>
      <c r="AN1737" s="23">
        <f t="shared" si="240"/>
        <v>3.1015567150772316</v>
      </c>
      <c r="AO1737" s="23">
        <f>IF(AJ1737=0,_xlfn.XLOOKUP(I1737,Goalies!B:B,Goalies!I:I),INDEX($AP$105:$AP1737,AJ1737))</f>
        <v>3.0774034771664205</v>
      </c>
      <c r="AP1737" s="23">
        <f t="shared" si="241"/>
        <v>3.0774034771664205</v>
      </c>
      <c r="AQ1737" s="23">
        <f t="shared" si="242"/>
        <v>3.1635878493787764</v>
      </c>
      <c r="AR1737" s="66">
        <v>-0.03</v>
      </c>
      <c r="AS1737" s="96" t="s">
        <v>1591</v>
      </c>
      <c r="AT1737" s="20">
        <f t="shared" ref="AT1737" si="494">(AK1737*V1737*X1737*Z1736*AA1737*AB1736*AC1737*AD1736*AG1737*AH1736)+AR1737</f>
        <v>2.5255549747198662</v>
      </c>
      <c r="AU1737" s="20">
        <f t="shared" ref="AU1737" si="495">AT1736</f>
        <v>3.2114065441844661</v>
      </c>
      <c r="AV1737" s="12">
        <f t="shared" ref="AV1737" si="496">AK1737*W1737*X1737*Z1736*AA1737*AB1736</f>
        <v>2.5689619152723493</v>
      </c>
      <c r="AW1737" s="12">
        <f t="shared" ref="AW1737" si="497">AV1736</f>
        <v>3.1814065441844663</v>
      </c>
      <c r="AX1737" s="8">
        <f t="shared" si="247"/>
        <v>2.5255549747198662</v>
      </c>
      <c r="AY1737" s="8">
        <f t="shared" si="248"/>
        <v>3.2114065441844661</v>
      </c>
      <c r="AZ1737" s="8">
        <f t="shared" si="249"/>
        <v>5.7369615189043319</v>
      </c>
      <c r="BA1737" s="8">
        <f t="shared" si="250"/>
        <v>-0.68585156946459991</v>
      </c>
      <c r="BB1737" s="62">
        <f t="shared" si="251"/>
        <v>158</v>
      </c>
      <c r="BC1737" s="21">
        <f t="shared" si="252"/>
        <v>107</v>
      </c>
      <c r="BD1737" s="21">
        <f t="shared" si="253"/>
        <v>-119</v>
      </c>
      <c r="BE1737" s="21">
        <f t="shared" si="254"/>
        <v>-148</v>
      </c>
      <c r="BF1737" s="94">
        <f t="shared" si="38"/>
        <v>0.38764396288161684</v>
      </c>
      <c r="BG1737" s="22">
        <f t="shared" ref="BG1737" si="498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0.48219728561547603</v>
      </c>
      <c r="BH1737" s="22">
        <f t="shared" ref="BH1737" si="499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0.5442687879535445</v>
      </c>
      <c r="BI1737" s="22">
        <f t="shared" ref="BI1737" si="500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0.59624486487385564</v>
      </c>
      <c r="BJ1737" s="21">
        <f t="shared" si="256"/>
        <v>150</v>
      </c>
      <c r="BK1737" s="21">
        <f t="shared" si="257"/>
        <v>109</v>
      </c>
      <c r="BL1737" s="21">
        <f t="shared" si="258"/>
        <v>-118</v>
      </c>
      <c r="BM1737" s="21">
        <f t="shared" si="259"/>
        <v>-146</v>
      </c>
      <c r="BN1737" s="22">
        <f t="shared" si="46"/>
        <v>0.39929638231826237</v>
      </c>
      <c r="BO1737" s="22">
        <f t="shared" ref="BO1737" si="501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0.47949897255075757</v>
      </c>
      <c r="BP1737" s="22">
        <f t="shared" ref="BP1737" si="502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0.54109487402276479</v>
      </c>
      <c r="BQ1737" s="22">
        <f t="shared" ref="BQ1737" si="503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0.59333866267422819</v>
      </c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343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11"/>
        <v xml:space="preserve">SJS </v>
      </c>
      <c r="K1738" s="14">
        <v>2.96</v>
      </c>
      <c r="L1738" s="13">
        <v>0.15</v>
      </c>
      <c r="M1738" s="28">
        <v>0.1</v>
      </c>
      <c r="N1738">
        <f>IFERROR(_xlfn.XLOOKUP(A1738,Params!A:A,Params!D:D),0)</f>
        <v>0</v>
      </c>
      <c r="O1738">
        <f t="shared" ref="O1738" si="504">N1739</f>
        <v>0</v>
      </c>
      <c r="P1738" s="68">
        <f t="shared" si="231"/>
        <v>0</v>
      </c>
      <c r="Q1738">
        <f t="shared" ref="Q1738" si="505">P1739</f>
        <v>0</v>
      </c>
      <c r="R1738" s="5">
        <f t="shared" ref="R1738" si="506">N1738/W1738/X1738/Z1739/AB1739/AA1738</f>
        <v>0</v>
      </c>
      <c r="S1738" s="5">
        <f t="shared" ref="S1738" si="507">O1738/W1739/Y1738/Z1738/AA1739/AB1738</f>
        <v>0</v>
      </c>
      <c r="T1738" s="5">
        <f t="shared" ref="T1738" si="508">P1738/W1738/X1738/Z1739/AB1739</f>
        <v>0</v>
      </c>
      <c r="U1738" s="5">
        <f t="shared" ref="U1738" si="509">Q1738/W1739/Y1738/Z1738/AA1739</f>
        <v>0</v>
      </c>
      <c r="V1738" s="5">
        <f>_xlfn.XLOOKUP(H1738,'Rest - Home'!A:A,'Rest - Home'!B:B)</f>
        <v>0.96</v>
      </c>
      <c r="W1738" s="5">
        <f>_xlfn.XLOOKUP(H1738,'Rest - Home'!A:A,'Rest - Home'!C:C)</f>
        <v>0.96305398776725637</v>
      </c>
      <c r="X1738" s="5">
        <f t="shared" ref="X1738" si="510">AM1739/K1738</f>
        <v>1.0980026209514586</v>
      </c>
      <c r="Y1738" s="5">
        <f t="shared" ref="Y1738" si="511">AK1739/K1738</f>
        <v>0.91879287710123836</v>
      </c>
      <c r="Z1738" s="5">
        <f>IF(J1738="",1,(_xlfn.XLOOKUP(I1738,Goalies!B:B,Goalies!J:J)))</f>
        <v>1</v>
      </c>
      <c r="AA1738" s="23">
        <f>_xlfn.XLOOKUP(E1738,Injuries!A:A,Injuries!B:B)</f>
        <v>0.98499999999999999</v>
      </c>
      <c r="AB1738" s="23">
        <f>_xlfn.XLOOKUP(E1738,Injuries!A:A,Injuries!C:C)</f>
        <v>1</v>
      </c>
      <c r="AC1738" s="23">
        <f>_xlfn.XLOOKUP(E1738,'Game Adjustments'!A:A,'Game Adjustments'!B:B)</f>
        <v>1</v>
      </c>
      <c r="AD1738" s="23">
        <f>_xlfn.XLOOKUP(E1738,'Game Adjustments'!A:A,'Game Adjustments'!C:C)</f>
        <v>1</v>
      </c>
      <c r="AE1738" s="23">
        <f>IF(D1738="A",_xlfn.XLOOKUP(E1738,'Rest - Home'!F:F,'Rest - Home'!J:J),_xlfn.XLOOKUP(E1738,'Rest - Home'!F:F,'Rest - Home'!I:I))</f>
        <v>1</v>
      </c>
      <c r="AF1738" s="23">
        <f>IF(D1738="A",_xlfn.XLOOKUP(E1738,'Rest - Home'!F:F,'Rest - Home'!L:L),_xlfn.XLOOKUP(E1738,'Rest - Home'!F:F,'Rest - Home'!K:K))</f>
        <v>1</v>
      </c>
      <c r="AG1738" s="26">
        <v>1</v>
      </c>
      <c r="AH1738" s="26">
        <v>1</v>
      </c>
      <c r="AI1738" s="53" cm="1">
        <f t="array" ref="AI1738">MAX(IF($E$63:E1737=E1738,ROW($E$63:E1737)-MIN(ROW($E$63:E1737))+1))</f>
        <v>1619</v>
      </c>
      <c r="AJ1738" s="53" cm="1">
        <f t="array" ref="AJ1738">MAX(IF($I$105:I1737=I1738,ROW($I$105:I1737)-MIN(ROW($I$105:I1737))+1))</f>
        <v>0</v>
      </c>
      <c r="AK1738" s="23">
        <f>IF(AI1738=0,_xlfn.XLOOKUP(E1738,'Starting GF'!A:A,'Starting GF'!B:B),INDEX($AL$63:$AL1738,AI1738))</f>
        <v>2.98</v>
      </c>
      <c r="AL1738" s="23">
        <f t="shared" si="239"/>
        <v>2.98</v>
      </c>
      <c r="AM1738" s="23">
        <f>IF(AI1738=0,_xlfn.XLOOKUP(E1738,'Starting GF'!A:A,'Starting GF'!C:C),INDEX($AN$63:$AN1738,AI1738))</f>
        <v>3.35</v>
      </c>
      <c r="AN1738" s="23">
        <f t="shared" si="240"/>
        <v>3.35</v>
      </c>
      <c r="AO1738" s="23" t="e">
        <f>IF(AJ1738=0,_xlfn.XLOOKUP(I1738,Goalies!B:B,Goalies!I:I),INDEX($AP$105:$AP1738,AJ1738))</f>
        <v>#N/A</v>
      </c>
      <c r="AP1738" s="23" t="e">
        <f t="shared" si="241"/>
        <v>#N/A</v>
      </c>
      <c r="AQ1738" s="23">
        <f t="shared" si="242"/>
        <v>3.35</v>
      </c>
      <c r="AR1738" s="66">
        <v>0.03</v>
      </c>
      <c r="AS1738" s="96" t="s">
        <v>1589</v>
      </c>
      <c r="AT1738" s="20">
        <f t="shared" ref="AT1738" si="512">(AK1738*V1738*X1738*Z1739*AA1738*AB1739*AC1738*AD1739*AG1738*AH1739)+AR1738</f>
        <v>3.2806072590707749</v>
      </c>
      <c r="AU1738" s="20">
        <f t="shared" ref="AU1738" si="513">AT1739</f>
        <v>2.9804719499571584</v>
      </c>
      <c r="AV1738" s="12">
        <f t="shared" ref="AV1738" si="514">AK1738*V1738*X1738*Z1739*AA1738*AB1739</f>
        <v>3.2506072590707751</v>
      </c>
      <c r="AW1738" s="12">
        <f t="shared" ref="AW1738" si="515">AV1739</f>
        <v>3.0044965297453321</v>
      </c>
      <c r="AX1738" s="8">
        <f t="shared" si="247"/>
        <v>3.2806072590707749</v>
      </c>
      <c r="AY1738" s="8">
        <f t="shared" si="248"/>
        <v>2.9804719499571584</v>
      </c>
      <c r="AZ1738" s="8">
        <f t="shared" si="249"/>
        <v>6.2610792090279332</v>
      </c>
      <c r="BA1738" s="8">
        <f t="shared" si="250"/>
        <v>0.30013530911361652</v>
      </c>
      <c r="BB1738" s="62">
        <f t="shared" si="251"/>
        <v>-123</v>
      </c>
      <c r="BC1738" s="21">
        <f t="shared" si="252"/>
        <v>-152</v>
      </c>
      <c r="BD1738" s="21">
        <f t="shared" si="253"/>
        <v>-124</v>
      </c>
      <c r="BE1738" s="21">
        <f t="shared" si="254"/>
        <v>103</v>
      </c>
      <c r="BF1738" s="94">
        <f t="shared" ref="BF1738" si="516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IF(AT1738&gt;AT1739, 1-_xlpm.interp, _xlpm.interp)
)</f>
        <v>0.55126684741858034</v>
      </c>
      <c r="BG1738" s="22">
        <f t="shared" si="76"/>
        <v>0.60331047457455644</v>
      </c>
      <c r="BH1738" s="22">
        <f t="shared" si="76"/>
        <v>0.55341341719478809</v>
      </c>
      <c r="BI1738" s="22">
        <f t="shared" si="76"/>
        <v>0.49158920023203878</v>
      </c>
      <c r="BJ1738" s="21">
        <f t="shared" si="256"/>
        <v>-119</v>
      </c>
      <c r="BK1738" s="21">
        <f t="shared" si="257"/>
        <v>-152</v>
      </c>
      <c r="BL1738" s="21">
        <f t="shared" si="258"/>
        <v>-124</v>
      </c>
      <c r="BM1738" s="21">
        <f t="shared" si="259"/>
        <v>104</v>
      </c>
      <c r="BN1738" s="22">
        <f t="shared" ref="BN1738" si="517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IF(AV1738&gt;AV1739, 1-_xlpm.interp, _xlpm.interp)
)</f>
        <v>0.54245006755097058</v>
      </c>
      <c r="BO1738" s="22">
        <f t="shared" si="82"/>
        <v>0.60303332832515366</v>
      </c>
      <c r="BP1738" s="22">
        <f t="shared" si="82"/>
        <v>0.55290271441285022</v>
      </c>
      <c r="BQ1738" s="22">
        <f t="shared" si="82"/>
        <v>0.49090971750025914</v>
      </c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343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11"/>
        <v>VAN Kevin Lankinen</v>
      </c>
      <c r="J1739" s="33" t="s">
        <v>194</v>
      </c>
      <c r="K1739" s="14">
        <v>2.96</v>
      </c>
      <c r="L1739" s="13">
        <v>0.15</v>
      </c>
      <c r="M1739" s="28">
        <v>0.1</v>
      </c>
      <c r="N1739">
        <f>IFERROR(_xlfn.XLOOKUP(A1739,Params!A:A,Params!D:D),0)</f>
        <v>0</v>
      </c>
      <c r="O1739">
        <f t="shared" ref="O1739" si="518">N1738</f>
        <v>0</v>
      </c>
      <c r="P1739" s="68">
        <f t="shared" si="231"/>
        <v>0</v>
      </c>
      <c r="Q1739">
        <f t="shared" ref="Q1739" si="519">P1738</f>
        <v>0</v>
      </c>
      <c r="R1739" s="5">
        <f t="shared" ref="R1739" si="520">N1739/W1739/X1739/Z1738/AB1738/AA1739</f>
        <v>0</v>
      </c>
      <c r="S1739" s="5">
        <f t="shared" ref="S1739" si="521">O1739/W1738/Y1739/Z1739/AA1738/AB1739</f>
        <v>0</v>
      </c>
      <c r="T1739" s="5">
        <f t="shared" ref="T1739" si="522">P1739/W1739/X1739/Z1738/AB1738</f>
        <v>0</v>
      </c>
      <c r="U1739" s="5">
        <f t="shared" ref="U1739" si="523">Q1739/W1738/Y1739/Z1739/AA1738</f>
        <v>0</v>
      </c>
      <c r="V1739" s="5">
        <f>_xlfn.XLOOKUP(H1739,'Rest - Home'!A:A,'Rest - Home'!B:B)</f>
        <v>1.0349999999999999</v>
      </c>
      <c r="W1739" s="5">
        <f>_xlfn.XLOOKUP(H1739,'Rest - Home'!A:A,'Rest - Home'!C:C)</f>
        <v>1.0329456510400874</v>
      </c>
      <c r="X1739" s="5">
        <f t="shared" ref="X1739" si="524">AM1738/K1739</f>
        <v>1.1317567567567568</v>
      </c>
      <c r="Y1739" s="5">
        <f t="shared" ref="Y1739" si="525">AK1738/K1739</f>
        <v>1.0067567567567568</v>
      </c>
      <c r="Z1739" s="5">
        <f>IF(J1739="",1,(_xlfn.XLOOKUP(I1739,Goalies!B:B,Goalies!J:J)))</f>
        <v>1.03</v>
      </c>
      <c r="AA1739" s="23">
        <f>_xlfn.XLOOKUP(E1739,Injuries!A:A,Injuries!B:B)</f>
        <v>0.94499999999999995</v>
      </c>
      <c r="AB1739" s="23">
        <f>_xlfn.XLOOKUP(E1739,Injuries!A:A,Injuries!C:C)</f>
        <v>1.02</v>
      </c>
      <c r="AC1739" s="23">
        <f>_xlfn.XLOOKUP(E1739,'Game Adjustments'!A:A,'Game Adjustments'!B:B)</f>
        <v>1</v>
      </c>
      <c r="AD1739" s="23">
        <f>_xlfn.XLOOKUP(E1739,'Game Adjustments'!A:A,'Game Adjustments'!C:C)</f>
        <v>1</v>
      </c>
      <c r="AE1739" s="23">
        <f>IF(D1739="A",_xlfn.XLOOKUP(E1739,'Rest - Home'!F:F,'Rest - Home'!J:J),_xlfn.XLOOKUP(E1739,'Rest - Home'!F:F,'Rest - Home'!I:I))</f>
        <v>1</v>
      </c>
      <c r="AF1739" s="23">
        <f>IF(D1739="A",_xlfn.XLOOKUP(E1739,'Rest - Home'!F:F,'Rest - Home'!L:L),_xlfn.XLOOKUP(E1739,'Rest - Home'!F:F,'Rest - Home'!K:K))</f>
        <v>1</v>
      </c>
      <c r="AG1739" s="26">
        <v>1</v>
      </c>
      <c r="AH1739" s="26">
        <v>1</v>
      </c>
      <c r="AI1739" s="53" cm="1">
        <f t="array" ref="AI1739">MAX(IF($E$63:E1738=E1739,ROW($E$63:E1738)-MIN(ROW($E$63:E1738))+1))</f>
        <v>1645</v>
      </c>
      <c r="AJ1739" s="53" cm="1">
        <f t="array" ref="AJ1739">MAX(IF($I$105:I1738=I1739,ROW($I$105:I1738)-MIN(ROW($I$105:I1738))+1))</f>
        <v>1603</v>
      </c>
      <c r="AK1739" s="23">
        <f>IF(AI1739=0,_xlfn.XLOOKUP(E1739,'Starting GF'!A:A,'Starting GF'!B:B),INDEX($AL$63:$AL1739,AI1739))</f>
        <v>2.7196269162196653</v>
      </c>
      <c r="AL1739" s="23">
        <f t="shared" si="239"/>
        <v>2.7196269162196653</v>
      </c>
      <c r="AM1739" s="23">
        <f>IF(AI1739=0,_xlfn.XLOOKUP(E1739,'Starting GF'!A:A,'Starting GF'!C:C),INDEX($AN$63:$AN1739,AI1739))</f>
        <v>3.2500877580163174</v>
      </c>
      <c r="AN1739" s="23">
        <f t="shared" si="240"/>
        <v>3.2500877580163174</v>
      </c>
      <c r="AO1739" s="23">
        <f>IF(AJ1739=0,_xlfn.XLOOKUP(I1739,Goalies!B:B,Goalies!I:I),INDEX($AP$105:$AP1739,AJ1739))</f>
        <v>3.3465643915433794</v>
      </c>
      <c r="AP1739" s="23">
        <f t="shared" si="241"/>
        <v>3.3465643915433794</v>
      </c>
      <c r="AQ1739" s="23">
        <f t="shared" si="242"/>
        <v>3.3475903907568072</v>
      </c>
      <c r="AR1739" s="66">
        <v>-0.03</v>
      </c>
      <c r="AS1739" s="96" t="s">
        <v>1589</v>
      </c>
      <c r="AT1739" s="20">
        <f t="shared" ref="AT1739" si="526">(AK1739*V1739*X1739*Z1738*AA1739*AB1738*AC1739*AD1738*AG1739*AH1738)+AR1739</f>
        <v>2.9804719499571584</v>
      </c>
      <c r="AU1739" s="20">
        <f t="shared" ref="AU1739" si="527">AT1738</f>
        <v>3.2806072590707749</v>
      </c>
      <c r="AV1739" s="12">
        <f t="shared" ref="AV1739" si="528">AK1739*W1739*X1739*Z1738*AA1739*AB1738</f>
        <v>3.0044965297453321</v>
      </c>
      <c r="AW1739" s="12">
        <f t="shared" ref="AW1739" si="529">AV1738</f>
        <v>3.2506072590707751</v>
      </c>
      <c r="AX1739" s="8">
        <f t="shared" si="247"/>
        <v>2.9804719499571584</v>
      </c>
      <c r="AY1739" s="8">
        <f t="shared" si="248"/>
        <v>3.2806072590707749</v>
      </c>
      <c r="AZ1739" s="8">
        <f t="shared" si="249"/>
        <v>6.2610792090279332</v>
      </c>
      <c r="BA1739" s="8">
        <f t="shared" si="250"/>
        <v>-0.30013530911361652</v>
      </c>
      <c r="BB1739" s="62">
        <f t="shared" si="251"/>
        <v>123</v>
      </c>
      <c r="BC1739" s="21">
        <f t="shared" si="252"/>
        <v>152</v>
      </c>
      <c r="BD1739" s="21">
        <f t="shared" si="253"/>
        <v>124</v>
      </c>
      <c r="BE1739" s="21">
        <f t="shared" si="254"/>
        <v>-103</v>
      </c>
      <c r="BF1739" s="94">
        <f t="shared" si="38"/>
        <v>0.44873315258141966</v>
      </c>
      <c r="BG1739" s="22">
        <f t="shared" ref="BG1739" si="530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0.39668952542544356</v>
      </c>
      <c r="BH1739" s="22">
        <f t="shared" ref="BH1739" si="531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0.44658658280521191</v>
      </c>
      <c r="BI1739" s="22">
        <f t="shared" ref="BI1739" si="532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0.50841079976796122</v>
      </c>
      <c r="BJ1739" s="21">
        <f t="shared" si="256"/>
        <v>119</v>
      </c>
      <c r="BK1739" s="21">
        <f t="shared" si="257"/>
        <v>152</v>
      </c>
      <c r="BL1739" s="21">
        <f t="shared" si="258"/>
        <v>124</v>
      </c>
      <c r="BM1739" s="21">
        <f t="shared" si="259"/>
        <v>-104</v>
      </c>
      <c r="BN1739" s="22">
        <f t="shared" si="46"/>
        <v>0.45754993244902942</v>
      </c>
      <c r="BO1739" s="22">
        <f t="shared" ref="BO1739" si="533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0.39696667167484639</v>
      </c>
      <c r="BP1739" s="22">
        <f t="shared" ref="BP1739" si="534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0.44709728558714978</v>
      </c>
      <c r="BQ1739" s="22">
        <f t="shared" ref="BQ1739" si="535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0.50909028249974086</v>
      </c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343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11"/>
        <v>WSH Logan Thompson</v>
      </c>
      <c r="J1740" s="33" t="s">
        <v>197</v>
      </c>
      <c r="K1740" s="14">
        <v>2.96</v>
      </c>
      <c r="L1740" s="13">
        <v>0.15</v>
      </c>
      <c r="M1740" s="28">
        <v>0.1</v>
      </c>
      <c r="N1740">
        <f>IFERROR(_xlfn.XLOOKUP(A1740,Params!A:A,Params!D:D),0)</f>
        <v>0</v>
      </c>
      <c r="O1740">
        <f t="shared" ref="O1740" si="536">N1741</f>
        <v>0</v>
      </c>
      <c r="P1740" s="68">
        <f t="shared" si="231"/>
        <v>0</v>
      </c>
      <c r="Q1740">
        <f t="shared" ref="Q1740" si="537">P1741</f>
        <v>0</v>
      </c>
      <c r="R1740" s="5">
        <f t="shared" ref="R1740" si="538">N1740/W1740/X1740/Z1741/AB1741/AA1740</f>
        <v>0</v>
      </c>
      <c r="S1740" s="5">
        <f t="shared" ref="S1740" si="539">O1740/W1741/Y1740/Z1740/AA1741/AB1740</f>
        <v>0</v>
      </c>
      <c r="T1740" s="5">
        <f t="shared" ref="T1740" si="540">P1740/W1740/X1740/Z1741/AB1741</f>
        <v>0</v>
      </c>
      <c r="U1740" s="5">
        <f t="shared" ref="U1740" si="541">Q1740/W1741/Y1740/Z1740/AA1741</f>
        <v>0</v>
      </c>
      <c r="V1740" s="5">
        <f>_xlfn.XLOOKUP(H1740,'Rest - Home'!A:A,'Rest - Home'!B:B)</f>
        <v>0.96</v>
      </c>
      <c r="W1740" s="5">
        <f>_xlfn.XLOOKUP(H1740,'Rest - Home'!A:A,'Rest - Home'!C:C)</f>
        <v>0.96305398776725637</v>
      </c>
      <c r="X1740" s="5">
        <f t="shared" ref="X1740" si="542">AM1741/K1740</f>
        <v>1.0719683198663079</v>
      </c>
      <c r="Y1740" s="5">
        <f t="shared" ref="Y1740" si="543">AK1741/K1740</f>
        <v>0.90878378378378377</v>
      </c>
      <c r="Z1740" s="5">
        <f>IF(J1740="",1,(_xlfn.XLOOKUP(I1740,Goalies!B:B,Goalies!J:J)))</f>
        <v>0.97499999999999998</v>
      </c>
      <c r="AA1740" s="23">
        <f>_xlfn.XLOOKUP(E1740,Injuries!A:A,Injuries!B:B)</f>
        <v>0.99</v>
      </c>
      <c r="AB1740" s="23">
        <f>_xlfn.XLOOKUP(E1740,Injuries!A:A,Injuries!C:C)</f>
        <v>1.01</v>
      </c>
      <c r="AC1740" s="23">
        <f>_xlfn.XLOOKUP(E1740,'Game Adjustments'!A:A,'Game Adjustments'!B:B)</f>
        <v>1</v>
      </c>
      <c r="AD1740" s="23">
        <f>_xlfn.XLOOKUP(E1740,'Game Adjustments'!A:A,'Game Adjustments'!C:C)</f>
        <v>1</v>
      </c>
      <c r="AE1740" s="23">
        <f>IF(D1740="A",_xlfn.XLOOKUP(E1740,'Rest - Home'!F:F,'Rest - Home'!J:J),_xlfn.XLOOKUP(E1740,'Rest - Home'!F:F,'Rest - Home'!I:I))</f>
        <v>1</v>
      </c>
      <c r="AF1740" s="23">
        <f>IF(D1740="A",_xlfn.XLOOKUP(E1740,'Rest - Home'!F:F,'Rest - Home'!L:L),_xlfn.XLOOKUP(E1740,'Rest - Home'!F:F,'Rest - Home'!K:K))</f>
        <v>1</v>
      </c>
      <c r="AG1740" s="26">
        <v>1</v>
      </c>
      <c r="AH1740" s="26">
        <v>1</v>
      </c>
      <c r="AI1740" s="53" cm="1">
        <f t="array" ref="AI1740">MAX(IF($E$63:E1739=E1740,ROW($E$63:E1739)-MIN(ROW($E$63:E1739))+1))</f>
        <v>1636</v>
      </c>
      <c r="AJ1740" s="53" cm="1">
        <f t="array" ref="AJ1740">MAX(IF($I$105:I1739=I1740,ROW($I$105:I1739)-MIN(ROW($I$105:I1739))+1))</f>
        <v>1570</v>
      </c>
      <c r="AK1740" s="23">
        <f>IF(AI1740=0,_xlfn.XLOOKUP(E1740,'Starting GF'!A:A,'Starting GF'!B:B),INDEX($AL$63:$AL1740,AI1740))</f>
        <v>3.07</v>
      </c>
      <c r="AL1740" s="23">
        <f t="shared" si="239"/>
        <v>3.07</v>
      </c>
      <c r="AM1740" s="23">
        <f>IF(AI1740=0,_xlfn.XLOOKUP(E1740,'Starting GF'!A:A,'Starting GF'!C:C),INDEX($AN$63:$AN1740,AI1740))</f>
        <v>3.02</v>
      </c>
      <c r="AN1740" s="23">
        <f t="shared" si="240"/>
        <v>3.02</v>
      </c>
      <c r="AO1740" s="23">
        <f>IF(AJ1740=0,_xlfn.XLOOKUP(I1740,Goalies!B:B,Goalies!I:I),INDEX($AP$105:$AP1740,AJ1740))</f>
        <v>2.9680040122825937</v>
      </c>
      <c r="AP1740" s="23">
        <f t="shared" si="241"/>
        <v>2.9680040122825937</v>
      </c>
      <c r="AQ1740" s="23">
        <f t="shared" si="242"/>
        <v>2.9445000000000001</v>
      </c>
      <c r="AR1740" s="66">
        <v>0</v>
      </c>
      <c r="AS1740" s="96" t="s">
        <v>1591</v>
      </c>
      <c r="AT1740" s="20">
        <f t="shared" ref="AT1740" si="544">(AK1740*V1740*X1740*Z1741*AA1740*AB1741*AC1740*AD1741*AG1740*AH1741)+AR1740</f>
        <v>3.1277119819868822</v>
      </c>
      <c r="AU1740" s="20">
        <f t="shared" ref="AU1740" si="545">AT1741</f>
        <v>2.7972665445101352</v>
      </c>
      <c r="AV1740" s="12">
        <f t="shared" ref="AV1740" si="546">AK1740*V1740*X1740*Z1741*AA1740*AB1741</f>
        <v>3.1277119819868822</v>
      </c>
      <c r="AW1740" s="12">
        <f t="shared" ref="AW1740" si="547">AV1741</f>
        <v>2.7917143110644225</v>
      </c>
      <c r="AX1740" s="8">
        <f t="shared" si="247"/>
        <v>3.1277119819868822</v>
      </c>
      <c r="AY1740" s="8">
        <f t="shared" si="248"/>
        <v>2.7972665445101352</v>
      </c>
      <c r="AZ1740" s="8">
        <f t="shared" si="249"/>
        <v>5.9249785264970178</v>
      </c>
      <c r="BA1740" s="8">
        <f t="shared" si="250"/>
        <v>0.33044543747674693</v>
      </c>
      <c r="BB1740" s="62">
        <f t="shared" si="251"/>
        <v>-124</v>
      </c>
      <c r="BC1740" s="21">
        <f t="shared" si="252"/>
        <v>-121</v>
      </c>
      <c r="BD1740" s="21">
        <f t="shared" si="253"/>
        <v>104</v>
      </c>
      <c r="BE1740" s="21">
        <f t="shared" si="254"/>
        <v>130</v>
      </c>
      <c r="BF1740" s="94">
        <f t="shared" ref="BF1740" si="548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IF(AT1740&gt;AT1741, 1-_xlpm.interp, _xlpm.interp)
)</f>
        <v>0.55415421440781132</v>
      </c>
      <c r="BG1740" s="22">
        <f t="shared" si="76"/>
        <v>0.54792046324425869</v>
      </c>
      <c r="BH1740" s="22">
        <f t="shared" si="76"/>
        <v>0.48970762677306034</v>
      </c>
      <c r="BI1740" s="22">
        <f t="shared" si="76"/>
        <v>0.4338405454899702</v>
      </c>
      <c r="BJ1740" s="21">
        <f t="shared" si="256"/>
        <v>-125</v>
      </c>
      <c r="BK1740" s="21">
        <f t="shared" si="257"/>
        <v>-121</v>
      </c>
      <c r="BL1740" s="21">
        <f t="shared" si="258"/>
        <v>104</v>
      </c>
      <c r="BM1740" s="21">
        <f t="shared" si="259"/>
        <v>131</v>
      </c>
      <c r="BN1740" s="22">
        <f t="shared" ref="BN1740" si="549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IF(AV1740&gt;AV1741, 1-_xlpm.interp, _xlpm.interp)
)</f>
        <v>0.55542194579042747</v>
      </c>
      <c r="BO1740" s="22">
        <f t="shared" si="82"/>
        <v>0.54723789305707693</v>
      </c>
      <c r="BP1740" s="22">
        <f t="shared" si="82"/>
        <v>0.48904167690425937</v>
      </c>
      <c r="BQ1740" s="22">
        <f t="shared" si="82"/>
        <v>0.43333730481801358</v>
      </c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343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11"/>
        <v>SEA Joey Daccord</v>
      </c>
      <c r="J1741" s="33" t="s">
        <v>184</v>
      </c>
      <c r="K1741" s="14">
        <v>2.96</v>
      </c>
      <c r="L1741" s="13">
        <v>0.15</v>
      </c>
      <c r="M1741" s="28">
        <v>0.1</v>
      </c>
      <c r="N1741">
        <f>IFERROR(_xlfn.XLOOKUP(A1741,Params!A:A,Params!D:D),0)</f>
        <v>0</v>
      </c>
      <c r="O1741">
        <f t="shared" ref="O1741" si="550">N1740</f>
        <v>0</v>
      </c>
      <c r="P1741" s="68">
        <f t="shared" si="231"/>
        <v>0</v>
      </c>
      <c r="Q1741">
        <f t="shared" ref="Q1741" si="551">P1740</f>
        <v>0</v>
      </c>
      <c r="R1741" s="5">
        <f t="shared" ref="R1741" si="552">N1741/W1741/X1741/Z1740/AB1740/AA1741</f>
        <v>0</v>
      </c>
      <c r="S1741" s="5">
        <f t="shared" ref="S1741" si="553">O1741/W1740/Y1741/Z1741/AA1740/AB1741</f>
        <v>0</v>
      </c>
      <c r="T1741" s="5">
        <f t="shared" ref="T1741" si="554">P1741/W1741/X1741/Z1740/AB1740</f>
        <v>0</v>
      </c>
      <c r="U1741" s="5">
        <f t="shared" ref="U1741" si="555">Q1741/W1740/Y1741/Z1741/AA1740</f>
        <v>0</v>
      </c>
      <c r="V1741" s="5">
        <f>_xlfn.XLOOKUP(H1741,'Rest - Home'!A:A,'Rest - Home'!B:B)</f>
        <v>1.0349999999999999</v>
      </c>
      <c r="W1741" s="5">
        <f>_xlfn.XLOOKUP(H1741,'Rest - Home'!A:A,'Rest - Home'!C:C)</f>
        <v>1.0329456510400874</v>
      </c>
      <c r="X1741" s="5">
        <f t="shared" ref="X1741" si="556">AM1740/K1741</f>
        <v>1.0202702702702704</v>
      </c>
      <c r="Y1741" s="5">
        <f t="shared" ref="Y1741" si="557">AK1740/K1741</f>
        <v>1.0371621621621621</v>
      </c>
      <c r="Z1741" s="5">
        <f>IF(J1741="",1,(_xlfn.XLOOKUP(I1741,Goalies!B:B,Goalies!J:J)))</f>
        <v>1</v>
      </c>
      <c r="AA1741" s="23">
        <f>_xlfn.XLOOKUP(E1741,Injuries!A:A,Injuries!B:B)</f>
        <v>1</v>
      </c>
      <c r="AB1741" s="23">
        <f>_xlfn.XLOOKUP(E1741,Injuries!A:A,Injuries!C:C)</f>
        <v>1</v>
      </c>
      <c r="AC1741" s="23">
        <f>_xlfn.XLOOKUP(E1741,'Game Adjustments'!A:A,'Game Adjustments'!B:B)</f>
        <v>1</v>
      </c>
      <c r="AD1741" s="23">
        <f>_xlfn.XLOOKUP(E1741,'Game Adjustments'!A:A,'Game Adjustments'!C:C)</f>
        <v>1</v>
      </c>
      <c r="AE1741" s="23">
        <f>IF(D1741="A",_xlfn.XLOOKUP(E1741,'Rest - Home'!F:F,'Rest - Home'!J:J),_xlfn.XLOOKUP(E1741,'Rest - Home'!F:F,'Rest - Home'!I:I))</f>
        <v>1</v>
      </c>
      <c r="AF1741" s="23">
        <f>IF(D1741="A",_xlfn.XLOOKUP(E1741,'Rest - Home'!F:F,'Rest - Home'!L:L),_xlfn.XLOOKUP(E1741,'Rest - Home'!F:F,'Rest - Home'!K:K))</f>
        <v>1</v>
      </c>
      <c r="AG1741" s="26">
        <v>1</v>
      </c>
      <c r="AH1741" s="26">
        <v>1</v>
      </c>
      <c r="AI1741" s="53" cm="1">
        <f t="array" ref="AI1741">MAX(IF($E$63:E1740=E1741,ROW($E$63:E1740)-MIN(ROW($E$63:E1740))+1))</f>
        <v>1641</v>
      </c>
      <c r="AJ1741" s="53" cm="1">
        <f t="array" ref="AJ1741">MAX(IF($I$105:I1740=I1741,ROW($I$105:I1740)-MIN(ROW($I$105:I1740))+1))</f>
        <v>1599</v>
      </c>
      <c r="AK1741" s="23">
        <f>IF(AI1741=0,_xlfn.XLOOKUP(E1741,'Starting GF'!A:A,'Starting GF'!B:B),INDEX($AL$63:$AL1741,AI1741))</f>
        <v>2.69</v>
      </c>
      <c r="AL1741" s="23">
        <f t="shared" si="239"/>
        <v>2.69</v>
      </c>
      <c r="AM1741" s="23">
        <f>IF(AI1741=0,_xlfn.XLOOKUP(E1741,'Starting GF'!A:A,'Starting GF'!C:C),INDEX($AN$63:$AN1741,AI1741))</f>
        <v>3.1730262268042715</v>
      </c>
      <c r="AN1741" s="23">
        <f t="shared" si="240"/>
        <v>3.1730262268042715</v>
      </c>
      <c r="AO1741" s="23">
        <f>IF(AJ1741=0,_xlfn.XLOOKUP(I1741,Goalies!B:B,Goalies!I:I),INDEX($AP$105:$AP1741,AJ1741))</f>
        <v>3.1935391060809</v>
      </c>
      <c r="AP1741" s="23">
        <f t="shared" si="241"/>
        <v>3.1935391060809</v>
      </c>
      <c r="AQ1741" s="23">
        <f t="shared" si="242"/>
        <v>3.1730262268042715</v>
      </c>
      <c r="AR1741" s="66">
        <v>0</v>
      </c>
      <c r="AS1741" s="96" t="s">
        <v>1591</v>
      </c>
      <c r="AT1741" s="20">
        <f t="shared" ref="AT1741" si="558">(AK1741*V1741*X1741*Z1740*AA1741*AB1740*AC1741*AD1740*AG1741*AH1740)+AR1741</f>
        <v>2.7972665445101352</v>
      </c>
      <c r="AU1741" s="20">
        <f t="shared" ref="AU1741" si="559">AT1740</f>
        <v>3.1277119819868822</v>
      </c>
      <c r="AV1741" s="12">
        <f t="shared" ref="AV1741" si="560">AK1741*W1741*X1741*Z1740*AA1741*AB1740</f>
        <v>2.7917143110644225</v>
      </c>
      <c r="AW1741" s="12">
        <f t="shared" ref="AW1741" si="561">AV1740</f>
        <v>3.1277119819868822</v>
      </c>
      <c r="AX1741" s="8">
        <f t="shared" si="247"/>
        <v>2.7972665445101352</v>
      </c>
      <c r="AY1741" s="8">
        <f t="shared" si="248"/>
        <v>3.1277119819868822</v>
      </c>
      <c r="AZ1741" s="8">
        <f t="shared" si="249"/>
        <v>5.9249785264970178</v>
      </c>
      <c r="BA1741" s="8">
        <f t="shared" si="250"/>
        <v>-0.33044543747674693</v>
      </c>
      <c r="BB1741" s="62">
        <f t="shared" si="251"/>
        <v>124</v>
      </c>
      <c r="BC1741" s="21">
        <f t="shared" si="252"/>
        <v>121</v>
      </c>
      <c r="BD1741" s="21">
        <f t="shared" si="253"/>
        <v>-104</v>
      </c>
      <c r="BE1741" s="21">
        <f t="shared" si="254"/>
        <v>-130</v>
      </c>
      <c r="BF1741" s="94">
        <f t="shared" si="38"/>
        <v>0.44584578559218868</v>
      </c>
      <c r="BG1741" s="22">
        <f t="shared" ref="BG1741" si="562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0.45207953675574131</v>
      </c>
      <c r="BH1741" s="22">
        <f t="shared" ref="BH1741" si="563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0.51029237322693966</v>
      </c>
      <c r="BI1741" s="22">
        <f t="shared" ref="BI1741" si="564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0.5661594545100298</v>
      </c>
      <c r="BJ1741" s="21">
        <f t="shared" si="256"/>
        <v>125</v>
      </c>
      <c r="BK1741" s="21">
        <f t="shared" si="257"/>
        <v>121</v>
      </c>
      <c r="BL1741" s="21">
        <f t="shared" si="258"/>
        <v>-104</v>
      </c>
      <c r="BM1741" s="21">
        <f t="shared" si="259"/>
        <v>-131</v>
      </c>
      <c r="BN1741" s="22">
        <f t="shared" si="46"/>
        <v>0.44457805420957253</v>
      </c>
      <c r="BO1741" s="22">
        <f t="shared" ref="BO1741" si="565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0.45276210694292313</v>
      </c>
      <c r="BP1741" s="22">
        <f t="shared" ref="BP1741" si="566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0.51095832309574063</v>
      </c>
      <c r="BQ1741" s="22">
        <f t="shared" ref="BQ1741" si="567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0.56666269518198642</v>
      </c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343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36</v>
      </c>
      <c r="I1742" t="str">
        <f t="shared" si="211"/>
        <v xml:space="preserve">PHI </v>
      </c>
      <c r="K1742" s="14">
        <v>2.96</v>
      </c>
      <c r="L1742" s="13">
        <v>0.15</v>
      </c>
      <c r="M1742" s="28">
        <v>0.1</v>
      </c>
      <c r="N1742">
        <f>IFERROR(_xlfn.XLOOKUP(A1742,Params!A:A,Params!D:D),0)</f>
        <v>0</v>
      </c>
      <c r="O1742">
        <f t="shared" ref="O1742" si="568">N1743</f>
        <v>0</v>
      </c>
      <c r="P1742" s="68">
        <f t="shared" ref="P1742:P1747" si="569">N1742</f>
        <v>0</v>
      </c>
      <c r="Q1742">
        <f t="shared" ref="Q1742" si="570">P1743</f>
        <v>0</v>
      </c>
      <c r="R1742" s="5">
        <f t="shared" ref="R1742" si="571">N1742/W1742/X1742/Z1743/AB1743/AA1742</f>
        <v>0</v>
      </c>
      <c r="S1742" s="5">
        <f t="shared" ref="S1742" si="572">O1742/W1743/Y1742/Z1742/AA1743/AB1742</f>
        <v>0</v>
      </c>
      <c r="T1742" s="5">
        <f t="shared" ref="T1742" si="573">P1742/W1742/X1742/Z1743/AB1743</f>
        <v>0</v>
      </c>
      <c r="U1742" s="5">
        <f t="shared" ref="U1742" si="574">Q1742/W1743/Y1742/Z1742/AA1743</f>
        <v>0</v>
      </c>
      <c r="V1742" s="5">
        <f>_xlfn.XLOOKUP(H1742,'Rest - Home'!A:A,'Rest - Home'!B:B)</f>
        <v>0.97</v>
      </c>
      <c r="W1742" s="5">
        <f>_xlfn.XLOOKUP(H1742,'Rest - Home'!A:A,'Rest - Home'!C:C)</f>
        <v>0.95751047349149665</v>
      </c>
      <c r="X1742" s="5">
        <f t="shared" ref="X1742" si="575">AM1743/K1742</f>
        <v>1.060810810810811</v>
      </c>
      <c r="Y1742" s="5">
        <f t="shared" ref="Y1742" si="576">AK1743/K1742</f>
        <v>1.027027027027027</v>
      </c>
      <c r="Z1742" s="5">
        <f>IF(J1742="",1,(_xlfn.XLOOKUP(I1742,Goalies!B:B,Goalies!J:J)))</f>
        <v>1</v>
      </c>
      <c r="AA1742" s="23">
        <f>_xlfn.XLOOKUP(E1742,Injuries!A:A,Injuries!B:B)</f>
        <v>0.99</v>
      </c>
      <c r="AB1742" s="23">
        <f>_xlfn.XLOOKUP(E1742,Injuries!A:A,Injuries!C:C)</f>
        <v>1</v>
      </c>
      <c r="AC1742" s="23">
        <f>_xlfn.XLOOKUP(E1742,'Game Adjustments'!A:A,'Game Adjustments'!B:B)</f>
        <v>1</v>
      </c>
      <c r="AD1742" s="23">
        <f>_xlfn.XLOOKUP(E1742,'Game Adjustments'!A:A,'Game Adjustments'!C:C)</f>
        <v>1</v>
      </c>
      <c r="AE1742" s="23">
        <f>IF(D1742="A",_xlfn.XLOOKUP(E1742,'Rest - Home'!F:F,'Rest - Home'!J:J),_xlfn.XLOOKUP(E1742,'Rest - Home'!F:F,'Rest - Home'!I:I))</f>
        <v>1</v>
      </c>
      <c r="AF1742" s="23">
        <f>IF(D1742="A",_xlfn.XLOOKUP(E1742,'Rest - Home'!F:F,'Rest - Home'!L:L),_xlfn.XLOOKUP(E1742,'Rest - Home'!F:F,'Rest - Home'!K:K))</f>
        <v>1</v>
      </c>
      <c r="AG1742" s="26">
        <v>1</v>
      </c>
      <c r="AH1742" s="26">
        <v>1</v>
      </c>
      <c r="AI1742" s="53" cm="1">
        <f t="array" ref="AI1742">MAX(IF($E$63:E1741=E1742,ROW($E$63:E1741)-MIN(ROW($E$63:E1741))+1))</f>
        <v>1655</v>
      </c>
      <c r="AJ1742" s="53" cm="1">
        <f t="array" ref="AJ1742">MAX(IF($I$105:I1741=I1742,ROW($I$105:I1741)-MIN(ROW($I$105:I1741))+1))</f>
        <v>0</v>
      </c>
      <c r="AK1742" s="23">
        <f>IF(AI1742=0,_xlfn.XLOOKUP(E1742,'Starting GF'!A:A,'Starting GF'!B:B),INDEX($AL$63:$AL1742,AI1742))</f>
        <v>2.83</v>
      </c>
      <c r="AL1742" s="23">
        <f t="shared" ref="AL1742:AL1747" si="577">IF(R1742=0,AK1742,R1742*L1742*(1-M1742)+T1742*L1742*M1742+AK1742*(1-L1742))</f>
        <v>2.83</v>
      </c>
      <c r="AM1742" s="23">
        <f>IF(AI1742=0,_xlfn.XLOOKUP(E1742,'Starting GF'!A:A,'Starting GF'!C:C),INDEX($AN$63:$AN1742,AI1742))</f>
        <v>3.05</v>
      </c>
      <c r="AN1742" s="23">
        <f t="shared" ref="AN1742:AN1747" si="578">IF(S1742=0,AM1742,S1742*L1742+AM1742*(1-L1742))</f>
        <v>3.05</v>
      </c>
      <c r="AO1742" s="23" t="e">
        <f>IF(AJ1742=0,_xlfn.XLOOKUP(I1742,Goalies!B:B,Goalies!I:I),INDEX($AP$105:$AP1742,AJ1742))</f>
        <v>#N/A</v>
      </c>
      <c r="AP1742" s="23" t="e">
        <f t="shared" ref="AP1742:AP1747" si="579">IF(S1742=0,AO1742,S1742*L1742*Z1742+AO1742*(1-L1742))</f>
        <v>#N/A</v>
      </c>
      <c r="AQ1742" s="23">
        <f t="shared" ref="AQ1742:AQ1747" si="580">AM1742*Z1742</f>
        <v>3.05</v>
      </c>
      <c r="AR1742" s="66">
        <v>2.5000000000000001E-2</v>
      </c>
      <c r="AS1742" s="96" t="s">
        <v>1591</v>
      </c>
      <c r="AT1742" s="20">
        <f t="shared" ref="AT1742" si="581">(AK1742*V1742*X1742*Z1743*AA1742*AB1743*AC1742*AD1743*AG1742*AH1743)+AR1742</f>
        <v>2.8358386532094597</v>
      </c>
      <c r="AU1742" s="20">
        <f t="shared" ref="AU1742" si="582">AT1743</f>
        <v>3.2483918918918913</v>
      </c>
      <c r="AV1742" s="12">
        <f t="shared" ref="AV1742" si="583">AK1742*V1742*X1742*Z1743*AA1742*AB1743</f>
        <v>2.8108386532094598</v>
      </c>
      <c r="AW1742" s="12">
        <f t="shared" ref="AW1742" si="584">AV1743</f>
        <v>3.257335920622753</v>
      </c>
      <c r="AX1742" s="8">
        <f t="shared" ref="AX1742:AX1747" si="585">(AT1742-N1742)</f>
        <v>2.8358386532094597</v>
      </c>
      <c r="AY1742" s="8">
        <f t="shared" ref="AY1742:AY1747" si="586">(AU1742-O1742)</f>
        <v>3.2483918918918913</v>
      </c>
      <c r="AZ1742" s="8">
        <f t="shared" ref="AZ1742:AZ1747" si="587">SUM(AX1742:AY1742)</f>
        <v>6.0842305451013505</v>
      </c>
      <c r="BA1742" s="8">
        <f t="shared" ref="BA1742:BA1747" si="588">AX1742-AY1742</f>
        <v>-0.41255323868243154</v>
      </c>
      <c r="BB1742" s="62">
        <f t="shared" ref="BB1742:BB1747" si="589">IF(BF1742=0.5,100,IF(BF1742&gt;0.5,-ROUND(100*BF1742/(1-BF1742),0),ROUND(100*(1-BF1742)/BF1742,0)))</f>
        <v>131</v>
      </c>
      <c r="BC1742" s="21">
        <f t="shared" ref="BC1742:BC1747" si="590">IF(BG1742=0.5,100,IF(BG1742&gt;0.5,-ROUND(100*BG1742/(1-BG1742),0),ROUND(100*(1-BG1742)/BG1742,0)))</f>
        <v>-134</v>
      </c>
      <c r="BD1742" s="21">
        <f t="shared" ref="BD1742:BD1747" si="591">IF(BH1742=0.5,100,IF(BH1742&gt;0.5,-ROUND(100*BH1742/(1-BH1742),0),ROUND(100*(1-BH1742)/BH1742,0)))</f>
        <v>-108</v>
      </c>
      <c r="BE1742" s="21">
        <f t="shared" ref="BE1742:BE1747" si="592">IF(BI1742=0.5,100,IF(BI1742&gt;0.5,-ROUND(100*BI1742/(1-BI1742),0),ROUND(100*(1-BI1742)/BI1742,0)))</f>
        <v>118</v>
      </c>
      <c r="BF1742" s="94">
        <f t="shared" ref="BF1742" si="593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IF(AT1742&gt;AT1743, 1-_xlpm.interp, _xlpm.interp)
)</f>
        <v>0.4323536709184469</v>
      </c>
      <c r="BG1742" s="22">
        <f t="shared" si="76"/>
        <v>0.57315895328572797</v>
      </c>
      <c r="BH1742" s="22">
        <f t="shared" si="76"/>
        <v>0.51845687778825633</v>
      </c>
      <c r="BI1742" s="22">
        <f t="shared" si="76"/>
        <v>0.45955333970501533</v>
      </c>
      <c r="BJ1742" s="21">
        <f t="shared" ref="BJ1742:BJ1747" si="594">IF(BN1742=0.5,100,IF(BN1742&gt;0.5,-ROUND(100*BN1742/(1-BN1742),0),ROUND(100*(1-BN1742)/BN1742,0)))</f>
        <v>134</v>
      </c>
      <c r="BK1742" s="21">
        <f t="shared" ref="BK1742:BK1747" si="595">IF(BO1742=0.5,100,IF(BO1742&gt;0.5,-ROUND(100*BO1742/(1-BO1742),0),ROUND(100*(1-BO1742)/BO1742,0)))</f>
        <v>-133</v>
      </c>
      <c r="BL1742" s="21">
        <f t="shared" ref="BL1742:BL1747" si="596">IF(BP1742=0.5,100,IF(BP1742&gt;0.5,-ROUND(100*BP1742/(1-BP1742),0),ROUND(100*(1-BP1742)/BP1742,0)))</f>
        <v>-107</v>
      </c>
      <c r="BM1742" s="21">
        <f t="shared" ref="BM1742:BM1747" si="597">IF(BQ1742=0.5,100,IF(BQ1742&gt;0.5,-ROUND(100*BQ1742/(1-BQ1742),0),ROUND(100*(1-BQ1742)/BQ1742,0)))</f>
        <v>118</v>
      </c>
      <c r="BN1742" s="22">
        <f t="shared" ref="BN1742" si="598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IF(AV1742&gt;AV1743, 1-_xlpm.interp, _xlpm.interp)
)</f>
        <v>0.42696728709077347</v>
      </c>
      <c r="BO1742" s="22">
        <f t="shared" si="82"/>
        <v>0.57042631665655141</v>
      </c>
      <c r="BP1742" s="22">
        <f t="shared" si="82"/>
        <v>0.5159439340627241</v>
      </c>
      <c r="BQ1742" s="22">
        <f t="shared" si="82"/>
        <v>0.45786297840944035</v>
      </c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343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38</v>
      </c>
      <c r="I1743" t="str">
        <f t="shared" si="211"/>
        <v>CBJ Jet Greaves</v>
      </c>
      <c r="J1743" s="33" t="s">
        <v>227</v>
      </c>
      <c r="K1743" s="14">
        <v>2.96</v>
      </c>
      <c r="L1743" s="13">
        <v>0.15</v>
      </c>
      <c r="M1743" s="28">
        <v>0.1</v>
      </c>
      <c r="N1743">
        <f>IFERROR(_xlfn.XLOOKUP(A1743,Params!A:A,Params!D:D),0)</f>
        <v>0</v>
      </c>
      <c r="O1743">
        <f t="shared" ref="O1743" si="599">N1742</f>
        <v>0</v>
      </c>
      <c r="P1743" s="68">
        <f t="shared" si="569"/>
        <v>0</v>
      </c>
      <c r="Q1743">
        <f t="shared" ref="Q1743" si="600">P1742</f>
        <v>0</v>
      </c>
      <c r="R1743" s="5">
        <f t="shared" ref="R1743" si="601">N1743/W1743/X1743/Z1742/AB1742/AA1743</f>
        <v>0</v>
      </c>
      <c r="S1743" s="5">
        <f t="shared" ref="S1743" si="602">O1743/W1742/Y1743/Z1743/AA1742/AB1743</f>
        <v>0</v>
      </c>
      <c r="T1743" s="5">
        <f t="shared" ref="T1743" si="603">P1743/W1743/X1743/Z1742/AB1742</f>
        <v>0</v>
      </c>
      <c r="U1743" s="5">
        <f t="shared" ref="U1743" si="604">Q1743/W1742/Y1743/Z1743/AA1742</f>
        <v>0</v>
      </c>
      <c r="V1743" s="5">
        <f>_xlfn.XLOOKUP(H1743,'Rest - Home'!A:A,'Rest - Home'!B:B)</f>
        <v>1.0449999999999999</v>
      </c>
      <c r="W1743" s="5">
        <f>_xlfn.XLOOKUP(H1743,'Rest - Home'!A:A,'Rest - Home'!C:C)</f>
        <v>1.0398742800952707</v>
      </c>
      <c r="X1743" s="5">
        <f t="shared" ref="X1743" si="605">AM1742/K1743</f>
        <v>1.0304054054054053</v>
      </c>
      <c r="Y1743" s="5">
        <f t="shared" ref="Y1743" si="606">AK1742/K1743</f>
        <v>0.95608108108108114</v>
      </c>
      <c r="Z1743" s="5">
        <f>IF(J1743="",1,(_xlfn.XLOOKUP(I1743,Goalies!B:B,Goalies!J:J)))</f>
        <v>0.97499999999999998</v>
      </c>
      <c r="AA1743" s="23">
        <f>_xlfn.XLOOKUP(E1743,Injuries!A:A,Injuries!B:B)</f>
        <v>1</v>
      </c>
      <c r="AB1743" s="23">
        <f>_xlfn.XLOOKUP(E1743,Injuries!A:A,Injuries!C:C)</f>
        <v>1</v>
      </c>
      <c r="AC1743" s="23">
        <f>_xlfn.XLOOKUP(E1743,'Game Adjustments'!A:A,'Game Adjustments'!B:B)</f>
        <v>1</v>
      </c>
      <c r="AD1743" s="23">
        <f>_xlfn.XLOOKUP(E1743,'Game Adjustments'!A:A,'Game Adjustments'!C:C)</f>
        <v>1</v>
      </c>
      <c r="AE1743" s="23">
        <f>IF(D1743="A",_xlfn.XLOOKUP(E1743,'Rest - Home'!F:F,'Rest - Home'!J:J),_xlfn.XLOOKUP(E1743,'Rest - Home'!F:F,'Rest - Home'!I:I))</f>
        <v>1</v>
      </c>
      <c r="AF1743" s="23">
        <f>IF(D1743="A",_xlfn.XLOOKUP(E1743,'Rest - Home'!F:F,'Rest - Home'!L:L),_xlfn.XLOOKUP(E1743,'Rest - Home'!F:F,'Rest - Home'!K:K))</f>
        <v>1</v>
      </c>
      <c r="AG1743" s="26">
        <v>1</v>
      </c>
      <c r="AH1743" s="26">
        <v>1</v>
      </c>
      <c r="AI1743" s="53" cm="1">
        <f t="array" ref="AI1743">MAX(IF($E$63:E1742=E1743,ROW($E$63:E1742)-MIN(ROW($E$63:E1742))+1))</f>
        <v>1653</v>
      </c>
      <c r="AJ1743" s="53" cm="1">
        <f t="array" ref="AJ1743">MAX(IF($I$105:I1742=I1743,ROW($I$105:I1742)-MIN(ROW($I$105:I1742))+1))</f>
        <v>1611</v>
      </c>
      <c r="AK1743" s="23">
        <f>IF(AI1743=0,_xlfn.XLOOKUP(E1743,'Starting GF'!A:A,'Starting GF'!B:B),INDEX($AL$63:$AL1743,AI1743))</f>
        <v>3.04</v>
      </c>
      <c r="AL1743" s="23">
        <f t="shared" si="577"/>
        <v>3.04</v>
      </c>
      <c r="AM1743" s="23">
        <f>IF(AI1743=0,_xlfn.XLOOKUP(E1743,'Starting GF'!A:A,'Starting GF'!C:C),INDEX($AN$63:$AN1743,AI1743))</f>
        <v>3.14</v>
      </c>
      <c r="AN1743" s="23">
        <f t="shared" si="578"/>
        <v>3.14</v>
      </c>
      <c r="AO1743" s="23">
        <f>IF(AJ1743=0,_xlfn.XLOOKUP(I1743,Goalies!B:B,Goalies!I:I),INDEX($AP$105:$AP1743,AJ1743))</f>
        <v>3.1809982885183388</v>
      </c>
      <c r="AP1743" s="23">
        <f t="shared" si="579"/>
        <v>3.1809982885183388</v>
      </c>
      <c r="AQ1743" s="23">
        <f t="shared" si="580"/>
        <v>3.0615000000000001</v>
      </c>
      <c r="AR1743" s="66">
        <v>-2.5000000000000001E-2</v>
      </c>
      <c r="AS1743" s="96" t="s">
        <v>1591</v>
      </c>
      <c r="AT1743" s="20">
        <f t="shared" ref="AT1743" si="607">(AK1743*V1743*X1743*Z1742*AA1743*AB1742*AC1743*AD1742*AG1743*AH1742)+AR1743</f>
        <v>3.2483918918918913</v>
      </c>
      <c r="AU1743" s="20">
        <f t="shared" ref="AU1743" si="608">AT1742</f>
        <v>2.8358386532094597</v>
      </c>
      <c r="AV1743" s="12">
        <f t="shared" ref="AV1743" si="609">AK1743*W1743*X1743*Z1742*AA1743*AB1742</f>
        <v>3.257335920622753</v>
      </c>
      <c r="AW1743" s="12">
        <f t="shared" ref="AW1743" si="610">AV1742</f>
        <v>2.8108386532094598</v>
      </c>
      <c r="AX1743" s="8">
        <f t="shared" si="585"/>
        <v>3.2483918918918913</v>
      </c>
      <c r="AY1743" s="8">
        <f t="shared" si="586"/>
        <v>2.8358386532094597</v>
      </c>
      <c r="AZ1743" s="8">
        <f t="shared" si="587"/>
        <v>6.0842305451013505</v>
      </c>
      <c r="BA1743" s="8">
        <f t="shared" si="588"/>
        <v>0.41255323868243154</v>
      </c>
      <c r="BB1743" s="62">
        <f t="shared" si="589"/>
        <v>-131</v>
      </c>
      <c r="BC1743" s="21">
        <f t="shared" si="590"/>
        <v>134</v>
      </c>
      <c r="BD1743" s="21">
        <f t="shared" si="591"/>
        <v>108</v>
      </c>
      <c r="BE1743" s="21">
        <f t="shared" si="592"/>
        <v>-118</v>
      </c>
      <c r="BF1743" s="94">
        <f t="shared" si="38"/>
        <v>0.5676463290815531</v>
      </c>
      <c r="BG1743" s="22">
        <f t="shared" ref="BG1743" si="611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0.42684104671427198</v>
      </c>
      <c r="BH1743" s="22">
        <f t="shared" ref="BH1743" si="612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0.48154312221174372</v>
      </c>
      <c r="BI1743" s="22">
        <f t="shared" ref="BI1743" si="613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0.54044666029498467</v>
      </c>
      <c r="BJ1743" s="21">
        <f t="shared" si="594"/>
        <v>-134</v>
      </c>
      <c r="BK1743" s="21">
        <f t="shared" si="595"/>
        <v>133</v>
      </c>
      <c r="BL1743" s="21">
        <f t="shared" si="596"/>
        <v>107</v>
      </c>
      <c r="BM1743" s="21">
        <f t="shared" si="597"/>
        <v>-118</v>
      </c>
      <c r="BN1743" s="22">
        <f t="shared" si="46"/>
        <v>0.57303271290922653</v>
      </c>
      <c r="BO1743" s="22">
        <f t="shared" ref="BO1743" si="614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0.42957368334344859</v>
      </c>
      <c r="BP1743" s="22">
        <f t="shared" ref="BP1743" si="615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0.48405606593727596</v>
      </c>
      <c r="BQ1743" s="22">
        <f t="shared" ref="BQ1743" si="616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0.54213702159055965</v>
      </c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343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11"/>
        <v>COL Mackenzie Blackwood</v>
      </c>
      <c r="J1744" s="33" t="s">
        <v>157</v>
      </c>
      <c r="K1744" s="14">
        <v>2.96</v>
      </c>
      <c r="L1744" s="13">
        <v>0.15</v>
      </c>
      <c r="M1744" s="28">
        <v>0.1</v>
      </c>
      <c r="N1744">
        <f>IFERROR(_xlfn.XLOOKUP(A1744,Params!A:A,Params!D:D),0)</f>
        <v>0</v>
      </c>
      <c r="O1744">
        <f t="shared" ref="O1744" si="617">N1745</f>
        <v>0</v>
      </c>
      <c r="P1744" s="68">
        <f t="shared" si="569"/>
        <v>0</v>
      </c>
      <c r="Q1744">
        <f t="shared" ref="Q1744" si="618">P1745</f>
        <v>0</v>
      </c>
      <c r="R1744" s="5">
        <f t="shared" ref="R1744" si="619">N1744/W1744/X1744/Z1745/AB1745/AA1744</f>
        <v>0</v>
      </c>
      <c r="S1744" s="5">
        <f t="shared" ref="S1744" si="620">O1744/W1745/Y1744/Z1744/AA1745/AB1744</f>
        <v>0</v>
      </c>
      <c r="T1744" s="5">
        <f t="shared" ref="T1744" si="621">P1744/W1744/X1744/Z1745/AB1745</f>
        <v>0</v>
      </c>
      <c r="U1744" s="5">
        <f t="shared" ref="U1744" si="622">Q1744/W1745/Y1744/Z1744/AA1745</f>
        <v>0</v>
      </c>
      <c r="V1744" s="5">
        <f>_xlfn.XLOOKUP(H1744,'Rest - Home'!A:A,'Rest - Home'!B:B)</f>
        <v>0.96</v>
      </c>
      <c r="W1744" s="5">
        <f>_xlfn.XLOOKUP(H1744,'Rest - Home'!A:A,'Rest - Home'!C:C)</f>
        <v>0.95702751457800772</v>
      </c>
      <c r="X1744" s="5">
        <f t="shared" ref="X1744" si="623">AM1745/K1744</f>
        <v>1.0405405405405406</v>
      </c>
      <c r="Y1744" s="5">
        <f t="shared" ref="Y1744" si="624">AK1745/K1744</f>
        <v>1.0405405405405406</v>
      </c>
      <c r="Z1744" s="5">
        <f>IF(J1744="",1,(_xlfn.XLOOKUP(I1744,Goalies!B:B,Goalies!J:J)))</f>
        <v>1</v>
      </c>
      <c r="AA1744" s="23">
        <f>_xlfn.XLOOKUP(E1744,Injuries!A:A,Injuries!B:B)</f>
        <v>0.97499999999999998</v>
      </c>
      <c r="AB1744" s="23">
        <f>_xlfn.XLOOKUP(E1744,Injuries!A:A,Injuries!C:C)</f>
        <v>1.0249999999999999</v>
      </c>
      <c r="AC1744" s="23">
        <f>_xlfn.XLOOKUP(E1744,'Game Adjustments'!A:A,'Game Adjustments'!B:B)</f>
        <v>1</v>
      </c>
      <c r="AD1744" s="23">
        <f>_xlfn.XLOOKUP(E1744,'Game Adjustments'!A:A,'Game Adjustments'!C:C)</f>
        <v>1</v>
      </c>
      <c r="AE1744" s="23">
        <f>IF(D1744="A",_xlfn.XLOOKUP(E1744,'Rest - Home'!F:F,'Rest - Home'!J:J),_xlfn.XLOOKUP(E1744,'Rest - Home'!F:F,'Rest - Home'!I:I))</f>
        <v>1</v>
      </c>
      <c r="AF1744" s="23">
        <f>IF(D1744="A",_xlfn.XLOOKUP(E1744,'Rest - Home'!F:F,'Rest - Home'!L:L),_xlfn.XLOOKUP(E1744,'Rest - Home'!F:F,'Rest - Home'!K:K))</f>
        <v>1</v>
      </c>
      <c r="AG1744" s="26">
        <v>1</v>
      </c>
      <c r="AH1744" s="26">
        <v>1</v>
      </c>
      <c r="AI1744" s="53" cm="1">
        <f t="array" ref="AI1744">MAX(IF($E$63:E1743=E1744,ROW($E$63:E1743)-MIN(ROW($E$63:E1743))+1))</f>
        <v>1638</v>
      </c>
      <c r="AJ1744" s="53" cm="1">
        <f t="array" ref="AJ1744">MAX(IF($I$105:I1743=I1744,ROW($I$105:I1743)-MIN(ROW($I$105:I1743))+1))</f>
        <v>1596</v>
      </c>
      <c r="AK1744" s="23">
        <f>IF(AI1744=0,_xlfn.XLOOKUP(E1744,'Starting GF'!A:A,'Starting GF'!B:B),INDEX($AL$63:$AL1744,AI1744))</f>
        <v>3.58</v>
      </c>
      <c r="AL1744" s="23">
        <f t="shared" si="577"/>
        <v>3.58</v>
      </c>
      <c r="AM1744" s="23">
        <f>IF(AI1744=0,_xlfn.XLOOKUP(E1744,'Starting GF'!A:A,'Starting GF'!C:C),INDEX($AN$63:$AN1744,AI1744))</f>
        <v>2.65</v>
      </c>
      <c r="AN1744" s="23">
        <f t="shared" si="578"/>
        <v>2.65</v>
      </c>
      <c r="AO1744" s="23">
        <f>IF(AJ1744=0,_xlfn.XLOOKUP(I1744,Goalies!B:B,Goalies!I:I),INDEX($AP$105:$AP1744,AJ1744))</f>
        <v>2.6681587947319216</v>
      </c>
      <c r="AP1744" s="23">
        <f t="shared" si="579"/>
        <v>2.6681587947319216</v>
      </c>
      <c r="AQ1744" s="23">
        <f t="shared" si="580"/>
        <v>2.65</v>
      </c>
      <c r="AR1744" s="66">
        <v>7.0000000000000007E-2</v>
      </c>
      <c r="AS1744" s="96" t="s">
        <v>1591</v>
      </c>
      <c r="AT1744" s="20">
        <f t="shared" ref="AT1744" si="625">(AK1744*V1744*X1744*Z1745*AA1744*AB1745*AC1744*AD1745*AG1744*AH1745)+AR1744</f>
        <v>3.5218592216216216</v>
      </c>
      <c r="AU1744" s="20">
        <f t="shared" ref="AU1744" si="626">AT1745</f>
        <v>2.8340933699324324</v>
      </c>
      <c r="AV1744" s="12">
        <f t="shared" ref="AV1744" si="627">AK1744*V1744*X1744*Z1745*AA1744*AB1745</f>
        <v>3.4518592216216217</v>
      </c>
      <c r="AW1744" s="12">
        <f t="shared" ref="AW1744" si="628">AV1745</f>
        <v>2.9193288109832802</v>
      </c>
      <c r="AX1744" s="8">
        <f t="shared" si="585"/>
        <v>3.5218592216216216</v>
      </c>
      <c r="AY1744" s="8">
        <f t="shared" si="586"/>
        <v>2.8340933699324324</v>
      </c>
      <c r="AZ1744" s="8">
        <f t="shared" si="587"/>
        <v>6.355952591554054</v>
      </c>
      <c r="BA1744" s="8">
        <f t="shared" si="588"/>
        <v>0.68776585168918913</v>
      </c>
      <c r="BB1744" s="62">
        <f t="shared" si="589"/>
        <v>-155</v>
      </c>
      <c r="BC1744" s="21">
        <f t="shared" si="590"/>
        <v>-160</v>
      </c>
      <c r="BD1744" s="21">
        <f t="shared" si="591"/>
        <v>-131</v>
      </c>
      <c r="BE1744" s="21">
        <f t="shared" si="592"/>
        <v>-101</v>
      </c>
      <c r="BF1744" s="94">
        <f t="shared" ref="BF1744" si="629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IF(AT1744&gt;AT1745, 1-_xlpm.interp, _xlpm.interp)
)</f>
        <v>0.60768436115606117</v>
      </c>
      <c r="BG1744" s="22">
        <f t="shared" si="76"/>
        <v>0.61601227746779519</v>
      </c>
      <c r="BH1744" s="22">
        <f t="shared" si="76"/>
        <v>0.56670832580014441</v>
      </c>
      <c r="BI1744" s="22">
        <f t="shared" si="76"/>
        <v>0.50222296652315201</v>
      </c>
      <c r="BJ1744" s="21">
        <f t="shared" si="594"/>
        <v>-142</v>
      </c>
      <c r="BK1744" s="21">
        <f t="shared" si="595"/>
        <v>-162</v>
      </c>
      <c r="BL1744" s="21">
        <f t="shared" si="596"/>
        <v>-133</v>
      </c>
      <c r="BM1744" s="21">
        <f t="shared" si="597"/>
        <v>-102</v>
      </c>
      <c r="BN1744" s="22">
        <f t="shared" ref="BN1744" si="630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IF(AV1744&gt;AV1745, 1-_xlpm.interp, _xlpm.interp)
)</f>
        <v>0.58659010883515972</v>
      </c>
      <c r="BO1744" s="22">
        <f t="shared" si="82"/>
        <v>0.61874036467685412</v>
      </c>
      <c r="BP1744" s="22">
        <f t="shared" si="82"/>
        <v>0.57032263288861651</v>
      </c>
      <c r="BQ1744" s="22">
        <f t="shared" si="82"/>
        <v>0.50606811330467649</v>
      </c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343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11"/>
        <v>OTT Linus Ullmark</v>
      </c>
      <c r="J1745" s="33" t="s">
        <v>179</v>
      </c>
      <c r="K1745" s="14">
        <v>2.96</v>
      </c>
      <c r="L1745" s="13">
        <v>0.15</v>
      </c>
      <c r="M1745" s="28">
        <v>0.1</v>
      </c>
      <c r="N1745">
        <f>IFERROR(_xlfn.XLOOKUP(A1745,Params!A:A,Params!D:D),0)</f>
        <v>0</v>
      </c>
      <c r="O1745">
        <f t="shared" ref="O1745" si="631">N1744</f>
        <v>0</v>
      </c>
      <c r="P1745" s="68">
        <f t="shared" si="569"/>
        <v>0</v>
      </c>
      <c r="Q1745">
        <f t="shared" ref="Q1745" si="632">P1744</f>
        <v>0</v>
      </c>
      <c r="R1745" s="5">
        <f t="shared" ref="R1745" si="633">N1745/W1745/X1745/Z1744/AB1744/AA1745</f>
        <v>0</v>
      </c>
      <c r="S1745" s="5">
        <f t="shared" ref="S1745" si="634">O1745/W1744/Y1745/Z1745/AA1744/AB1745</f>
        <v>0</v>
      </c>
      <c r="T1745" s="5">
        <f t="shared" ref="T1745" si="635">P1745/W1745/X1745/Z1744/AB1744</f>
        <v>0</v>
      </c>
      <c r="U1745" s="5">
        <f t="shared" ref="U1745" si="636">Q1745/W1744/Y1745/Z1745/AA1744</f>
        <v>0</v>
      </c>
      <c r="V1745" s="5">
        <f>_xlfn.XLOOKUP(H1745,'Rest - Home'!A:A,'Rest - Home'!B:B)</f>
        <v>1.0275000000000001</v>
      </c>
      <c r="W1745" s="5">
        <f>_xlfn.XLOOKUP(H1745,'Rest - Home'!A:A,'Rest - Home'!C:C)</f>
        <v>1.0328904656929507</v>
      </c>
      <c r="X1745" s="5">
        <f t="shared" ref="X1745" si="637">AM1744/K1745</f>
        <v>0.89527027027027029</v>
      </c>
      <c r="Y1745" s="5">
        <f t="shared" ref="Y1745" si="638">AK1744/K1745</f>
        <v>1.2094594594594594</v>
      </c>
      <c r="Z1745" s="5">
        <f>IF(J1745="",1,(_xlfn.XLOOKUP(I1745,Goalies!B:B,Goalies!J:J)))</f>
        <v>0.99</v>
      </c>
      <c r="AA1745" s="23">
        <f>_xlfn.XLOOKUP(E1745,Injuries!A:A,Injuries!B:B)</f>
        <v>1</v>
      </c>
      <c r="AB1745" s="23">
        <f>_xlfn.XLOOKUP(E1745,Injuries!A:A,Injuries!C:C)</f>
        <v>1</v>
      </c>
      <c r="AC1745" s="23">
        <f>_xlfn.XLOOKUP(E1745,'Game Adjustments'!A:A,'Game Adjustments'!B:B)</f>
        <v>1</v>
      </c>
      <c r="AD1745" s="23">
        <f>_xlfn.XLOOKUP(E1745,'Game Adjustments'!A:A,'Game Adjustments'!C:C)</f>
        <v>1</v>
      </c>
      <c r="AE1745" s="23">
        <f>IF(D1745="A",_xlfn.XLOOKUP(E1745,'Rest - Home'!F:F,'Rest - Home'!J:J),_xlfn.XLOOKUP(E1745,'Rest - Home'!F:F,'Rest - Home'!I:I))</f>
        <v>1</v>
      </c>
      <c r="AF1745" s="23">
        <f>IF(D1745="A",_xlfn.XLOOKUP(E1745,'Rest - Home'!F:F,'Rest - Home'!L:L),_xlfn.XLOOKUP(E1745,'Rest - Home'!F:F,'Rest - Home'!K:K))</f>
        <v>1</v>
      </c>
      <c r="AG1745" s="26">
        <v>1</v>
      </c>
      <c r="AH1745" s="26">
        <v>1</v>
      </c>
      <c r="AI1745" s="53" cm="1">
        <f t="array" ref="AI1745">MAX(IF($E$63:E1744=E1745,ROW($E$63:E1744)-MIN(ROW($E$63:E1744))+1))</f>
        <v>1643</v>
      </c>
      <c r="AJ1745" s="53" cm="1">
        <f t="array" ref="AJ1745">MAX(IF($I$105:I1744=I1745,ROW($I$105:I1744)-MIN(ROW($I$105:I1744))+1))</f>
        <v>1171</v>
      </c>
      <c r="AK1745" s="23">
        <f>IF(AI1745=0,_xlfn.XLOOKUP(E1745,'Starting GF'!A:A,'Starting GF'!B:B),INDEX($AL$63:$AL1745,AI1745))</f>
        <v>3.08</v>
      </c>
      <c r="AL1745" s="23">
        <f t="shared" si="577"/>
        <v>3.08</v>
      </c>
      <c r="AM1745" s="23">
        <f>IF(AI1745=0,_xlfn.XLOOKUP(E1745,'Starting GF'!A:A,'Starting GF'!C:C),INDEX($AN$63:$AN1745,AI1745))</f>
        <v>3.08</v>
      </c>
      <c r="AN1745" s="23">
        <f t="shared" si="578"/>
        <v>3.08</v>
      </c>
      <c r="AO1745" s="23">
        <f>IF(AJ1745=0,_xlfn.XLOOKUP(I1745,Goalies!B:B,Goalies!I:I),INDEX($AP$105:$AP1745,AJ1745))</f>
        <v>2.8394900824805127</v>
      </c>
      <c r="AP1745" s="23">
        <f t="shared" si="579"/>
        <v>2.8394900824805127</v>
      </c>
      <c r="AQ1745" s="23">
        <f t="shared" si="580"/>
        <v>3.0491999999999999</v>
      </c>
      <c r="AR1745" s="66">
        <v>-7.0000000000000007E-2</v>
      </c>
      <c r="AS1745" s="96" t="s">
        <v>1591</v>
      </c>
      <c r="AT1745" s="20">
        <f t="shared" ref="AT1745" si="639">(AK1745*V1745*X1745*Z1744*AA1745*AB1744*AC1745*AD1744*AG1745*AH1744)+AR1745</f>
        <v>2.8340933699324324</v>
      </c>
      <c r="AU1745" s="20">
        <f t="shared" ref="AU1745" si="640">AT1744</f>
        <v>3.5218592216216216</v>
      </c>
      <c r="AV1745" s="12">
        <f t="shared" ref="AV1745" si="641">AK1745*W1745*X1745*Z1744*AA1745*AB1744</f>
        <v>2.9193288109832802</v>
      </c>
      <c r="AW1745" s="12">
        <f t="shared" ref="AW1745" si="642">AV1744</f>
        <v>3.4518592216216217</v>
      </c>
      <c r="AX1745" s="8">
        <f t="shared" si="585"/>
        <v>2.8340933699324324</v>
      </c>
      <c r="AY1745" s="8">
        <f t="shared" si="586"/>
        <v>3.5218592216216216</v>
      </c>
      <c r="AZ1745" s="8">
        <f t="shared" si="587"/>
        <v>6.355952591554054</v>
      </c>
      <c r="BA1745" s="8">
        <f t="shared" si="588"/>
        <v>-0.68776585168918913</v>
      </c>
      <c r="BB1745" s="62">
        <f t="shared" si="589"/>
        <v>155</v>
      </c>
      <c r="BC1745" s="21">
        <f t="shared" si="590"/>
        <v>160</v>
      </c>
      <c r="BD1745" s="21">
        <f t="shared" si="591"/>
        <v>131</v>
      </c>
      <c r="BE1745" s="21">
        <f t="shared" si="592"/>
        <v>101</v>
      </c>
      <c r="BF1745" s="94">
        <f t="shared" si="38"/>
        <v>0.39231563884393883</v>
      </c>
      <c r="BG1745" s="22">
        <f t="shared" ref="BG1745" si="643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0.38398772253220481</v>
      </c>
      <c r="BH1745" s="22">
        <f t="shared" ref="BH1745" si="644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0.43329167419985559</v>
      </c>
      <c r="BI1745" s="22">
        <f t="shared" ref="BI1745" si="645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0.49777703347684799</v>
      </c>
      <c r="BJ1745" s="21">
        <f t="shared" si="594"/>
        <v>142</v>
      </c>
      <c r="BK1745" s="21">
        <f t="shared" si="595"/>
        <v>162</v>
      </c>
      <c r="BL1745" s="21">
        <f t="shared" si="596"/>
        <v>133</v>
      </c>
      <c r="BM1745" s="21">
        <f t="shared" si="597"/>
        <v>102</v>
      </c>
      <c r="BN1745" s="22">
        <f t="shared" si="46"/>
        <v>0.41340989116484028</v>
      </c>
      <c r="BO1745" s="22">
        <f t="shared" ref="BO1745" si="646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0.38125963532314583</v>
      </c>
      <c r="BP1745" s="22">
        <f t="shared" ref="BP1745" si="647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0.42967736711138349</v>
      </c>
      <c r="BQ1745" s="22">
        <f t="shared" ref="BQ1745" si="648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0.49393188669532345</v>
      </c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343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11"/>
        <v>NYR Jonathan Quick</v>
      </c>
      <c r="J1746" s="33" t="s">
        <v>178</v>
      </c>
      <c r="K1746" s="14">
        <v>2.96</v>
      </c>
      <c r="L1746" s="13">
        <v>0.15</v>
      </c>
      <c r="M1746" s="28">
        <v>0.1</v>
      </c>
      <c r="N1746">
        <f>IFERROR(_xlfn.XLOOKUP(A1746,Params!A:A,Params!D:D),0)</f>
        <v>0</v>
      </c>
      <c r="O1746">
        <f t="shared" ref="O1746" si="649">N1747</f>
        <v>0</v>
      </c>
      <c r="P1746" s="68">
        <f t="shared" si="569"/>
        <v>0</v>
      </c>
      <c r="Q1746">
        <f t="shared" ref="Q1746" si="650">P1747</f>
        <v>0</v>
      </c>
      <c r="R1746" s="5">
        <f t="shared" ref="R1746" si="651">N1746/W1746/X1746/Z1747/AB1747/AA1746</f>
        <v>0</v>
      </c>
      <c r="S1746" s="5">
        <f t="shared" ref="S1746" si="652">O1746/W1747/Y1746/Z1746/AA1747/AB1746</f>
        <v>0</v>
      </c>
      <c r="T1746" s="5">
        <f t="shared" ref="T1746" si="653">P1746/W1746/X1746/Z1747/AB1747</f>
        <v>0</v>
      </c>
      <c r="U1746" s="5">
        <f t="shared" ref="U1746" si="654">Q1746/W1747/Y1746/Z1746/AA1747</f>
        <v>0</v>
      </c>
      <c r="V1746" s="5">
        <f>_xlfn.XLOOKUP(H1746,'Rest - Home'!A:A,'Rest - Home'!B:B)</f>
        <v>0.95</v>
      </c>
      <c r="W1746" s="5">
        <f>_xlfn.XLOOKUP(H1746,'Rest - Home'!A:A,'Rest - Home'!C:C)</f>
        <v>0.95302926576458757</v>
      </c>
      <c r="X1746" s="5">
        <f t="shared" ref="X1746" si="655">AM1747/K1746</f>
        <v>1</v>
      </c>
      <c r="Y1746" s="5">
        <f t="shared" ref="Y1746" si="656">AK1747/K1746</f>
        <v>0.98310810810810811</v>
      </c>
      <c r="Z1746" s="5">
        <f>IF(J1746="",1,(_xlfn.XLOOKUP(I1746,Goalies!B:B,Goalies!J:J)))</f>
        <v>1.05</v>
      </c>
      <c r="AA1746" s="23">
        <f>_xlfn.XLOOKUP(E1746,Injuries!A:A,Injuries!B:B)</f>
        <v>0.99</v>
      </c>
      <c r="AB1746" s="23">
        <f>_xlfn.XLOOKUP(E1746,Injuries!A:A,Injuries!C:C)</f>
        <v>1.03</v>
      </c>
      <c r="AC1746" s="23">
        <f>_xlfn.XLOOKUP(E1746,'Game Adjustments'!A:A,'Game Adjustments'!B:B)</f>
        <v>1</v>
      </c>
      <c r="AD1746" s="23">
        <f>_xlfn.XLOOKUP(E1746,'Game Adjustments'!A:A,'Game Adjustments'!C:C)</f>
        <v>1</v>
      </c>
      <c r="AE1746" s="23">
        <f>IF(D1746="A",_xlfn.XLOOKUP(E1746,'Rest - Home'!F:F,'Rest - Home'!J:J),_xlfn.XLOOKUP(E1746,'Rest - Home'!F:F,'Rest - Home'!I:I))</f>
        <v>1</v>
      </c>
      <c r="AF1746" s="23">
        <f>IF(D1746="A",_xlfn.XLOOKUP(E1746,'Rest - Home'!F:F,'Rest - Home'!L:L),_xlfn.XLOOKUP(E1746,'Rest - Home'!F:F,'Rest - Home'!K:K))</f>
        <v>1</v>
      </c>
      <c r="AG1746" s="26">
        <v>1</v>
      </c>
      <c r="AH1746" s="26">
        <v>1</v>
      </c>
      <c r="AI1746" s="53" cm="1">
        <f t="array" ref="AI1746">MAX(IF($E$63:E1745=E1746,ROW($E$63:E1745)-MIN(ROW($E$63:E1745))+1))</f>
        <v>1651</v>
      </c>
      <c r="AJ1746" s="53" cm="1">
        <f t="array" ref="AJ1746">MAX(IF($I$105:I1745=I1746,ROW($I$105:I1745)-MIN(ROW($I$105:I1745))+1))</f>
        <v>1609</v>
      </c>
      <c r="AK1746" s="23">
        <f>IF(AI1746=0,_xlfn.XLOOKUP(E1746,'Starting GF'!A:A,'Starting GF'!B:B),INDEX($AL$63:$AL1746,AI1746))</f>
        <v>2.7921235227581174</v>
      </c>
      <c r="AL1746" s="23">
        <f t="shared" si="577"/>
        <v>2.7921235227581174</v>
      </c>
      <c r="AM1746" s="23">
        <f>IF(AI1746=0,_xlfn.XLOOKUP(E1746,'Starting GF'!A:A,'Starting GF'!C:C),INDEX($AN$63:$AN1746,AI1746))</f>
        <v>3.0689431780822356</v>
      </c>
      <c r="AN1746" s="23">
        <f t="shared" si="578"/>
        <v>3.0689431780822356</v>
      </c>
      <c r="AO1746" s="23">
        <f>IF(AJ1746=0,_xlfn.XLOOKUP(I1746,Goalies!B:B,Goalies!I:I),INDEX($AP$105:$AP1746,AJ1746))</f>
        <v>3.1119642508918801</v>
      </c>
      <c r="AP1746" s="23">
        <f t="shared" si="579"/>
        <v>3.1119642508918801</v>
      </c>
      <c r="AQ1746" s="23">
        <f t="shared" si="580"/>
        <v>3.2223903369863476</v>
      </c>
      <c r="AR1746" s="66">
        <v>0.04</v>
      </c>
      <c r="AS1746" s="96" t="s">
        <v>1591</v>
      </c>
      <c r="AT1746" s="20">
        <f t="shared" ref="AT1746" si="657">(AK1746*V1746*X1746*Z1747*AA1746*AB1747*AC1746*AD1747*AG1746*AH1747)+AR1746</f>
        <v>2.6126845320389824</v>
      </c>
      <c r="AU1746" s="20">
        <f t="shared" ref="AU1746" si="658">AT1747</f>
        <v>3.2770320369844308</v>
      </c>
      <c r="AV1746" s="12">
        <f t="shared" ref="AV1746" si="659">AK1746*V1746*X1746*Z1747*AA1746*AB1747</f>
        <v>2.5726845320389824</v>
      </c>
      <c r="AW1746" s="12">
        <f t="shared" ref="AW1746" si="660">AV1747</f>
        <v>3.320686475435557</v>
      </c>
      <c r="AX1746" s="8">
        <f t="shared" si="585"/>
        <v>2.6126845320389824</v>
      </c>
      <c r="AY1746" s="8">
        <f t="shared" si="586"/>
        <v>3.2770320369844308</v>
      </c>
      <c r="AZ1746" s="8">
        <f t="shared" si="587"/>
        <v>5.8897165690234132</v>
      </c>
      <c r="BA1746" s="8">
        <f t="shared" si="588"/>
        <v>-0.66434750494544836</v>
      </c>
      <c r="BB1746" s="62">
        <f t="shared" si="589"/>
        <v>155</v>
      </c>
      <c r="BC1746" s="21">
        <f t="shared" si="590"/>
        <v>-119</v>
      </c>
      <c r="BD1746" s="21">
        <f t="shared" si="591"/>
        <v>107</v>
      </c>
      <c r="BE1746" s="21">
        <f t="shared" si="592"/>
        <v>134</v>
      </c>
      <c r="BF1746" s="94">
        <f t="shared" ref="BF1746" si="661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IF(AT1746&gt;AT1747, 1-_xlpm.interp, _xlpm.interp)
)</f>
        <v>0.39188867884758877</v>
      </c>
      <c r="BG1746" s="22">
        <f t="shared" si="76"/>
        <v>0.54239192871062558</v>
      </c>
      <c r="BH1746" s="22">
        <f t="shared" si="76"/>
        <v>0.48320417666706394</v>
      </c>
      <c r="BI1746" s="22">
        <f t="shared" si="76"/>
        <v>0.42786074801275042</v>
      </c>
      <c r="BJ1746" s="21">
        <f t="shared" si="594"/>
        <v>163</v>
      </c>
      <c r="BK1746" s="21">
        <f t="shared" si="595"/>
        <v>-119</v>
      </c>
      <c r="BL1746" s="21">
        <f t="shared" si="596"/>
        <v>107</v>
      </c>
      <c r="BM1746" s="21">
        <f t="shared" si="597"/>
        <v>134</v>
      </c>
      <c r="BN1746" s="22">
        <f t="shared" ref="BN1746" si="662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IF(AV1746&gt;AV1747, 1-_xlpm.interp, _xlpm.interp)
)</f>
        <v>0.38027847329023212</v>
      </c>
      <c r="BO1746" s="22">
        <f t="shared" si="82"/>
        <v>0.54315862927744107</v>
      </c>
      <c r="BP1746" s="22">
        <f t="shared" si="82"/>
        <v>0.48343841185390701</v>
      </c>
      <c r="BQ1746" s="22">
        <f t="shared" si="82"/>
        <v>0.42755270426436076</v>
      </c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343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11"/>
        <v>NYI Ilya Sorokin</v>
      </c>
      <c r="J1747" s="33" t="s">
        <v>175</v>
      </c>
      <c r="K1747" s="14">
        <v>2.96</v>
      </c>
      <c r="L1747" s="13">
        <v>0.15</v>
      </c>
      <c r="M1747" s="28">
        <v>0.1</v>
      </c>
      <c r="N1747">
        <f>IFERROR(_xlfn.XLOOKUP(A1747,Params!A:A,Params!D:D),0)</f>
        <v>0</v>
      </c>
      <c r="O1747">
        <f t="shared" ref="O1747" si="663">N1746</f>
        <v>0</v>
      </c>
      <c r="P1747" s="68">
        <f t="shared" si="569"/>
        <v>0</v>
      </c>
      <c r="Q1747">
        <f t="shared" ref="Q1747" si="664">P1746</f>
        <v>0</v>
      </c>
      <c r="R1747" s="5">
        <f t="shared" ref="R1747" si="665">N1747/W1747/X1747/Z1746/AB1746/AA1747</f>
        <v>0</v>
      </c>
      <c r="S1747" s="5">
        <f t="shared" ref="S1747" si="666">O1747/W1746/Y1747/Z1747/AA1746/AB1747</f>
        <v>0</v>
      </c>
      <c r="T1747" s="5">
        <f t="shared" ref="T1747" si="667">P1747/W1747/X1747/Z1746/AB1746</f>
        <v>0</v>
      </c>
      <c r="U1747" s="5">
        <f t="shared" ref="U1747" si="668">Q1747/W1746/Y1747/Z1747/AA1746</f>
        <v>0</v>
      </c>
      <c r="V1747" s="5">
        <f>_xlfn.XLOOKUP(H1747,'Rest - Home'!A:A,'Rest - Home'!B:B)</f>
        <v>1.048</v>
      </c>
      <c r="W1747" s="5">
        <f>_xlfn.XLOOKUP(H1747,'Rest - Home'!A:A,'Rest - Home'!C:C)</f>
        <v>1.0491546019013618</v>
      </c>
      <c r="X1747" s="5">
        <f t="shared" ref="X1747" si="669">AM1746/K1747</f>
        <v>1.0368051277304851</v>
      </c>
      <c r="Y1747" s="5">
        <f t="shared" ref="Y1747" si="670">AK1746/K1747</f>
        <v>0.9432849739047694</v>
      </c>
      <c r="Z1747" s="5">
        <f>IF(J1747="",1,(_xlfn.XLOOKUP(I1747,Goalies!B:B,Goalies!J:J)))</f>
        <v>0.97</v>
      </c>
      <c r="AA1747" s="23">
        <f>_xlfn.XLOOKUP(E1747,Injuries!A:A,Injuries!B:B)</f>
        <v>0.97</v>
      </c>
      <c r="AB1747" s="23">
        <f>_xlfn.XLOOKUP(E1747,Injuries!A:A,Injuries!C:C)</f>
        <v>1.01</v>
      </c>
      <c r="AC1747" s="23">
        <f>_xlfn.XLOOKUP(E1747,'Game Adjustments'!A:A,'Game Adjustments'!B:B)</f>
        <v>1</v>
      </c>
      <c r="AD1747" s="23">
        <f>_xlfn.XLOOKUP(E1747,'Game Adjustments'!A:A,'Game Adjustments'!C:C)</f>
        <v>1</v>
      </c>
      <c r="AE1747" s="23">
        <f>IF(D1747="A",_xlfn.XLOOKUP(E1747,'Rest - Home'!F:F,'Rest - Home'!J:J),_xlfn.XLOOKUP(E1747,'Rest - Home'!F:F,'Rest - Home'!I:I))</f>
        <v>1</v>
      </c>
      <c r="AF1747" s="23">
        <f>IF(D1747="A",_xlfn.XLOOKUP(E1747,'Rest - Home'!F:F,'Rest - Home'!L:L),_xlfn.XLOOKUP(E1747,'Rest - Home'!F:F,'Rest - Home'!K:K))</f>
        <v>1</v>
      </c>
      <c r="AG1747" s="26">
        <v>1</v>
      </c>
      <c r="AH1747" s="26">
        <v>1</v>
      </c>
      <c r="AI1747" s="53" cm="1">
        <f t="array" ref="AI1747">MAX(IF($E$63:E1746=E1747,ROW($E$63:E1746)-MIN(ROW($E$63:E1746))+1))</f>
        <v>1654</v>
      </c>
      <c r="AJ1747" s="53" cm="1">
        <f t="array" ref="AJ1747">MAX(IF($I$105:I1746=I1747,ROW($I$105:I1746)-MIN(ROW($I$105:I1746))+1))</f>
        <v>1612</v>
      </c>
      <c r="AK1747" s="23">
        <f>IF(AI1747=0,_xlfn.XLOOKUP(E1747,'Starting GF'!A:A,'Starting GF'!B:B),INDEX($AL$63:$AL1747,AI1747))</f>
        <v>2.91</v>
      </c>
      <c r="AL1747" s="23">
        <f t="shared" si="577"/>
        <v>2.91</v>
      </c>
      <c r="AM1747" s="23">
        <f>IF(AI1747=0,_xlfn.XLOOKUP(E1747,'Starting GF'!A:A,'Starting GF'!C:C),INDEX($AN$63:$AN1747,AI1747))</f>
        <v>2.96</v>
      </c>
      <c r="AN1747" s="23">
        <f t="shared" si="578"/>
        <v>2.96</v>
      </c>
      <c r="AO1747" s="23">
        <f>IF(AJ1747=0,_xlfn.XLOOKUP(I1747,Goalies!B:B,Goalies!I:I),INDEX($AP$105:$AP1747,AJ1747))</f>
        <v>2.9104858779524463</v>
      </c>
      <c r="AP1747" s="23">
        <f t="shared" si="579"/>
        <v>2.9104858779524463</v>
      </c>
      <c r="AQ1747" s="23">
        <f t="shared" si="580"/>
        <v>2.8712</v>
      </c>
      <c r="AR1747" s="66">
        <v>-0.04</v>
      </c>
      <c r="AS1747" s="96" t="s">
        <v>1591</v>
      </c>
      <c r="AT1747" s="20">
        <f t="shared" ref="AT1747" si="671">(AK1747*V1747*X1747*Z1746*AA1747*AB1746*AC1747*AD1746*AG1747*AH1746)+AR1747</f>
        <v>3.2770320369844308</v>
      </c>
      <c r="AU1747" s="20">
        <f t="shared" ref="AU1747" si="672">AT1746</f>
        <v>2.6126845320389824</v>
      </c>
      <c r="AV1747" s="12">
        <f t="shared" ref="AV1747" si="673">AK1747*W1747*X1747*Z1746*AA1747*AB1746</f>
        <v>3.320686475435557</v>
      </c>
      <c r="AW1747" s="12">
        <f t="shared" ref="AW1747" si="674">AV1746</f>
        <v>2.5726845320389824</v>
      </c>
      <c r="AX1747" s="8">
        <f t="shared" si="585"/>
        <v>3.2770320369844308</v>
      </c>
      <c r="AY1747" s="8">
        <f t="shared" si="586"/>
        <v>2.6126845320389824</v>
      </c>
      <c r="AZ1747" s="8">
        <f t="shared" si="587"/>
        <v>5.8897165690234132</v>
      </c>
      <c r="BA1747" s="8">
        <f t="shared" si="588"/>
        <v>0.66434750494544836</v>
      </c>
      <c r="BB1747" s="62">
        <f t="shared" si="589"/>
        <v>-155</v>
      </c>
      <c r="BC1747" s="21">
        <f t="shared" si="590"/>
        <v>119</v>
      </c>
      <c r="BD1747" s="21">
        <f t="shared" si="591"/>
        <v>-107</v>
      </c>
      <c r="BE1747" s="21">
        <f t="shared" si="592"/>
        <v>-134</v>
      </c>
      <c r="BF1747" s="94">
        <f t="shared" si="38"/>
        <v>0.60811132115241118</v>
      </c>
      <c r="BG1747" s="22">
        <f t="shared" ref="BG1747" si="675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0.45760807128937442</v>
      </c>
      <c r="BH1747" s="22">
        <f t="shared" ref="BH1747" si="676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0.51679582333293606</v>
      </c>
      <c r="BI1747" s="22">
        <f t="shared" ref="BI1747" si="677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0.57213925198724958</v>
      </c>
      <c r="BJ1747" s="21">
        <f t="shared" si="594"/>
        <v>-163</v>
      </c>
      <c r="BK1747" s="21">
        <f t="shared" si="595"/>
        <v>119</v>
      </c>
      <c r="BL1747" s="21">
        <f t="shared" si="596"/>
        <v>-107</v>
      </c>
      <c r="BM1747" s="21">
        <f t="shared" si="597"/>
        <v>-134</v>
      </c>
      <c r="BN1747" s="22">
        <f t="shared" si="46"/>
        <v>0.61972152670976788</v>
      </c>
      <c r="BO1747" s="22">
        <f t="shared" ref="BO1747" si="678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0.45684137072255893</v>
      </c>
      <c r="BP1747" s="22">
        <f t="shared" ref="BP1747" si="679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0.51656158814609299</v>
      </c>
      <c r="BQ1747" s="22">
        <f t="shared" ref="BQ1747" si="680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0.57244729573563924</v>
      </c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343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11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343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11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343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11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343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11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343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11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343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11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343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11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343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11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343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11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343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11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343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11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343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11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343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11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343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11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343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11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343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11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343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11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343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11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343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11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343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11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343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11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343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11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343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11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343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681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343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681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343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681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343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681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343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681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343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681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343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681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343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681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343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681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343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681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343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681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343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681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343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681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343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681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343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681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343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681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343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681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343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681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343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681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343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681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343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681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682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681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682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681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682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681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682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681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682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681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682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681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682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681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682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681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682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681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682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681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682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681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682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681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682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681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682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681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682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681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682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681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682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681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682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681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682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681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682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681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682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681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682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681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682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681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682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681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682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681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682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681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682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681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682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681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682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681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682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681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682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681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682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681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682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681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682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681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682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681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682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681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682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681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682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681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682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681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682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681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682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681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682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681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682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681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682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683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682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683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682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683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682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683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682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683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682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683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682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683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682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683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682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683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682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683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682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683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682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683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682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683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682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683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682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683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682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683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682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683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682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683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682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683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682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683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682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683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684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683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684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683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684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683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684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683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684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683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684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683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684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683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684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683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684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683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684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683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684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683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684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683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684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683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684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683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684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683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684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683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684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683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684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683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684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683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684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683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684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683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684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683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684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683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684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683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684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683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684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683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684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683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684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683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684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683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684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683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684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683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684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683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684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683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684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683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684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683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684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683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684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683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684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683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684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683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684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683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684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683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684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683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684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683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684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685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684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685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684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685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684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685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684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685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684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685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684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685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684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685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684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685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684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685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684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685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684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685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684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685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684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685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684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685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684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685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684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685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684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685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684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685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684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685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684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685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686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685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686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685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686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685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686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685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686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685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686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685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686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685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686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685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686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685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686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685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686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685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686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685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686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685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686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685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686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685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686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685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686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685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686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685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686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685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686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685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686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685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686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685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686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685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686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685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686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685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686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685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686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685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686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685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686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685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686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685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686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685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686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685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686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685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686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685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686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685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686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685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686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685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686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685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686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685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686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685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686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685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686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685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686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685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686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687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686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687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686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687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686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687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686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687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686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687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686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687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686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687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686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687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686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687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686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687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686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687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686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687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686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687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686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687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686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687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686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687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686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687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686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687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686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687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686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687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688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687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688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687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688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687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688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687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688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687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688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687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688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687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688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687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688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687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688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687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688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687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688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687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688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687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688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687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688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687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688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687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688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687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688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687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688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687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688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687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688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687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688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687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688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687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688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687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688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687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688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687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688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687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688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687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688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687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688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687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688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687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688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687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688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687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688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687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688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687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688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687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688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687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688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687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688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687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688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687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688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687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688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687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688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687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688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689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688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689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688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689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688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689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688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689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688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689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688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689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688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689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688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689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688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689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688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689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688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689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688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689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688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689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688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689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688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689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688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689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688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689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688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689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688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689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688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689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690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689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690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689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690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689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690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689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690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689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690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689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690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689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690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689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690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689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690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689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690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689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690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689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690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689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690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689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690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689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690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689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690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689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690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689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690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689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690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689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690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689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690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689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690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689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690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689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690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689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690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689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690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689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690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689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690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689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690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689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690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689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690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689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690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689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690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689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690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689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690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689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690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689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690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689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690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689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690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689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690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689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690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689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690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689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690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691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690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691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690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691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690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691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690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691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690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691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690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691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690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691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690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691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690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691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690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691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690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691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690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691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690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691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690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691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690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691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690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691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690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691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690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691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690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691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690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691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692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691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692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691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692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691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692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691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692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691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692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691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692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691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692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691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692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691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692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691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692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691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692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691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692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691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692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691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692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691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692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691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692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691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692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691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692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691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692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691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692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691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692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691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692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691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692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691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692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691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692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691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692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691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692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691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692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691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692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691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692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691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692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691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692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691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692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691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692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691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692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691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692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691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692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691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692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691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692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691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692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691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692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691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692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691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692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693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692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693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692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693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692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693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692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693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692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693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692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693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692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693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692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693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692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693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692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693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692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693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692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693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692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693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692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693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692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693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692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693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692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693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692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693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692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693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692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693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694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693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694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693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694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693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694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693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694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693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694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693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694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693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694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693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694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693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694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693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694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693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694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693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694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693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694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693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694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693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694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693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694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693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694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693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694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693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694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693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694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693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694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693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694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693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694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693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694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693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694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693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694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693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694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693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694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693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694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693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694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693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694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693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694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693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694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693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694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693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694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693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694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693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694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693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694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693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694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693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694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693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694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693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694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693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694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695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694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695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694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695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694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695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694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695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694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695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694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695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694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695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694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695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694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695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694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695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694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695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694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695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694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695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694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695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694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695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694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695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694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695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694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695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694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695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694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695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696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695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696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695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696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695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696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695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696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695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696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695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696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695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696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695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696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695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696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695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696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695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696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695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696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695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696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695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696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695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696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695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696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695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696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695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696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695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696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695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696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695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696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695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696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695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696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695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696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695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696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695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696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695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696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695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696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695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696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695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696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695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696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695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696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695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696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695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696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695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696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695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696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695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696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695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696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695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696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695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696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695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696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695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696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695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696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697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696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697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696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697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696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697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696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697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696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697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696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697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696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697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696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697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696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697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696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697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696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697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696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697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696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697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696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697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696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697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696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697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696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697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696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697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696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697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696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697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698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697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698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697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698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697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698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697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698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697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698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697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698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697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698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697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698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697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698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697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698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697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698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697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698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697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698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697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698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697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698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697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698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697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698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697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698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697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698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697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698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697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698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697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698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697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698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697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698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697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698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697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698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697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698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697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698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697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698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697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698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697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698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697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698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697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698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697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698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697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698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697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698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697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698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697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698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697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698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697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698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697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698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697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698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697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698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699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698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699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698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699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698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699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698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699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698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699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698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699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698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699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698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699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698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699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698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699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698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699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698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699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698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699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698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699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698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699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698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699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698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699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698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699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698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699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698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699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700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699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700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699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700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699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700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699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700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699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700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699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700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699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700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699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700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699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700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699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700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699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700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699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700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699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700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699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700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699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700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699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700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699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700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699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700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699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700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699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700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699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700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699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700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699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700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699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700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699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700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699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700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699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700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699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700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699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700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699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700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699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700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699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700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699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700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699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700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699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700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699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700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699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700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699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700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699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700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699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700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699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700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699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700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699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700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701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700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701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700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701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700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701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700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701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700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701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700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701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700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701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700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701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700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701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700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701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700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701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700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701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700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701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700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701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700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701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700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701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700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701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700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701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700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701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700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701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702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701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702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701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702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701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702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701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702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701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702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701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702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701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702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701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702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701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702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701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702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701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702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701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702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701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702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701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702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701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702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701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702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701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702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701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702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701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702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701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702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701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702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701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702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701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702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701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702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701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702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701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702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701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702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701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702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701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702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701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702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701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702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701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702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701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702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701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702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701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702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701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702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701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702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701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702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701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702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701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702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701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702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701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702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701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702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703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702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703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702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703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702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703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702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703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702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703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702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703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702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703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702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703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702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703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702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703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702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703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702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703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702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703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702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703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702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703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702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703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702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703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702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703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702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703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702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703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704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703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704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703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704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703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704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703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704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703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704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703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704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703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704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703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704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703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704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703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704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703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704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703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704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703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704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703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704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703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704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703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704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703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704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703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704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703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704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703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704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703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704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703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704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703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704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703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704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703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704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703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704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703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704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703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704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703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704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703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704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703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704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703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704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703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704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703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704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703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704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703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704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703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704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703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704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703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704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703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704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703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704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703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704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703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704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705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704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705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704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705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704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705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704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705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704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705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704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705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704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705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704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705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704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705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704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705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704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705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704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705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704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705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704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705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704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705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704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705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704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705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704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705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704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705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704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705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706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705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706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705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706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705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706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705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706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705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706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705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706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705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706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705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706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705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706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705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706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705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706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705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706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705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706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705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706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705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706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705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706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705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706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705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706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705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706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705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706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705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706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705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706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705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706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705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706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705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706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705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706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705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706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705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706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705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706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705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706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705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706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705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706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705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706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705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706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705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706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705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706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705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706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705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706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705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706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705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706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705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706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705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706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705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706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707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706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707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706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707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706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707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706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707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706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707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706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707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706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707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706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707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706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707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706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707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706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707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706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707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706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707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706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707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706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707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706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707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706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707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706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707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706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707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706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707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708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707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708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707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708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707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708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707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708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707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708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707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708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707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708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707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708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707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708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707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708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707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708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707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708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707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708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707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708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707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708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707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708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707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708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707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708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707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708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707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708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707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708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707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708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707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708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707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708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707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708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707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708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707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708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707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708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707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708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707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708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707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708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707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708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707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708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707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708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707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708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707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708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707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708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707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708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707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708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707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708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707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708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707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708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707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708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709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708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709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708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709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708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709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708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709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708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709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708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709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708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709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708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709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708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709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708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709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708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709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708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709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708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709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708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709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708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709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708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709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708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709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708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709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708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709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708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709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47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47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47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47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48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47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1592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1593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620"/>
  <sheetViews>
    <sheetView topLeftCell="A1603" workbookViewId="0">
      <selection activeCell="E1624" sqref="E1624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20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0.92500000000000004</v>
      </c>
      <c r="C2">
        <v>1.01</v>
      </c>
      <c r="D2" t="s">
        <v>1586</v>
      </c>
      <c r="E2" t="s">
        <v>1779</v>
      </c>
      <c r="F2" t="s">
        <v>1781</v>
      </c>
      <c r="G2" t="s">
        <v>1940</v>
      </c>
    </row>
    <row r="3" spans="1:7" x14ac:dyDescent="0.2">
      <c r="A3" t="s">
        <v>7</v>
      </c>
      <c r="B3">
        <v>1</v>
      </c>
      <c r="C3">
        <v>1.01</v>
      </c>
      <c r="D3" t="s">
        <v>1948</v>
      </c>
    </row>
    <row r="4" spans="1:7" x14ac:dyDescent="0.2">
      <c r="A4" t="s">
        <v>5</v>
      </c>
      <c r="B4">
        <v>0.98</v>
      </c>
      <c r="C4">
        <v>1</v>
      </c>
      <c r="D4" t="s">
        <v>1943</v>
      </c>
      <c r="E4" t="s">
        <v>1776</v>
      </c>
    </row>
    <row r="5" spans="1:7" x14ac:dyDescent="0.2">
      <c r="A5" t="s">
        <v>42</v>
      </c>
      <c r="B5">
        <v>1</v>
      </c>
      <c r="C5">
        <v>1.0149999999999999</v>
      </c>
      <c r="D5" t="s">
        <v>1780</v>
      </c>
    </row>
    <row r="6" spans="1:7" x14ac:dyDescent="0.2">
      <c r="A6" t="s">
        <v>32</v>
      </c>
      <c r="B6">
        <v>1</v>
      </c>
      <c r="C6">
        <v>1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1734</v>
      </c>
    </row>
    <row r="8" spans="1:7" x14ac:dyDescent="0.2">
      <c r="A8" t="s">
        <v>14</v>
      </c>
      <c r="B8">
        <v>0.98499999999999999</v>
      </c>
      <c r="C8">
        <v>1</v>
      </c>
      <c r="E8" t="s">
        <v>1771</v>
      </c>
      <c r="F8" t="s">
        <v>1929</v>
      </c>
    </row>
    <row r="9" spans="1:7" x14ac:dyDescent="0.2">
      <c r="A9" t="s">
        <v>24</v>
      </c>
      <c r="B9">
        <v>0.97499999999999998</v>
      </c>
      <c r="C9">
        <v>1.0249999999999999</v>
      </c>
      <c r="D9" t="s">
        <v>1597</v>
      </c>
      <c r="E9" s="72" t="s">
        <v>1598</v>
      </c>
    </row>
    <row r="10" spans="1:7" x14ac:dyDescent="0.2">
      <c r="A10" t="s">
        <v>34</v>
      </c>
      <c r="B10">
        <v>1</v>
      </c>
      <c r="C10">
        <v>1</v>
      </c>
      <c r="G10" s="25" t="s">
        <v>1165</v>
      </c>
    </row>
    <row r="11" spans="1:7" x14ac:dyDescent="0.2">
      <c r="A11" t="s">
        <v>30</v>
      </c>
      <c r="B11">
        <v>1</v>
      </c>
      <c r="C11">
        <v>1</v>
      </c>
    </row>
    <row r="12" spans="1:7" x14ac:dyDescent="0.2">
      <c r="A12" t="s">
        <v>17</v>
      </c>
      <c r="B12">
        <v>0.995</v>
      </c>
      <c r="C12">
        <v>1</v>
      </c>
      <c r="E12" t="s">
        <v>1951</v>
      </c>
    </row>
    <row r="13" spans="1:7" x14ac:dyDescent="0.2">
      <c r="A13" t="s">
        <v>10</v>
      </c>
      <c r="B13">
        <v>0.99</v>
      </c>
      <c r="C13">
        <v>1.04</v>
      </c>
      <c r="D13" t="s">
        <v>1292</v>
      </c>
      <c r="E13" t="s">
        <v>1596</v>
      </c>
    </row>
    <row r="14" spans="1:7" x14ac:dyDescent="0.2">
      <c r="A14" t="s">
        <v>28</v>
      </c>
      <c r="B14">
        <v>0.96</v>
      </c>
      <c r="C14">
        <v>1.01</v>
      </c>
      <c r="D14" t="s">
        <v>1950</v>
      </c>
      <c r="E14" t="s">
        <v>1600</v>
      </c>
    </row>
    <row r="15" spans="1:7" x14ac:dyDescent="0.2">
      <c r="A15" t="s">
        <v>33</v>
      </c>
      <c r="B15">
        <v>1</v>
      </c>
      <c r="C15">
        <v>1.04</v>
      </c>
      <c r="D15" t="s">
        <v>1599</v>
      </c>
      <c r="E15" t="s">
        <v>1777</v>
      </c>
    </row>
    <row r="16" spans="1:7" x14ac:dyDescent="0.2">
      <c r="A16" t="s">
        <v>19</v>
      </c>
      <c r="B16">
        <v>0.98</v>
      </c>
      <c r="C16">
        <v>1</v>
      </c>
      <c r="D16" t="s">
        <v>1774</v>
      </c>
      <c r="E16" t="s">
        <v>1930</v>
      </c>
      <c r="F16" t="s">
        <v>1931</v>
      </c>
    </row>
    <row r="17" spans="1:8" x14ac:dyDescent="0.2">
      <c r="A17" t="s">
        <v>4</v>
      </c>
      <c r="B17">
        <v>0.99</v>
      </c>
      <c r="C17">
        <v>1.02</v>
      </c>
      <c r="D17" t="s">
        <v>1927</v>
      </c>
      <c r="E17" t="s">
        <v>1441</v>
      </c>
      <c r="F17" t="s">
        <v>1932</v>
      </c>
    </row>
    <row r="18" spans="1:8" x14ac:dyDescent="0.2">
      <c r="A18" t="s">
        <v>35</v>
      </c>
      <c r="B18">
        <v>1</v>
      </c>
      <c r="C18">
        <v>1</v>
      </c>
      <c r="D18" t="s">
        <v>1439</v>
      </c>
    </row>
    <row r="19" spans="1:8" x14ac:dyDescent="0.2">
      <c r="A19" t="s">
        <v>37</v>
      </c>
      <c r="B19">
        <v>0.97</v>
      </c>
      <c r="C19">
        <v>1.01</v>
      </c>
      <c r="D19" t="s">
        <v>939</v>
      </c>
      <c r="E19" t="s">
        <v>1072</v>
      </c>
      <c r="F19" t="s">
        <v>1952</v>
      </c>
    </row>
    <row r="20" spans="1:8" x14ac:dyDescent="0.2">
      <c r="A20" t="s">
        <v>20</v>
      </c>
      <c r="B20">
        <v>0.99</v>
      </c>
      <c r="C20">
        <v>1.03</v>
      </c>
      <c r="D20" t="s">
        <v>1733</v>
      </c>
    </row>
    <row r="21" spans="1:8" x14ac:dyDescent="0.2">
      <c r="A21" t="s">
        <v>39</v>
      </c>
      <c r="B21">
        <v>1</v>
      </c>
      <c r="C21">
        <v>1</v>
      </c>
    </row>
    <row r="22" spans="1:8" x14ac:dyDescent="0.2">
      <c r="A22" t="s">
        <v>43</v>
      </c>
      <c r="B22">
        <v>0.99</v>
      </c>
      <c r="C22">
        <v>1</v>
      </c>
      <c r="D22" t="s">
        <v>1167</v>
      </c>
    </row>
    <row r="23" spans="1:8" x14ac:dyDescent="0.2">
      <c r="A23" t="s">
        <v>21</v>
      </c>
      <c r="B23">
        <v>0.98499999999999999</v>
      </c>
      <c r="C23">
        <v>1.01</v>
      </c>
      <c r="D23" t="s">
        <v>1942</v>
      </c>
      <c r="E23" t="s">
        <v>2096</v>
      </c>
    </row>
    <row r="24" spans="1:8" x14ac:dyDescent="0.2">
      <c r="A24" t="s">
        <v>13</v>
      </c>
      <c r="B24">
        <v>1</v>
      </c>
      <c r="C24">
        <v>1</v>
      </c>
      <c r="G24" t="s">
        <v>1438</v>
      </c>
    </row>
    <row r="25" spans="1:8" x14ac:dyDescent="0.2">
      <c r="A25" t="s">
        <v>40</v>
      </c>
      <c r="B25">
        <v>0.98499999999999999</v>
      </c>
      <c r="C25">
        <v>1</v>
      </c>
      <c r="D25" t="s">
        <v>1949</v>
      </c>
    </row>
    <row r="26" spans="1:8" x14ac:dyDescent="0.2">
      <c r="A26" t="s">
        <v>12</v>
      </c>
      <c r="B26">
        <v>0.94</v>
      </c>
      <c r="C26">
        <v>1.01</v>
      </c>
      <c r="D26" t="s">
        <v>1770</v>
      </c>
      <c r="E26" t="s">
        <v>1935</v>
      </c>
      <c r="F26" t="s">
        <v>1936</v>
      </c>
      <c r="G26" t="s">
        <v>1944</v>
      </c>
    </row>
    <row r="27" spans="1:8" x14ac:dyDescent="0.2">
      <c r="A27" t="s">
        <v>41</v>
      </c>
      <c r="B27">
        <v>0.94</v>
      </c>
      <c r="C27">
        <v>1.0449999999999999</v>
      </c>
      <c r="D27" t="s">
        <v>1440</v>
      </c>
      <c r="E27" t="s">
        <v>1772</v>
      </c>
      <c r="F27" t="s">
        <v>1773</v>
      </c>
      <c r="G27" t="s">
        <v>1934</v>
      </c>
      <c r="H27" t="s">
        <v>1945</v>
      </c>
    </row>
    <row r="28" spans="1:8" x14ac:dyDescent="0.2">
      <c r="A28" t="s">
        <v>18</v>
      </c>
      <c r="B28">
        <v>0.96</v>
      </c>
      <c r="C28">
        <v>1.01</v>
      </c>
      <c r="D28" t="s">
        <v>1587</v>
      </c>
      <c r="E28" t="s">
        <v>1778</v>
      </c>
      <c r="G28" t="s">
        <v>1941</v>
      </c>
    </row>
    <row r="29" spans="1:8" x14ac:dyDescent="0.2">
      <c r="A29" t="s">
        <v>15</v>
      </c>
      <c r="B29">
        <v>0.96</v>
      </c>
      <c r="C29">
        <v>1</v>
      </c>
      <c r="D29" t="s">
        <v>1211</v>
      </c>
      <c r="E29" t="s">
        <v>1775</v>
      </c>
    </row>
    <row r="30" spans="1:8" x14ac:dyDescent="0.2">
      <c r="A30" t="s">
        <v>23</v>
      </c>
      <c r="B30">
        <v>0.94499999999999995</v>
      </c>
      <c r="C30">
        <v>1.02</v>
      </c>
      <c r="D30" t="s">
        <v>1769</v>
      </c>
      <c r="E30" t="s">
        <v>528</v>
      </c>
      <c r="F30" t="s">
        <v>1768</v>
      </c>
      <c r="G30" t="s">
        <v>1947</v>
      </c>
    </row>
    <row r="31" spans="1:8" x14ac:dyDescent="0.2">
      <c r="A31" t="s">
        <v>25</v>
      </c>
      <c r="B31">
        <v>0.97499999999999998</v>
      </c>
      <c r="C31">
        <v>1.02</v>
      </c>
      <c r="D31" t="s">
        <v>1437</v>
      </c>
      <c r="E31" t="s">
        <v>1939</v>
      </c>
      <c r="F31" t="s">
        <v>1937</v>
      </c>
      <c r="G31" t="s">
        <v>1938</v>
      </c>
    </row>
    <row r="32" spans="1:8" x14ac:dyDescent="0.2">
      <c r="A32" t="s">
        <v>16</v>
      </c>
      <c r="B32">
        <v>1</v>
      </c>
      <c r="C32">
        <v>1.02</v>
      </c>
      <c r="D32" t="s">
        <v>1928</v>
      </c>
    </row>
    <row r="33" spans="1:5" x14ac:dyDescent="0.2">
      <c r="A33" t="s">
        <v>49</v>
      </c>
      <c r="B33">
        <v>0.99</v>
      </c>
      <c r="C33">
        <v>1.01</v>
      </c>
      <c r="D33" t="s">
        <v>692</v>
      </c>
      <c r="E33" t="s">
        <v>1946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53" zoomScaleNormal="91" workbookViewId="0">
      <selection activeCell="D61" sqref="D61:D71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1595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1594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3.1536638240357679</v>
      </c>
      <c r="M2" s="5" cm="1">
        <f t="array" ref="M2">INDEX('2026'!AM:AM, MAX(_xlfn._xlws.FILTER(ROW('2026'!E:E), ('2026'!E:E=Goalies!C2)*('2026'!AM:AM&lt;&gt;""))))</f>
        <v>3.2946397912577661</v>
      </c>
      <c r="N2" s="5">
        <f t="shared" ref="N2:N33" si="3">J2*M2</f>
        <v>3.1958005975200332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3.1958005975200332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3.1536638240357679</v>
      </c>
      <c r="M3" s="5" cm="1">
        <f t="array" ref="M3">INDEX('2026'!AM:AM, MAX(_xlfn._xlws.FILTER(ROW('2026'!E:E), ('2026'!E:E=Goalies!C3)*('2026'!AM:AM&lt;&gt;""))))</f>
        <v>3.2946397912577661</v>
      </c>
      <c r="N3" s="5">
        <f t="shared" si="3"/>
        <v>3.4099521839517877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3.4099521839517877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3.1536638240357679</v>
      </c>
      <c r="M4" s="5" cm="1">
        <f t="array" ref="M4">INDEX('2026'!AM:AM, MAX(_xlfn._xlws.FILTER(ROW('2026'!E:E), ('2026'!E:E=Goalies!C4)*('2026'!AM:AM&lt;&gt;""))))</f>
        <v>3.2946397912577661</v>
      </c>
      <c r="N4" s="5">
        <f t="shared" si="3"/>
        <v>3.4593717808206543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3.4593717808206543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2.9428909500576665</v>
      </c>
      <c r="M5" s="5" cm="1">
        <f t="array" ref="M5">INDEX('2026'!AM:AM, MAX(_xlfn._xlws.FILTER(ROW('2026'!E:E), ('2026'!E:E=Goalies!C5)*('2026'!AM:AM&lt;&gt;""))))</f>
        <v>3.0771790197545883</v>
      </c>
      <c r="N5" s="5">
        <f t="shared" si="3"/>
        <v>3.0002495442607233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3.0002495442607233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2.9428909500576665</v>
      </c>
      <c r="M6" s="5" cm="1">
        <f t="array" ref="M6">INDEX('2026'!AM:AM, MAX(_xlfn._xlws.FILTER(ROW('2026'!E:E), ('2026'!E:E=Goalies!C6)*('2026'!AM:AM&lt;&gt;""))))</f>
        <v>3.0771790197545883</v>
      </c>
      <c r="N6" s="5">
        <f t="shared" si="3"/>
        <v>3.2002661805447721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3.2002661805447721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3.15</v>
      </c>
      <c r="M7" s="5" cm="1">
        <f t="array" ref="M7">INDEX('2026'!AM:AM, MAX(_xlfn._xlws.FILTER(ROW('2026'!E:E), ('2026'!E:E=Goalies!C7)*('2026'!AM:AM&lt;&gt;""))))</f>
        <v>3.03</v>
      </c>
      <c r="N7" s="5">
        <f t="shared" si="3"/>
        <v>3.0754499999999996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3.0754499999999996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3.15</v>
      </c>
      <c r="M8" s="5" cm="1">
        <f t="array" ref="M8">INDEX('2026'!AM:AM, MAX(_xlfn._xlws.FILTER(ROW('2026'!E:E), ('2026'!E:E=Goalies!C8)*('2026'!AM:AM&lt;&gt;""))))</f>
        <v>3.03</v>
      </c>
      <c r="N8" s="5">
        <f t="shared" si="3"/>
        <v>2.9996999999999998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2.9996999999999998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3.15</v>
      </c>
      <c r="M9" s="5" cm="1">
        <f t="array" ref="M9">INDEX('2026'!AM:AM, MAX(_xlfn._xlws.FILTER(ROW('2026'!E:E), ('2026'!E:E=Goalies!C9)*('2026'!AM:AM&lt;&gt;""))))</f>
        <v>3.03</v>
      </c>
      <c r="N9" s="5">
        <f t="shared" si="3"/>
        <v>3.1237700709236274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3.1237700709236274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3.15</v>
      </c>
      <c r="M10" s="5" cm="1">
        <f t="array" ref="M10">INDEX('2026'!AM:AM, MAX(_xlfn._xlws.FILTER(ROW('2026'!E:E), ('2026'!E:E=Goalies!C10)*('2026'!AM:AM&lt;&gt;""))))</f>
        <v>3.03</v>
      </c>
      <c r="N10" s="5">
        <f t="shared" si="3"/>
        <v>3.1511999999999998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3.1511999999999998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2.6808540869444841</v>
      </c>
      <c r="M11" s="5" cm="1">
        <f t="array" ref="M11">INDEX('2026'!AM:AM, MAX(_xlfn._xlws.FILTER(ROW('2026'!E:E), ('2026'!E:E=Goalies!C11)*('2026'!AM:AM&lt;&gt;""))))</f>
        <v>3.2512488478125401</v>
      </c>
      <c r="N11" s="5">
        <f t="shared" si="3"/>
        <v>3.2024801150953519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3.2024801150953519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2.6808540869444841</v>
      </c>
      <c r="M12" s="5" cm="1">
        <f t="array" ref="M12">INDEX('2026'!AM:AM, MAX(_xlfn._xlws.FILTER(ROW('2026'!E:E), ('2026'!E:E=Goalies!C12)*('2026'!AM:AM&lt;&gt;""))))</f>
        <v>3.2512488478125401</v>
      </c>
      <c r="N12" s="5">
        <f t="shared" si="3"/>
        <v>3.3162738247687908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3.3162738247687908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2.6808540869444841</v>
      </c>
      <c r="M13" s="5" cm="1">
        <f t="array" ref="M13">INDEX('2026'!AM:AM, MAX(_xlfn._xlws.FILTER(ROW('2026'!E:E), ('2026'!E:E=Goalies!C13)*('2026'!AM:AM&lt;&gt;""))))</f>
        <v>3.2512488478125401</v>
      </c>
      <c r="N13" s="5">
        <f t="shared" si="3"/>
        <v>3.4498781986435314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3.4498781986435314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3.3615080709533873</v>
      </c>
      <c r="M14" s="5" cm="1">
        <f t="array" ref="M14">INDEX('2026'!AM:AM, MAX(_xlfn._xlws.FILTER(ROW('2026'!E:E), ('2026'!E:E=Goalies!C14)*('2026'!AM:AM&lt;&gt;""))))</f>
        <v>2.75</v>
      </c>
      <c r="N14" s="5">
        <f t="shared" si="3"/>
        <v>2.8737499999999998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2.8737499999999998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3.3615080709533873</v>
      </c>
      <c r="M15" s="5" cm="1">
        <f t="array" ref="M15">INDEX('2026'!AM:AM, MAX(_xlfn._xlws.FILTER(ROW('2026'!E:E), ('2026'!E:E=Goalies!C15)*('2026'!AM:AM&lt;&gt;""))))</f>
        <v>2.75</v>
      </c>
      <c r="N15" s="5">
        <f t="shared" si="3"/>
        <v>2.7774999999999999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2.7774999999999999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3.3615080709533873</v>
      </c>
      <c r="M16" s="5" cm="1">
        <f t="array" ref="M16">INDEX('2026'!AM:AM, MAX(_xlfn._xlws.FILTER(ROW('2026'!E:E), ('2026'!E:E=Goalies!C16)*('2026'!AM:AM&lt;&gt;""))))</f>
        <v>2.75</v>
      </c>
      <c r="N16" s="5">
        <f t="shared" si="3"/>
        <v>2.6812499999999999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2.6812499999999999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2.681119315077674</v>
      </c>
      <c r="M17" s="5" cm="1">
        <f t="array" ref="M17">INDEX('2026'!AM:AM, MAX(_xlfn._xlws.FILTER(ROW('2026'!E:E), ('2026'!E:E=Goalies!C17)*('2026'!AM:AM&lt;&gt;""))))</f>
        <v>3.3282189382010956</v>
      </c>
      <c r="N17" s="5">
        <f t="shared" si="3"/>
        <v>3.1950901806730516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3.1950901806730516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2.681119315077674</v>
      </c>
      <c r="M18" s="5" cm="1">
        <f t="array" ref="M18">INDEX('2026'!AM:AM, MAX(_xlfn._xlws.FILTER(ROW('2026'!E:E), ('2026'!E:E=Goalies!C18)*('2026'!AM:AM&lt;&gt;""))))</f>
        <v>3.3282189382010956</v>
      </c>
      <c r="N18" s="5">
        <f t="shared" si="3"/>
        <v>3.5279120744931616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3.5279120744931616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1767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2.681119315077674</v>
      </c>
      <c r="M19" s="5" cm="1">
        <f t="array" ref="M19">INDEX('2026'!AM:AM, MAX(_xlfn._xlws.FILTER(ROW('2026'!E:E), ('2026'!E:E=Goalies!C19)*('2026'!AM:AM&lt;&gt;""))))</f>
        <v>3.3282189382010956</v>
      </c>
      <c r="N19" s="5">
        <f t="shared" si="3"/>
        <v>3.5445531691841667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3.5445531691841667</v>
      </c>
      <c r="Q19" s="6">
        <v>0</v>
      </c>
      <c r="R19" s="5" t="s">
        <v>14</v>
      </c>
      <c r="S19" t="s">
        <v>1767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3.58</v>
      </c>
      <c r="M20" s="5" cm="1">
        <f t="array" ref="M20">INDEX('2026'!AM:AM, MAX(_xlfn._xlws.FILTER(ROW('2026'!E:E), ('2026'!E:E=Goalies!C20)*('2026'!AM:AM&lt;&gt;""))))</f>
        <v>2.65</v>
      </c>
      <c r="N20" s="5">
        <f t="shared" si="3"/>
        <v>2.65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2.65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3.58</v>
      </c>
      <c r="M21" s="5" cm="1">
        <f t="array" ref="M21">INDEX('2026'!AM:AM, MAX(_xlfn._xlws.FILTER(ROW('2026'!E:E), ('2026'!E:E=Goalies!C21)*('2026'!AM:AM&lt;&gt;""))))</f>
        <v>2.65</v>
      </c>
      <c r="N21" s="5">
        <f t="shared" si="3"/>
        <v>2.65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2.65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3.58</v>
      </c>
      <c r="M22" s="5" cm="1">
        <f t="array" ref="M22">INDEX('2026'!AM:AM, MAX(_xlfn._xlws.FILTER(ROW('2026'!E:E), ('2026'!E:E=Goalies!C22)*('2026'!AM:AM&lt;&gt;""))))</f>
        <v>2.65</v>
      </c>
      <c r="N22" s="5">
        <f t="shared" si="3"/>
        <v>2.8090000000000002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2.8090000000000002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</v>
      </c>
      <c r="M23" s="5" cm="1">
        <f t="array" ref="M23">INDEX('2026'!AM:AM, MAX(_xlfn._xlws.FILTER(ROW('2026'!E:E), ('2026'!E:E=Goalies!C23)*('2026'!AM:AM&lt;&gt;""))))</f>
        <v>3.14</v>
      </c>
      <c r="N23" s="5">
        <f t="shared" si="3"/>
        <v>3.0615000000000001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3.0615000000000001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</v>
      </c>
      <c r="M24" s="5" cm="1">
        <f t="array" ref="M24">INDEX('2026'!AM:AM, MAX(_xlfn._xlws.FILTER(ROW('2026'!E:E), ('2026'!E:E=Goalies!C24)*('2026'!AM:AM&lt;&gt;""))))</f>
        <v>3.14</v>
      </c>
      <c r="N24" s="5">
        <f t="shared" si="3"/>
        <v>3.2970000000000002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3.2970000000000002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3.07</v>
      </c>
      <c r="M25" s="5" cm="1">
        <f t="array" ref="M25">INDEX('2026'!AM:AM, MAX(_xlfn._xlws.FILTER(ROW('2026'!E:E), ('2026'!E:E=Goalies!C25)*('2026'!AM:AM&lt;&gt;""))))</f>
        <v>2.864462044918513</v>
      </c>
      <c r="N25" s="5">
        <f t="shared" si="3"/>
        <v>2.8501397346939203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2.8501397346939203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3.07</v>
      </c>
      <c r="M26" s="5" cm="1">
        <f t="array" ref="M26">INDEX('2026'!AM:AM, MAX(_xlfn._xlws.FILTER(ROW('2026'!E:E), ('2026'!E:E=Goalies!C26)*('2026'!AM:AM&lt;&gt;""))))</f>
        <v>2.864462044918513</v>
      </c>
      <c r="N26" s="5">
        <f t="shared" si="3"/>
        <v>2.8787843551431052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2.8787843551431052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2.99</v>
      </c>
      <c r="M27" s="5" cm="1">
        <f t="array" ref="M27">INDEX('2026'!AM:AM, MAX(_xlfn._xlws.FILTER(ROW('2026'!E:E), ('2026'!E:E=Goalies!C27)*('2026'!AM:AM&lt;&gt;""))))</f>
        <v>3.04</v>
      </c>
      <c r="N27" s="5">
        <f t="shared" si="3"/>
        <v>2.9944000000000002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2.9944000000000002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2.99</v>
      </c>
      <c r="M28" s="5" cm="1">
        <f t="array" ref="M28">INDEX('2026'!AM:AM, MAX(_xlfn._xlws.FILTER(ROW('2026'!E:E), ('2026'!E:E=Goalies!C28)*('2026'!AM:AM&lt;&gt;""))))</f>
        <v>3.04</v>
      </c>
      <c r="N28" s="5">
        <f t="shared" si="3"/>
        <v>3.1008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3.1008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3.32</v>
      </c>
      <c r="M29" s="5" cm="1">
        <f t="array" ref="M29">INDEX('2026'!AM:AM, MAX(_xlfn._xlws.FILTER(ROW('2026'!E:E), ('2026'!E:E=Goalies!C29)*('2026'!AM:AM&lt;&gt;""))))</f>
        <v>3.05</v>
      </c>
      <c r="N29" s="5">
        <f t="shared" si="3"/>
        <v>2.9737499999999999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2.9737499999999999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3.32</v>
      </c>
      <c r="M30" s="5" cm="1">
        <f t="array" ref="M30">INDEX('2026'!AM:AM, MAX(_xlfn._xlws.FILTER(ROW('2026'!E:E), ('2026'!E:E=Goalies!C30)*('2026'!AM:AM&lt;&gt;""))))</f>
        <v>3.05</v>
      </c>
      <c r="N30" s="5">
        <f t="shared" si="3"/>
        <v>3.1414999999999997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3.1414999999999997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1592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3.05</v>
      </c>
      <c r="N31" s="5">
        <f t="shared" ref="N31" si="18">J31*M31</f>
        <v>3.1719999999999997</v>
      </c>
      <c r="O31" s="5"/>
      <c r="P31" s="65">
        <f t="shared" si="13"/>
        <v>3.1719999999999997</v>
      </c>
      <c r="Q31" s="6">
        <v>10</v>
      </c>
      <c r="R31" s="5" t="s">
        <v>17</v>
      </c>
      <c r="S31" t="s">
        <v>1592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3.15</v>
      </c>
      <c r="M32" s="5" cm="1">
        <f t="array" ref="M32">INDEX('2026'!AM:AM, MAX(_xlfn._xlws.FILTER(ROW('2026'!E:E), ('2026'!E:E=Goalies!C32)*('2026'!AM:AM&lt;&gt;""))))</f>
        <v>2.8064007840690137</v>
      </c>
      <c r="N32" s="5">
        <f t="shared" si="3"/>
        <v>2.8064007840690137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2.8064007840690137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3.15</v>
      </c>
      <c r="M33" s="5" cm="1">
        <f t="array" ref="M33">INDEX('2026'!AM:AM, MAX(_xlfn._xlws.FILTER(ROW('2026'!E:E), ('2026'!E:E=Goalies!C33)*('2026'!AM:AM&lt;&gt;""))))</f>
        <v>2.8064007840690137</v>
      </c>
      <c r="N33" s="5">
        <f t="shared" si="3"/>
        <v>2.8064007840690137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2.8064007840690137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2.8447414852776705</v>
      </c>
      <c r="M34" s="5" cm="1">
        <f t="array" ref="M34">INDEX('2026'!AM:AM, MAX(_xlfn._xlws.FILTER(ROW('2026'!E:E), ('2026'!E:E=Goalies!C34)*('2026'!AM:AM&lt;&gt;""))))</f>
        <v>2.8</v>
      </c>
      <c r="N34" s="5">
        <f>J34*M36</f>
        <v>2.7787500000000001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2.73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2.8447414852776705</v>
      </c>
      <c r="M35" s="5" cm="1">
        <f t="array" ref="M35">INDEX('2026'!AM:AM, MAX(_xlfn._xlws.FILTER(ROW('2026'!E:E), ('2026'!E:E=Goalies!C35)*('2026'!AM:AM&lt;&gt;""))))</f>
        <v>2.8</v>
      </c>
      <c r="N35" s="5">
        <f>J35*M37</f>
        <v>2.9640000000000004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2.9119999999999999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3.1347638888797911</v>
      </c>
      <c r="M36" s="5" cm="1">
        <f t="array" ref="M36">INDEX('2026'!AM:AM, MAX(_xlfn._xlws.FILTER(ROW('2026'!E:E), ('2026'!E:E=Goalies!C36)*('2026'!AM:AM&lt;&gt;""))))</f>
        <v>2.85</v>
      </c>
      <c r="N36" s="5">
        <f>J36*M38</f>
        <v>3.0491999999999999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2.8214999999999999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3.1347638888797911</v>
      </c>
      <c r="M37" s="5" cm="1">
        <f t="array" ref="M37">INDEX('2026'!AM:AM, MAX(_xlfn._xlws.FILTER(ROW('2026'!E:E), ('2026'!E:E=Goalies!C37)*('2026'!AM:AM&lt;&gt;""))))</f>
        <v>2.85</v>
      </c>
      <c r="N37" s="5">
        <f>J37*M39</f>
        <v>3.1261999999999999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2.8927499999999999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3.0945148050878619</v>
      </c>
      <c r="M38" s="5" cm="1">
        <f t="array" ref="M38">INDEX('2026'!AM:AM, MAX(_xlfn._xlws.FILTER(ROW('2026'!E:E), ('2026'!E:E=Goalies!C38)*('2026'!AM:AM&lt;&gt;""))))</f>
        <v>3.08</v>
      </c>
      <c r="N38" s="5">
        <f t="shared" ref="N38:N86" si="41">J38*M38</f>
        <v>3.08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3.0945148050878619</v>
      </c>
      <c r="M39" s="5" cm="1">
        <f t="array" ref="M39">INDEX('2026'!AM:AM, MAX(_xlfn._xlws.FILTER(ROW('2026'!E:E), ('2026'!E:E=Goalies!C39)*('2026'!AM:AM&lt;&gt;""))))</f>
        <v>3.08</v>
      </c>
      <c r="N39" s="5">
        <f t="shared" si="41"/>
        <v>3.1415999999999999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3.1415999999999999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3.0945148050878619</v>
      </c>
      <c r="M40" s="5" cm="1">
        <f t="array" ref="M40">INDEX('2026'!AM:AM, MAX(_xlfn._xlws.FILTER(ROW('2026'!E:E), ('2026'!E:E=Goalies!C40)*('2026'!AM:AM&lt;&gt;""))))</f>
        <v>3.08</v>
      </c>
      <c r="N40" s="5">
        <f t="shared" si="41"/>
        <v>3.0337999999999998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3.0337999999999998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2.8571326646295359</v>
      </c>
      <c r="M41" s="5" cm="1">
        <f t="array" ref="M41">INDEX('2026'!AM:AM, MAX(_xlfn._xlws.FILTER(ROW('2026'!E:E), ('2026'!E:E=Goalies!C41)*('2026'!AM:AM&lt;&gt;""))))</f>
        <v>3.1617371679165291</v>
      </c>
      <c r="N41" s="5">
        <f t="shared" si="41"/>
        <v>3.1330957750351942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3.1330957750351942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2.8571326646295359</v>
      </c>
      <c r="M42" s="5" cm="1">
        <f t="array" ref="M42">INDEX('2026'!AM:AM, MAX(_xlfn._xlws.FILTER(ROW('2026'!E:E), ('2026'!E:E=Goalies!C42)*('2026'!AM:AM&lt;&gt;""))))</f>
        <v>3.1617371679165291</v>
      </c>
      <c r="N42" s="5">
        <f t="shared" si="41"/>
        <v>3.2249719112748596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3.2249719112748596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2.9329012470220683</v>
      </c>
      <c r="M43" s="5" cm="1">
        <f t="array" ref="M43">INDEX('2026'!AM:AM, MAX(_xlfn._xlws.FILTER(ROW('2026'!E:E), ('2026'!E:E=Goalies!C43)*('2026'!AM:AM&lt;&gt;""))))</f>
        <v>2.93</v>
      </c>
      <c r="N43" s="5">
        <f t="shared" si="41"/>
        <v>2.9593000000000003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2.9593000000000003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2.9329012470220683</v>
      </c>
      <c r="M44" s="5" cm="1">
        <f t="array" ref="M44">INDEX('2026'!AM:AM, MAX(_xlfn._xlws.FILTER(ROW('2026'!E:E), ('2026'!E:E=Goalies!C44)*('2026'!AM:AM&lt;&gt;""))))</f>
        <v>2.93</v>
      </c>
      <c r="N44" s="5">
        <f t="shared" si="41"/>
        <v>2.9007000000000001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2.9007000000000001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2.9329012470220683</v>
      </c>
      <c r="M45" s="5" cm="1">
        <f t="array" ref="M45">INDEX('2026'!AM:AM, MAX(_xlfn._xlws.FILTER(ROW('2026'!E:E), ('2026'!E:E=Goalies!C45)*('2026'!AM:AM&lt;&gt;""))))</f>
        <v>2.93</v>
      </c>
      <c r="N45" s="5">
        <f t="shared" si="41"/>
        <v>3.0472000000000001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3.0472000000000001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2.91</v>
      </c>
      <c r="M46" s="5" cm="1">
        <f t="array" ref="M46">INDEX('2026'!AM:AM, MAX(_xlfn._xlws.FILTER(ROW('2026'!E:E), ('2026'!E:E=Goalies!C46)*('2026'!AM:AM&lt;&gt;""))))</f>
        <v>2.96</v>
      </c>
      <c r="N46" s="5">
        <f t="shared" si="41"/>
        <v>2.8712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2.8712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2.91</v>
      </c>
      <c r="M47" s="5" cm="1">
        <f t="array" ref="M47">INDEX('2026'!AM:AM, MAX(_xlfn._xlws.FILTER(ROW('2026'!E:E), ('2026'!E:E=Goalies!C47)*('2026'!AM:AM&lt;&gt;""))))</f>
        <v>2.96</v>
      </c>
      <c r="N47" s="5">
        <f t="shared" si="41"/>
        <v>3.1375999999999999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3.1375999999999999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2.7921235227581174</v>
      </c>
      <c r="M48" s="5" cm="1">
        <f t="array" ref="M48">INDEX('2026'!AM:AM, MAX(_xlfn._xlws.FILTER(ROW('2026'!E:E), ('2026'!E:E=Goalies!C48)*('2026'!AM:AM&lt;&gt;""))))</f>
        <v>3.0689431780822356</v>
      </c>
      <c r="N48" s="5">
        <f t="shared" si="41"/>
        <v>2.9768748827397684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2.9768748827397684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2.7921235227581174</v>
      </c>
      <c r="M49" s="5" cm="1">
        <f t="array" ref="M49">INDEX('2026'!AM:AM, MAX(_xlfn._xlws.FILTER(ROW('2026'!E:E), ('2026'!E:E=Goalies!C49)*('2026'!AM:AM&lt;&gt;""))))</f>
        <v>3.0689431780822356</v>
      </c>
      <c r="N49" s="5">
        <f t="shared" si="41"/>
        <v>3.2223903369863476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3.2223903369863476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2.7921235227581174</v>
      </c>
      <c r="M50" s="5" cm="1">
        <f t="array" ref="M50">INDEX('2026'!AM:AM, MAX(_xlfn._xlws.FILTER(ROW('2026'!E:E), ('2026'!E:E=Goalies!C50)*('2026'!AM:AM&lt;&gt;""))))</f>
        <v>3.0689431780822356</v>
      </c>
      <c r="N50" s="5">
        <f t="shared" si="41"/>
        <v>3.25307976876717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3.25307976876717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3.08</v>
      </c>
      <c r="M51" s="5" cm="1">
        <f t="array" ref="M51">INDEX('2026'!AM:AM, MAX(_xlfn._xlws.FILTER(ROW('2026'!E:E), ('2026'!E:E=Goalies!C51)*('2026'!AM:AM&lt;&gt;""))))</f>
        <v>3.08</v>
      </c>
      <c r="N51" s="5">
        <f t="shared" si="41"/>
        <v>3.0491999999999999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3.0491999999999999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3.08</v>
      </c>
      <c r="M52" s="5" cm="1">
        <f t="array" ref="M52">INDEX('2026'!AM:AM, MAX(_xlfn._xlws.FILTER(ROW('2026'!E:E), ('2026'!E:E=Goalies!C52)*('2026'!AM:AM&lt;&gt;""))))</f>
        <v>3.08</v>
      </c>
      <c r="N52" s="5">
        <f t="shared" si="41"/>
        <v>3.1724000000000001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3.1724000000000001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3.08</v>
      </c>
      <c r="M53" s="5" cm="1">
        <f t="array" ref="M53">INDEX('2026'!AM:AM, MAX(_xlfn._xlws.FILTER(ROW('2026'!E:E), ('2026'!E:E=Goalies!C53)*('2026'!AM:AM&lt;&gt;""))))</f>
        <v>3.08</v>
      </c>
      <c r="N53" s="5">
        <f t="shared" si="41"/>
        <v>3.1724000000000001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3.1724000000000001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1933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3.08</v>
      </c>
      <c r="M54" s="5" cm="1">
        <f t="array" ref="M54">INDEX('2026'!AM:AM, MAX(_xlfn._xlws.FILTER(ROW('2026'!E:E), ('2026'!E:E=Goalies!C54)*('2026'!AM:AM&lt;&gt;""))))</f>
        <v>3.08</v>
      </c>
      <c r="N54" s="5">
        <f t="shared" ref="N54" si="45">J54*M54</f>
        <v>3.1415999999999999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3.1415999999999999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2.83</v>
      </c>
      <c r="M55" s="5" cm="1">
        <f t="array" ref="M55">INDEX('2026'!AM:AM, MAX(_xlfn._xlws.FILTER(ROW('2026'!E:E), ('2026'!E:E=Goalies!C55)*('2026'!AM:AM&lt;&gt;""))))</f>
        <v>3.05</v>
      </c>
      <c r="N55" s="5">
        <f t="shared" si="41"/>
        <v>3.1719999999999997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3.1719999999999997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2.83</v>
      </c>
      <c r="M56" s="5" cm="1">
        <f t="array" ref="M56">INDEX('2026'!AM:AM, MAX(_xlfn._xlws.FILTER(ROW('2026'!E:E), ('2026'!E:E=Goalies!C56)*('2026'!AM:AM&lt;&gt;""))))</f>
        <v>3.05</v>
      </c>
      <c r="N56" s="5">
        <f t="shared" si="41"/>
        <v>2.9737499999999999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2.9737499999999999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2.83</v>
      </c>
      <c r="M57" s="5" cm="1">
        <f t="array" ref="M57">INDEX('2026'!AM:AM, MAX(_xlfn._xlws.FILTER(ROW('2026'!E:E), ('2026'!E:E=Goalies!C57)*('2026'!AM:AM&lt;&gt;""))))</f>
        <v>3.05</v>
      </c>
      <c r="N57" s="5">
        <f t="shared" si="41"/>
        <v>3.2330000000000001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3.2330000000000001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3.03</v>
      </c>
      <c r="M58" s="5" cm="1">
        <f t="array" ref="M58">INDEX('2026'!AM:AM, MAX(_xlfn._xlws.FILTER(ROW('2026'!E:E), ('2026'!E:E=Goalies!C58)*('2026'!AM:AM&lt;&gt;""))))</f>
        <v>3.1</v>
      </c>
      <c r="N58" s="5">
        <f t="shared" si="41"/>
        <v>3.0225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3.0225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3.03</v>
      </c>
      <c r="M59" s="5" cm="1">
        <f t="array" ref="M59">INDEX('2026'!AM:AM, MAX(_xlfn._xlws.FILTER(ROW('2026'!E:E), ('2026'!E:E=Goalies!C59)*('2026'!AM:AM&lt;&gt;""))))</f>
        <v>3.1</v>
      </c>
      <c r="N59" s="5">
        <f t="shared" si="41"/>
        <v>3.1930000000000001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3.1930000000000001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3.03</v>
      </c>
      <c r="M60" s="5" cm="1">
        <f t="array" ref="M60">INDEX('2026'!AM:AM, MAX(_xlfn._xlws.FILTER(ROW('2026'!E:E), ('2026'!E:E=Goalies!C60)*('2026'!AM:AM&lt;&gt;""))))</f>
        <v>3.1</v>
      </c>
      <c r="N60" s="5">
        <f t="shared" si="41"/>
        <v>3.2240000000000002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3.2240000000000002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2.98</v>
      </c>
      <c r="M61" s="5" cm="1">
        <f t="array" ref="M61">INDEX('2026'!AM:AM, MAX(_xlfn._xlws.FILTER(ROW('2026'!E:E), ('2026'!E:E=Goalies!C61)*('2026'!AM:AM&lt;&gt;""))))</f>
        <v>3.35</v>
      </c>
      <c r="N61" s="5">
        <f t="shared" si="41"/>
        <v>3.4505000000000003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3.4505000000000003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2.98</v>
      </c>
      <c r="M62" s="5" cm="1">
        <f t="array" ref="M62">INDEX('2026'!AM:AM, MAX(_xlfn._xlws.FILTER(ROW('2026'!E:E), ('2026'!E:E=Goalies!C62)*('2026'!AM:AM&lt;&gt;""))))</f>
        <v>3.35</v>
      </c>
      <c r="N62" s="5">
        <f t="shared" si="41"/>
        <v>3.2829999999999999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3.2829999999999999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2.69</v>
      </c>
      <c r="M63" s="5" cm="1">
        <f t="array" ref="M63">INDEX('2026'!AM:AM, MAX(_xlfn._xlws.FILTER(ROW('2026'!E:E), ('2026'!E:E=Goalies!C63)*('2026'!AM:AM&lt;&gt;""))))</f>
        <v>3.1730262268042715</v>
      </c>
      <c r="N63" s="5">
        <f t="shared" si="41"/>
        <v>3.1730262268042715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3.1730262268042715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2.69</v>
      </c>
      <c r="M64" s="5" cm="1">
        <f t="array" ref="M64">INDEX('2026'!AM:AM, MAX(_xlfn._xlws.FILTER(ROW('2026'!E:E), ('2026'!E:E=Goalies!C64)*('2026'!AM:AM&lt;&gt;""))))</f>
        <v>3.1730262268042715</v>
      </c>
      <c r="N64" s="5">
        <f t="shared" si="41"/>
        <v>3.1730262268042715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3.1730262268042715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2.69</v>
      </c>
      <c r="M65" s="5" cm="1">
        <f t="array" ref="M65">INDEX('2026'!AM:AM, MAX(_xlfn._xlws.FILTER(ROW('2026'!E:E), ('2026'!E:E=Goalies!C65)*('2026'!AM:AM&lt;&gt;""))))</f>
        <v>3.1730262268042715</v>
      </c>
      <c r="N65" s="5">
        <f t="shared" si="41"/>
        <v>3.1730262268042715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3.1730262268042715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2.7479011254941694</v>
      </c>
      <c r="M66" s="5" cm="1">
        <f t="array" ref="M66">INDEX('2026'!AM:AM, MAX(_xlfn._xlws.FILTER(ROW('2026'!E:E), ('2026'!E:E=Goalies!C66)*('2026'!AM:AM&lt;&gt;""))))</f>
        <v>3.1015567150772316</v>
      </c>
      <c r="N66" s="5">
        <f t="shared" si="41"/>
        <v>3.1635878493787764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3.1635878493787764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2.7479011254941694</v>
      </c>
      <c r="M67" s="5" cm="1">
        <f t="array" ref="M67">INDEX('2026'!AM:AM, MAX(_xlfn._xlws.FILTER(ROW('2026'!E:E), ('2026'!E:E=Goalies!C67)*('2026'!AM:AM&lt;&gt;""))))</f>
        <v>3.1015567150772316</v>
      </c>
      <c r="N67" s="5">
        <f t="shared" si="41"/>
        <v>3.0395255807756869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3.0395255807756869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3.34</v>
      </c>
      <c r="M68" s="5" cm="1">
        <f t="array" ref="M68">INDEX('2026'!AM:AM, MAX(_xlfn._xlws.FILTER(ROW('2026'!E:E), ('2026'!E:E=Goalies!C68)*('2026'!AM:AM&lt;&gt;""))))</f>
        <v>2.61</v>
      </c>
      <c r="N68" s="5">
        <f t="shared" si="41"/>
        <v>2.5186499999999996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2.5186499999999996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3.34</v>
      </c>
      <c r="M69" s="5" cm="1">
        <f t="array" ref="M69">INDEX('2026'!AM:AM, MAX(_xlfn._xlws.FILTER(ROW('2026'!E:E), ('2026'!E:E=Goalies!C69)*('2026'!AM:AM&lt;&gt;""))))</f>
        <v>2.61</v>
      </c>
      <c r="N69" s="5">
        <f t="shared" si="41"/>
        <v>2.7404999999999999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2.7404999999999999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3.02</v>
      </c>
      <c r="M70" s="5" cm="1">
        <f t="array" ref="M70">INDEX('2026'!AM:AM, MAX(_xlfn._xlws.FILTER(ROW('2026'!E:E), ('2026'!E:E=Goalies!C70)*('2026'!AM:AM&lt;&gt;""))))</f>
        <v>3.1006644127158283</v>
      </c>
      <c r="N70" s="5">
        <f t="shared" si="41"/>
        <v>3.1316710568429866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3.1316710568429866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3.02</v>
      </c>
      <c r="M71" s="5" cm="1">
        <f t="array" ref="M71">INDEX('2026'!AM:AM, MAX(_xlfn._xlws.FILTER(ROW('2026'!E:E), ('2026'!E:E=Goalies!C71)*('2026'!AM:AM&lt;&gt;""))))</f>
        <v>3.1006644127158283</v>
      </c>
      <c r="N71" s="5">
        <f t="shared" si="41"/>
        <v>3.0076444803343532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3.0076444803343532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3.02</v>
      </c>
      <c r="M72" s="5" cm="1">
        <f t="array" ref="M72">INDEX('2026'!AM:AM, MAX(_xlfn._xlws.FILTER(ROW('2026'!E:E), ('2026'!E:E=Goalies!C72)*('2026'!AM:AM&lt;&gt;""))))</f>
        <v>3.1006644127158283</v>
      </c>
      <c r="N72" s="5">
        <f t="shared" si="41"/>
        <v>3.2091876671608821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3.2091876671608821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</v>
      </c>
      <c r="M73" s="5" cm="1">
        <f t="array" ref="M73">INDEX('2026'!AM:AM, MAX(_xlfn._xlws.FILTER(ROW('2026'!E:E), ('2026'!E:E=Goalies!C73)*('2026'!AM:AM&lt;&gt;""))))</f>
        <v>2.97</v>
      </c>
      <c r="N73" s="5">
        <f t="shared" si="41"/>
        <v>2.8809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2.8809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</v>
      </c>
      <c r="M74" s="5" cm="1">
        <f t="array" ref="M74">INDEX('2026'!AM:AM, MAX(_xlfn._xlws.FILTER(ROW('2026'!E:E), ('2026'!E:E=Goalies!C74)*('2026'!AM:AM&lt;&gt;""))))</f>
        <v>2.97</v>
      </c>
      <c r="N74" s="5">
        <f t="shared" si="41"/>
        <v>3.1185000000000005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3.1185000000000005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2.7196269162196653</v>
      </c>
      <c r="M75" s="5" cm="1">
        <f t="array" ref="M75">INDEX('2026'!AM:AM, MAX(_xlfn._xlws.FILTER(ROW('2026'!E:E), ('2026'!E:E=Goalies!C75)*('2026'!AM:AM&lt;&gt;""))))</f>
        <v>3.2500877580163174</v>
      </c>
      <c r="N75" s="5">
        <f t="shared" si="41"/>
        <v>3.1688355640659096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3.1688355640659096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2.7196269162196653</v>
      </c>
      <c r="M76" s="5" cm="1">
        <f t="array" ref="M76">INDEX('2026'!AM:AM, MAX(_xlfn._xlws.FILTER(ROW('2026'!E:E), ('2026'!E:E=Goalies!C76)*('2026'!AM:AM&lt;&gt;""))))</f>
        <v>3.2500877580163174</v>
      </c>
      <c r="N76" s="5">
        <f t="shared" si="41"/>
        <v>3.3475903907568072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3.3475903907568072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2.7196269162196653</v>
      </c>
      <c r="M77" s="5" cm="1">
        <f t="array" ref="M77">INDEX('2026'!AM:AM, MAX(_xlfn._xlws.FILTER(ROW('2026'!E:E), ('2026'!E:E=Goalies!C77)*('2026'!AM:AM&lt;&gt;""))))</f>
        <v>3.2500877580163174</v>
      </c>
      <c r="N77" s="5">
        <f t="shared" si="41"/>
        <v>3.5100947786576229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3.5100947786576229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3.23</v>
      </c>
      <c r="M78" s="5" cm="1">
        <f t="array" ref="M78">INDEX('2026'!AM:AM, MAX(_xlfn._xlws.FILTER(ROW('2026'!E:E), ('2026'!E:E=Goalies!C78)*('2026'!AM:AM&lt;&gt;""))))</f>
        <v>2.76</v>
      </c>
      <c r="N78" s="5">
        <f t="shared" si="41"/>
        <v>2.76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2.76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3.23</v>
      </c>
      <c r="M79" s="5" cm="1">
        <f t="array" ref="M79">INDEX('2026'!AM:AM, MAX(_xlfn._xlws.FILTER(ROW('2026'!E:E), ('2026'!E:E=Goalies!C79)*('2026'!AM:AM&lt;&gt;""))))</f>
        <v>2.76</v>
      </c>
      <c r="N79" s="5">
        <f t="shared" si="41"/>
        <v>2.7323999999999997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2.7323999999999997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3.23</v>
      </c>
      <c r="M80" s="5" cm="1">
        <f t="array" ref="M80">INDEX('2026'!AM:AM, MAX(_xlfn._xlws.FILTER(ROW('2026'!E:E), ('2026'!E:E=Goalies!C80)*('2026'!AM:AM&lt;&gt;""))))</f>
        <v>2.76</v>
      </c>
      <c r="N80" s="5">
        <f t="shared" si="41"/>
        <v>2.8979999999999997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2.8979999999999997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3.23</v>
      </c>
      <c r="M81" s="5" cm="1">
        <f t="array" ref="M81">INDEX('2026'!AM:AM, MAX(_xlfn._xlws.FILTER(ROW('2026'!E:E), ('2026'!E:E=Goalies!C81)*('2026'!AM:AM&lt;&gt;""))))</f>
        <v>2.76</v>
      </c>
      <c r="N81" s="5">
        <f t="shared" si="41"/>
        <v>2.7875999999999999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2.7875999999999999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2.8437181515263266</v>
      </c>
      <c r="M82" s="5" cm="1">
        <f t="array" ref="M82">INDEX('2026'!AM:AM, MAX(_xlfn._xlws.FILTER(ROW('2026'!E:E), ('2026'!E:E=Goalies!C82)*('2026'!AM:AM&lt;&gt;""))))</f>
        <v>3.02</v>
      </c>
      <c r="N82" s="5">
        <f t="shared" si="41"/>
        <v>2.9142999999999999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2.9142999999999999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2.8437181515263266</v>
      </c>
      <c r="M83" s="5" cm="1">
        <f t="array" ref="M83">INDEX('2026'!AM:AM, MAX(_xlfn._xlws.FILTER(ROW('2026'!E:E), ('2026'!E:E=Goalies!C83)*('2026'!AM:AM&lt;&gt;""))))</f>
        <v>3.02</v>
      </c>
      <c r="N83" s="5">
        <f t="shared" si="41"/>
        <v>3.2012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3.2012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2.8437181515263266</v>
      </c>
      <c r="M84" s="5" cm="1">
        <f t="array" ref="M84">INDEX('2026'!AM:AM, MAX(_xlfn._xlws.FILTER(ROW('2026'!E:E), ('2026'!E:E=Goalies!C84)*('2026'!AM:AM&lt;&gt;""))))</f>
        <v>3.02</v>
      </c>
      <c r="N84" s="5">
        <f t="shared" si="41"/>
        <v>3.3220000000000005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3.3220000000000005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</v>
      </c>
      <c r="M85" s="5" cm="1">
        <f t="array" ref="M85">INDEX('2026'!AM:AM, MAX(_xlfn._xlws.FILTER(ROW('2026'!E:E), ('2026'!E:E=Goalies!C85)*('2026'!AM:AM&lt;&gt;""))))</f>
        <v>3.02</v>
      </c>
      <c r="N85" s="5">
        <f t="shared" si="41"/>
        <v>2.9445000000000001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2.9445000000000001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</v>
      </c>
      <c r="M86" s="5" cm="1">
        <f t="array" ref="M86">INDEX('2026'!AM:AM, MAX(_xlfn._xlws.FILTER(ROW('2026'!E:E), ('2026'!E:E=Goalies!C86)*('2026'!AM:AM&lt;&gt;""))))</f>
        <v>3.02</v>
      </c>
      <c r="N86" s="5">
        <f t="shared" si="41"/>
        <v>3.1408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3.1408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3.0126779767565917</v>
      </c>
      <c r="M88" s="7">
        <f>AVERAGE(M2:M86)</f>
        <v>3.0267430461428471</v>
      </c>
      <c r="N88" s="7">
        <f>AVERAGE(N2:N86)</f>
        <v>3.0755294388475751</v>
      </c>
      <c r="O88" s="7" t="e">
        <f>AVERAGE(O2:O86)</f>
        <v>#DIV/0!</v>
      </c>
      <c r="P88" s="7">
        <f>AVERAGE(P2:P86)</f>
        <v>3.0689188506122811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1168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2026-01-27T19:03:22Z</dcterms:modified>
</cp:coreProperties>
</file>