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codeName="ThisWorkbook" autoCompressPictures="0" defaultThemeVersion="124226"/>
  <mc:AlternateContent xmlns:mc="http://schemas.openxmlformats.org/markup-compatibility/2006">
    <mc:Choice Requires="x15">
      <x15ac:absPath xmlns:x15ac="http://schemas.microsoft.com/office/spreadsheetml/2010/11/ac" url="C:\Users\aeruano\Desktop\"/>
    </mc:Choice>
  </mc:AlternateContent>
  <xr:revisionPtr revIDLastSave="0" documentId="10_ncr:8100000_{E9E0AF28-7B7F-455C-B67A-4EC9291C8CDF}" xr6:coauthVersionLast="33" xr6:coauthVersionMax="33" xr10:uidLastSave="{00000000-0000-0000-0000-000000000000}"/>
  <workbookProtection workbookPassword="E0B3" lockStructure="1"/>
  <bookViews>
    <workbookView xWindow="0" yWindow="0" windowWidth="28800" windowHeight="14235" activeTab="1" xr2:uid="{00000000-000D-0000-FFFF-FFFF00000000}"/>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62913"/>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H6" i="3"/>
  <c r="AH7" i="3"/>
  <c r="AH8" i="3"/>
  <c r="AH9" i="3"/>
  <c r="AI6" i="3" a="1"/>
  <c r="AI6" i="3" s="1"/>
  <c r="AJ6" i="3" a="1"/>
  <c r="AJ6" i="3" s="1"/>
  <c r="AK6" i="3" a="1"/>
  <c r="AK6" i="3" s="1"/>
  <c r="AL6" i="3" a="1"/>
  <c r="AL6" i="3" s="1"/>
  <c r="AM6" i="3" a="1"/>
  <c r="AM6" i="3" s="1"/>
  <c r="AI7" i="3" a="1"/>
  <c r="AI7" i="3" s="1"/>
  <c r="AJ7" i="3" a="1"/>
  <c r="AJ7" i="3" s="1"/>
  <c r="AK7" i="3" a="1"/>
  <c r="AK7" i="3" s="1"/>
  <c r="AL7" i="3" a="1"/>
  <c r="AL7" i="3" s="1"/>
  <c r="AM7" i="3" a="1"/>
  <c r="AM7" i="3" s="1"/>
  <c r="AI8" i="3" a="1"/>
  <c r="AI8" i="3" s="1"/>
  <c r="AJ8" i="3" a="1"/>
  <c r="AJ8" i="3" s="1"/>
  <c r="AK8" i="3" a="1"/>
  <c r="AK8" i="3" s="1"/>
  <c r="AL8" i="3" a="1"/>
  <c r="AL8" i="3" s="1"/>
  <c r="AM8" i="3" a="1"/>
  <c r="AM8" i="3" s="1"/>
  <c r="AI9" i="3" a="1"/>
  <c r="AI9" i="3"/>
  <c r="AJ9" i="3" a="1"/>
  <c r="AJ9" i="3" s="1"/>
  <c r="AK9" i="3" a="1"/>
  <c r="AK9" i="3" s="1"/>
  <c r="AL9" i="3" a="1"/>
  <c r="AL9" i="3" s="1"/>
  <c r="AM9" i="3" a="1"/>
  <c r="AM9" i="3" s="1"/>
  <c r="BB6" i="3"/>
  <c r="BC6" i="3"/>
  <c r="BD6" i="3"/>
  <c r="BD7" i="3"/>
  <c r="BJ7" i="3" s="1"/>
  <c r="BA7" i="3"/>
  <c r="BC7" i="3"/>
  <c r="BA8" i="3"/>
  <c r="BD8" i="3"/>
  <c r="BJ8" i="3" s="1"/>
  <c r="BB8" i="3"/>
  <c r="BC9" i="3"/>
  <c r="BA9" i="3"/>
  <c r="BB9" i="3"/>
  <c r="AT12" i="3"/>
  <c r="AT11" i="3"/>
  <c r="AH13" i="3"/>
  <c r="AH14" i="3"/>
  <c r="AH15" i="3"/>
  <c r="AH16" i="3"/>
  <c r="AH20" i="3"/>
  <c r="AH21" i="3"/>
  <c r="AH22" i="3"/>
  <c r="AH23" i="3"/>
  <c r="AH34" i="3"/>
  <c r="AH35" i="3"/>
  <c r="AH36" i="3"/>
  <c r="AH37" i="3"/>
  <c r="AH41" i="3"/>
  <c r="AH42" i="3"/>
  <c r="AH43" i="3"/>
  <c r="AH44" i="3"/>
  <c r="AH48" i="3"/>
  <c r="AH49" i="3"/>
  <c r="AH50" i="3"/>
  <c r="AH51" i="3"/>
  <c r="AH55" i="3"/>
  <c r="AH56" i="3"/>
  <c r="AH57" i="3"/>
  <c r="AH58" i="3"/>
  <c r="AI55" i="3" a="1"/>
  <c r="AI55" i="3" s="1"/>
  <c r="AJ55" i="3" a="1"/>
  <c r="AJ55" i="3" s="1"/>
  <c r="AK55" i="3" a="1"/>
  <c r="AK55" i="3" s="1"/>
  <c r="AL55" i="3" a="1"/>
  <c r="AL55" i="3" s="1"/>
  <c r="AM55" i="3" a="1"/>
  <c r="AM55" i="3" s="1"/>
  <c r="AI56" i="3" a="1"/>
  <c r="AI56" i="3" s="1"/>
  <c r="AJ56" i="3" a="1"/>
  <c r="AJ56" i="3"/>
  <c r="AK56" i="3" a="1"/>
  <c r="AK56" i="3" s="1"/>
  <c r="AL56" i="3" a="1"/>
  <c r="AL56" i="3" s="1"/>
  <c r="AM56" i="3" a="1"/>
  <c r="AM56" i="3" s="1"/>
  <c r="AI57" i="3" a="1"/>
  <c r="AI57" i="3" s="1"/>
  <c r="AJ57" i="3" a="1"/>
  <c r="AJ57" i="3" s="1"/>
  <c r="AK57" i="3" a="1"/>
  <c r="AK57" i="3" s="1"/>
  <c r="AL57" i="3" a="1"/>
  <c r="AL57" i="3" s="1"/>
  <c r="AM57" i="3" a="1"/>
  <c r="AM57" i="3" s="1"/>
  <c r="AI58" i="3" a="1"/>
  <c r="AI58" i="3" s="1"/>
  <c r="AJ58" i="3" a="1"/>
  <c r="AJ58" i="3" s="1"/>
  <c r="AK58" i="3" a="1"/>
  <c r="AK58" i="3" s="1"/>
  <c r="AL58" i="3" a="1"/>
  <c r="AL58" i="3" s="1"/>
  <c r="AM58" i="3" a="1"/>
  <c r="AM58" i="3" s="1"/>
  <c r="BB55" i="3"/>
  <c r="BH55" i="3" s="1"/>
  <c r="BC55" i="3"/>
  <c r="BD55" i="3"/>
  <c r="BC56" i="3"/>
  <c r="BI56" i="3" s="1"/>
  <c r="BD56" i="3"/>
  <c r="BA56" i="3"/>
  <c r="BD57" i="3"/>
  <c r="BA57" i="3"/>
  <c r="BI55" i="3" s="1"/>
  <c r="BB57" i="3"/>
  <c r="BA58" i="3"/>
  <c r="BB58" i="3"/>
  <c r="BC58" i="3"/>
  <c r="BI58" i="3" s="1"/>
  <c r="AI13" i="3" a="1"/>
  <c r="AI13" i="3" s="1"/>
  <c r="AJ13" i="3" a="1"/>
  <c r="AJ13" i="3" s="1"/>
  <c r="AK13" i="3" a="1"/>
  <c r="AK13" i="3" s="1"/>
  <c r="AL13" i="3" a="1"/>
  <c r="AL13" i="3" s="1"/>
  <c r="AM13" i="3" a="1"/>
  <c r="AM13" i="3" s="1"/>
  <c r="AI14" i="3" a="1"/>
  <c r="AI14" i="3" s="1"/>
  <c r="AJ14" i="3" a="1"/>
  <c r="AJ14" i="3" s="1"/>
  <c r="AK14" i="3" a="1"/>
  <c r="AK14" i="3" s="1"/>
  <c r="AL14" i="3" a="1"/>
  <c r="AL14" i="3" s="1"/>
  <c r="AM14" i="3" a="1"/>
  <c r="AM14" i="3" s="1"/>
  <c r="AI15" i="3" a="1"/>
  <c r="AI15" i="3" s="1"/>
  <c r="AJ15" i="3" a="1"/>
  <c r="AJ15" i="3" s="1"/>
  <c r="AK15" i="3" a="1"/>
  <c r="AK15" i="3" s="1"/>
  <c r="AL15" i="3" a="1"/>
  <c r="AL15" i="3" s="1"/>
  <c r="AM15" i="3" a="1"/>
  <c r="AM15" i="3" s="1"/>
  <c r="AI16" i="3" a="1"/>
  <c r="AI16" i="3" s="1"/>
  <c r="AJ16" i="3" a="1"/>
  <c r="AJ16" i="3"/>
  <c r="AK16" i="3" a="1"/>
  <c r="AK16" i="3" s="1"/>
  <c r="AL16" i="3" a="1"/>
  <c r="AL16" i="3" s="1"/>
  <c r="AM16" i="3" a="1"/>
  <c r="AM16" i="3" s="1"/>
  <c r="BB13" i="3"/>
  <c r="BC13" i="3"/>
  <c r="BD13" i="3"/>
  <c r="BC14" i="3"/>
  <c r="BD14" i="3"/>
  <c r="BA14" i="3"/>
  <c r="BD15" i="3"/>
  <c r="BA15" i="3"/>
  <c r="BB15" i="3"/>
  <c r="BH15" i="3" s="1"/>
  <c r="BA16" i="3"/>
  <c r="BB16" i="3"/>
  <c r="BC16" i="3"/>
  <c r="AI20" i="3" a="1"/>
  <c r="AI20" i="3" s="1"/>
  <c r="AJ20" i="3" a="1"/>
  <c r="AJ20" i="3" s="1"/>
  <c r="AK20" i="3" a="1"/>
  <c r="AK20" i="3" s="1"/>
  <c r="AL20" i="3" a="1"/>
  <c r="AL20" i="3" s="1"/>
  <c r="AM20" i="3" a="1"/>
  <c r="AM20" i="3" s="1"/>
  <c r="AI21" i="3" a="1"/>
  <c r="AI21" i="3" s="1"/>
  <c r="AJ21" i="3" a="1"/>
  <c r="AJ21" i="3"/>
  <c r="AK21" i="3" a="1"/>
  <c r="AK21" i="3" s="1"/>
  <c r="AL21" i="3" a="1"/>
  <c r="AL21" i="3" s="1"/>
  <c r="AM21" i="3" a="1"/>
  <c r="AM21" i="3" s="1"/>
  <c r="AI22" i="3" a="1"/>
  <c r="AI22" i="3" s="1"/>
  <c r="AJ22" i="3" a="1"/>
  <c r="AJ22" i="3" s="1"/>
  <c r="AK22" i="3" a="1"/>
  <c r="AK22" i="3" s="1"/>
  <c r="AL22" i="3" a="1"/>
  <c r="AL22" i="3" s="1"/>
  <c r="AM22" i="3" a="1"/>
  <c r="AM22" i="3" s="1"/>
  <c r="AN22" i="3" s="1"/>
  <c r="AI23" i="3" a="1"/>
  <c r="AI23" i="3" s="1"/>
  <c r="AJ23" i="3" a="1"/>
  <c r="AJ23" i="3" s="1"/>
  <c r="AK23" i="3" a="1"/>
  <c r="AK23" i="3" s="1"/>
  <c r="AL23" i="3" a="1"/>
  <c r="AL23" i="3" s="1"/>
  <c r="AM23" i="3" a="1"/>
  <c r="AM23" i="3" s="1"/>
  <c r="BB20" i="3"/>
  <c r="BC20" i="3"/>
  <c r="BD20" i="3"/>
  <c r="BC21" i="3"/>
  <c r="BI21" i="3" s="1"/>
  <c r="BD21" i="3"/>
  <c r="BA21" i="3"/>
  <c r="BD22" i="3"/>
  <c r="BA22" i="3"/>
  <c r="BB22" i="3"/>
  <c r="BA23" i="3"/>
  <c r="BB23" i="3"/>
  <c r="BC23" i="3"/>
  <c r="AI27" i="3" a="1"/>
  <c r="AI27" i="3" s="1"/>
  <c r="AJ27" i="3" a="1"/>
  <c r="AJ27" i="3" s="1"/>
  <c r="AK27" i="3" a="1"/>
  <c r="AK27" i="3" s="1"/>
  <c r="AL27" i="3" a="1"/>
  <c r="AL27" i="3" s="1"/>
  <c r="AM27" i="3" a="1"/>
  <c r="AM27" i="3" s="1"/>
  <c r="AN27" i="3" s="1"/>
  <c r="AI28" i="3" a="1"/>
  <c r="AI28" i="3" s="1"/>
  <c r="AJ28" i="3" a="1"/>
  <c r="AJ28" i="3" s="1"/>
  <c r="AK28" i="3" a="1"/>
  <c r="AK28" i="3" s="1"/>
  <c r="AL28" i="3" a="1"/>
  <c r="AL28" i="3" s="1"/>
  <c r="AM28" i="3" a="1"/>
  <c r="AM28" i="3" s="1"/>
  <c r="AI29" i="3" a="1"/>
  <c r="AI29" i="3" s="1"/>
  <c r="AJ29" i="3" a="1"/>
  <c r="AJ29" i="3" s="1"/>
  <c r="AK29" i="3" a="1"/>
  <c r="AK29" i="3" s="1"/>
  <c r="AL29" i="3" a="1"/>
  <c r="AL29" i="3" s="1"/>
  <c r="AM29" i="3" a="1"/>
  <c r="AM29" i="3" s="1"/>
  <c r="AI30" i="3" a="1"/>
  <c r="AI30" i="3" s="1"/>
  <c r="AJ30" i="3" a="1"/>
  <c r="AJ30" i="3" s="1"/>
  <c r="AK30" i="3" a="1"/>
  <c r="AK30" i="3" s="1"/>
  <c r="AL30" i="3" a="1"/>
  <c r="AL30" i="3" s="1"/>
  <c r="AM30" i="3" a="1"/>
  <c r="AM30" i="3" s="1"/>
  <c r="BB27" i="3"/>
  <c r="BC27" i="3"/>
  <c r="BD27" i="3"/>
  <c r="BC28" i="3"/>
  <c r="BD28" i="3"/>
  <c r="BA28" i="3"/>
  <c r="BD29" i="3"/>
  <c r="BI30" i="3" s="1"/>
  <c r="BA29" i="3"/>
  <c r="BB29" i="3"/>
  <c r="BA30" i="3"/>
  <c r="BB30" i="3"/>
  <c r="BC30" i="3"/>
  <c r="AI34" i="3" a="1"/>
  <c r="AI34" i="3" s="1"/>
  <c r="AJ34" i="3" a="1"/>
  <c r="AJ34" i="3" s="1"/>
  <c r="AK34" i="3" a="1"/>
  <c r="AK34" i="3" s="1"/>
  <c r="AL34" i="3" a="1"/>
  <c r="AL34" i="3" s="1"/>
  <c r="AM34" i="3" a="1"/>
  <c r="AM34" i="3" s="1"/>
  <c r="AI35" i="3" a="1"/>
  <c r="AI35" i="3" s="1"/>
  <c r="AJ35" i="3" a="1"/>
  <c r="AJ35" i="3" s="1"/>
  <c r="AK35" i="3" a="1"/>
  <c r="AK35" i="3" s="1"/>
  <c r="AL35" i="3" a="1"/>
  <c r="AL35" i="3" s="1"/>
  <c r="AM35" i="3" a="1"/>
  <c r="AM35" i="3" s="1"/>
  <c r="AI36" i="3" a="1"/>
  <c r="AI36" i="3" s="1"/>
  <c r="AJ36" i="3" a="1"/>
  <c r="AJ36" i="3" s="1"/>
  <c r="AK36" i="3" a="1"/>
  <c r="AK36" i="3" s="1"/>
  <c r="AL36" i="3" a="1"/>
  <c r="AL36" i="3" s="1"/>
  <c r="AM36" i="3" a="1"/>
  <c r="AM36" i="3" s="1"/>
  <c r="AI37" i="3" a="1"/>
  <c r="AI37" i="3" s="1"/>
  <c r="AJ37" i="3" a="1"/>
  <c r="AJ37" i="3" s="1"/>
  <c r="AK37" i="3" a="1"/>
  <c r="AK37" i="3" s="1"/>
  <c r="AL37" i="3" a="1"/>
  <c r="AL37" i="3" s="1"/>
  <c r="AM37" i="3" a="1"/>
  <c r="AM37" i="3" s="1"/>
  <c r="BB34" i="3"/>
  <c r="BC34" i="3"/>
  <c r="BD34" i="3"/>
  <c r="BC35" i="3"/>
  <c r="BD35" i="3"/>
  <c r="BA35" i="3"/>
  <c r="BD36" i="3"/>
  <c r="BA36" i="3"/>
  <c r="BB36" i="3"/>
  <c r="BA37" i="3"/>
  <c r="BB37" i="3"/>
  <c r="BH37" i="3" s="1"/>
  <c r="BC37" i="3"/>
  <c r="BI37" i="3" s="1"/>
  <c r="AI41" i="3" a="1"/>
  <c r="AI41" i="3" s="1"/>
  <c r="AJ41" i="3" a="1"/>
  <c r="AJ41" i="3" s="1"/>
  <c r="AK41" i="3" a="1"/>
  <c r="AK41" i="3" s="1"/>
  <c r="AL41" i="3" a="1"/>
  <c r="AL41" i="3" s="1"/>
  <c r="AM41" i="3" a="1"/>
  <c r="AM41" i="3" s="1"/>
  <c r="AI42" i="3" a="1"/>
  <c r="AI42" i="3" s="1"/>
  <c r="AJ42" i="3" a="1"/>
  <c r="AJ42" i="3" s="1"/>
  <c r="AK42" i="3" a="1"/>
  <c r="AK42" i="3"/>
  <c r="AL42" i="3" a="1"/>
  <c r="AL42" i="3" s="1"/>
  <c r="AM42" i="3" a="1"/>
  <c r="AM42" i="3" s="1"/>
  <c r="AI43" i="3" a="1"/>
  <c r="AI43" i="3" s="1"/>
  <c r="AJ43" i="3" a="1"/>
  <c r="AJ43" i="3" s="1"/>
  <c r="AK43" i="3" a="1"/>
  <c r="AK43" i="3"/>
  <c r="AL43" i="3" a="1"/>
  <c r="AL43" i="3" s="1"/>
  <c r="AM43" i="3" a="1"/>
  <c r="AM43" i="3" s="1"/>
  <c r="AI44" i="3" a="1"/>
  <c r="AI44" i="3" s="1"/>
  <c r="AJ44" i="3" a="1"/>
  <c r="AJ44" i="3"/>
  <c r="AK44" i="3" a="1"/>
  <c r="AK44" i="3" s="1"/>
  <c r="AL44" i="3" a="1"/>
  <c r="AL44" i="3" s="1"/>
  <c r="AM44" i="3" a="1"/>
  <c r="AM44" i="3" s="1"/>
  <c r="BB41" i="3"/>
  <c r="BC41" i="3"/>
  <c r="BG43" i="3" s="1"/>
  <c r="BD41" i="3"/>
  <c r="BC42" i="3"/>
  <c r="BH43" i="3" s="1"/>
  <c r="BD42" i="3"/>
  <c r="BJ42" i="3" s="1"/>
  <c r="BA42" i="3"/>
  <c r="BD43" i="3"/>
  <c r="BA43" i="3"/>
  <c r="BB43" i="3"/>
  <c r="BA44" i="3"/>
  <c r="BG44" i="3" s="1"/>
  <c r="BB44" i="3"/>
  <c r="BC44" i="3"/>
  <c r="AI48" i="3" a="1"/>
  <c r="AI48" i="3" s="1"/>
  <c r="AJ48" i="3" a="1"/>
  <c r="AJ48" i="3"/>
  <c r="AK48" i="3" a="1"/>
  <c r="AK48" i="3"/>
  <c r="AL48" i="3" a="1"/>
  <c r="AL48" i="3" s="1"/>
  <c r="AM48" i="3" a="1"/>
  <c r="AM48" i="3" s="1"/>
  <c r="AI49" i="3" a="1"/>
  <c r="AI49" i="3" s="1"/>
  <c r="AJ49" i="3" a="1"/>
  <c r="AJ49" i="3" s="1"/>
  <c r="AK49" i="3" a="1"/>
  <c r="AK49" i="3" s="1"/>
  <c r="AL49" i="3" a="1"/>
  <c r="AL49" i="3" s="1"/>
  <c r="AM49" i="3" a="1"/>
  <c r="AM49" i="3" s="1"/>
  <c r="AI50" i="3" a="1"/>
  <c r="AI50" i="3" s="1"/>
  <c r="AJ50" i="3" a="1"/>
  <c r="AJ50" i="3" s="1"/>
  <c r="AK50" i="3" a="1"/>
  <c r="AK50" i="3" s="1"/>
  <c r="AL50" i="3" a="1"/>
  <c r="AL50" i="3" s="1"/>
  <c r="AM50" i="3" a="1"/>
  <c r="AM50" i="3" s="1"/>
  <c r="AI51" i="3" a="1"/>
  <c r="AI51" i="3" s="1"/>
  <c r="AJ51" i="3" a="1"/>
  <c r="AJ51" i="3"/>
  <c r="AK51" i="3" a="1"/>
  <c r="AK51" i="3" s="1"/>
  <c r="AL51" i="3" a="1"/>
  <c r="AL51" i="3" s="1"/>
  <c r="AM51" i="3" a="1"/>
  <c r="AM51" i="3" s="1"/>
  <c r="BB48" i="3"/>
  <c r="BC48" i="3"/>
  <c r="BI48" i="3" s="1"/>
  <c r="BD48" i="3"/>
  <c r="BC49" i="3"/>
  <c r="BD49" i="3"/>
  <c r="BA49" i="3"/>
  <c r="BD50" i="3"/>
  <c r="BA50" i="3"/>
  <c r="BB50" i="3"/>
  <c r="BA51" i="3"/>
  <c r="BB51" i="3"/>
  <c r="BC51" i="3"/>
  <c r="CX53" i="3"/>
  <c r="CW53" i="3"/>
  <c r="CX46" i="3"/>
  <c r="CW46" i="3"/>
  <c r="CX39" i="3"/>
  <c r="CW39" i="3"/>
  <c r="CX32" i="3"/>
  <c r="CW32" i="3"/>
  <c r="AT9" i="3"/>
  <c r="AT8" i="3" s="1"/>
  <c r="AT7" i="3" s="1"/>
  <c r="CX25" i="3"/>
  <c r="CW25" i="3"/>
  <c r="CX18" i="3"/>
  <c r="CW18" i="3"/>
  <c r="CX11" i="3"/>
  <c r="CW11" i="3"/>
  <c r="CW4" i="3"/>
  <c r="CX4" i="3"/>
  <c r="C6" i="8"/>
  <c r="F80" i="3"/>
  <c r="L74" i="3" s="1"/>
  <c r="F87" i="3"/>
  <c r="F81" i="3"/>
  <c r="K87" i="3"/>
  <c r="K80" i="3"/>
  <c r="L75" i="3" s="1"/>
  <c r="F84" i="3"/>
  <c r="C144" i="8" s="1"/>
  <c r="K81" i="3"/>
  <c r="C137" i="8" s="1"/>
  <c r="K84" i="3"/>
  <c r="C145" i="8" s="1"/>
  <c r="F77" i="3"/>
  <c r="L70" i="3" s="1"/>
  <c r="K77" i="3"/>
  <c r="L71" i="3" s="1"/>
  <c r="F76" i="3"/>
  <c r="K76" i="3"/>
  <c r="L67" i="3" s="1"/>
  <c r="F75" i="3"/>
  <c r="K75" i="3"/>
  <c r="C123" i="8" s="1"/>
  <c r="F74" i="3"/>
  <c r="K74" i="3"/>
  <c r="L65" i="3" s="1"/>
  <c r="L101" i="3"/>
  <c r="L98" i="3"/>
  <c r="L99" i="3"/>
  <c r="L97" i="3"/>
  <c r="L95" i="3"/>
  <c r="L93" i="3"/>
  <c r="L94" i="3"/>
  <c r="C53" i="8"/>
  <c r="B53" i="8"/>
  <c r="F91" i="3"/>
  <c r="L84" i="3" s="1"/>
  <c r="F89" i="3"/>
  <c r="L87" i="3" s="1"/>
  <c r="F90" i="3"/>
  <c r="C159" i="8" s="1"/>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C161" i="8"/>
  <c r="C162" i="8"/>
  <c r="C163" i="8"/>
  <c r="C164" i="8"/>
  <c r="C165" i="8"/>
  <c r="C166"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s="1"/>
  <c r="BJ54" i="3" s="1"/>
  <c r="AV57" i="3"/>
  <c r="AV56" i="3"/>
  <c r="BB54" i="3" s="1"/>
  <c r="BH54" i="3" s="1"/>
  <c r="AV55" i="3"/>
  <c r="BA54" i="3" s="1"/>
  <c r="BG54" i="3" s="1"/>
  <c r="BC54" i="3"/>
  <c r="BI54" i="3" s="1"/>
  <c r="AV53" i="3"/>
  <c r="AV51" i="3"/>
  <c r="BD47" i="3" s="1"/>
  <c r="BJ47" i="3" s="1"/>
  <c r="AV50" i="3"/>
  <c r="BC47" i="3" s="1"/>
  <c r="BI47" i="3" s="1"/>
  <c r="AV49" i="3"/>
  <c r="BB47" i="3" s="1"/>
  <c r="BH47" i="3" s="1"/>
  <c r="AV48" i="3"/>
  <c r="BA47" i="3" s="1"/>
  <c r="BG47" i="3" s="1"/>
  <c r="AV46"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s="1"/>
  <c r="BJ40" i="3" s="1"/>
  <c r="AV43" i="3"/>
  <c r="BC40" i="3" s="1"/>
  <c r="BI40" i="3" s="1"/>
  <c r="AV42" i="3"/>
  <c r="BB40" i="3" s="1"/>
  <c r="BH40" i="3" s="1"/>
  <c r="AV41" i="3"/>
  <c r="BA40" i="3"/>
  <c r="BG40" i="3" s="1"/>
  <c r="AV39" i="3"/>
  <c r="AV37" i="3"/>
  <c r="BD33" i="3" s="1"/>
  <c r="BJ33" i="3" s="1"/>
  <c r="AV36" i="3"/>
  <c r="BC33" i="3"/>
  <c r="BI33" i="3" s="1"/>
  <c r="AV35" i="3"/>
  <c r="BB33" i="3" s="1"/>
  <c r="BH33" i="3" s="1"/>
  <c r="AV34" i="3"/>
  <c r="BA33" i="3" s="1"/>
  <c r="BG33" i="3" s="1"/>
  <c r="AV32" i="3"/>
  <c r="AV30" i="3"/>
  <c r="BD26" i="3"/>
  <c r="BJ26" i="3" s="1"/>
  <c r="AV29" i="3"/>
  <c r="BC26" i="3" s="1"/>
  <c r="BI26" i="3" s="1"/>
  <c r="AV28" i="3"/>
  <c r="BB26" i="3"/>
  <c r="BH26" i="3" s="1"/>
  <c r="AV27" i="3"/>
  <c r="BA26" i="3"/>
  <c r="BG26" i="3" s="1"/>
  <c r="AV25" i="3"/>
  <c r="AV23" i="3"/>
  <c r="BD19" i="3" s="1"/>
  <c r="BJ19" i="3"/>
  <c r="AV22" i="3"/>
  <c r="BC19" i="3" s="1"/>
  <c r="BI19" i="3" s="1"/>
  <c r="AV21" i="3"/>
  <c r="BB19" i="3"/>
  <c r="BH19" i="3" s="1"/>
  <c r="AV20" i="3"/>
  <c r="BA19" i="3" s="1"/>
  <c r="BG19" i="3" s="1"/>
  <c r="AV18" i="3"/>
  <c r="AV11" i="3"/>
  <c r="AV4" i="3"/>
  <c r="AV16" i="3"/>
  <c r="BD12" i="3" s="1"/>
  <c r="BJ12" i="3" s="1"/>
  <c r="AV15" i="3"/>
  <c r="BC12" i="3"/>
  <c r="BI12" i="3" s="1"/>
  <c r="AV14" i="3"/>
  <c r="BB12" i="3"/>
  <c r="BH12" i="3" s="1"/>
  <c r="AV13" i="3"/>
  <c r="BA12" i="3" s="1"/>
  <c r="BG12" i="3"/>
  <c r="AV7" i="3"/>
  <c r="BB5" i="3"/>
  <c r="BH5" i="3" s="1"/>
  <c r="AV8" i="3"/>
  <c r="BC5" i="3" s="1"/>
  <c r="BI5" i="3" s="1"/>
  <c r="AV9" i="3"/>
  <c r="BD5" i="3" s="1"/>
  <c r="BJ5" i="3" s="1"/>
  <c r="AV6" i="3"/>
  <c r="BA5" i="3" s="1"/>
  <c r="BG5" i="3" s="1"/>
  <c r="AT6" i="3"/>
  <c r="BH57" i="3" l="1"/>
  <c r="BJ55" i="3"/>
  <c r="BH58" i="3"/>
  <c r="BJ56" i="3"/>
  <c r="BG57" i="3"/>
  <c r="AN55" i="3"/>
  <c r="AN48" i="3"/>
  <c r="BJ41" i="3"/>
  <c r="BI41" i="3"/>
  <c r="BJ35" i="3"/>
  <c r="BJ14" i="3"/>
  <c r="C125" i="8"/>
  <c r="BJ57" i="3"/>
  <c r="AN58" i="3"/>
  <c r="AN56" i="3"/>
  <c r="BI51" i="3"/>
  <c r="L69" i="3"/>
  <c r="BI44" i="3"/>
  <c r="AN44" i="3"/>
  <c r="AG43" i="3"/>
  <c r="BG42" i="3"/>
  <c r="AG42" i="3"/>
  <c r="AN43" i="3"/>
  <c r="AN36" i="3"/>
  <c r="AN50" i="3"/>
  <c r="AN57" i="3"/>
  <c r="BI42" i="3"/>
  <c r="AG48" i="3"/>
  <c r="BJ36" i="3"/>
  <c r="BH41" i="3"/>
  <c r="AN41" i="3"/>
  <c r="BG35" i="3"/>
  <c r="BJ28" i="3"/>
  <c r="BG14" i="3"/>
  <c r="AG57" i="3"/>
  <c r="C129" i="8"/>
  <c r="BG49" i="3"/>
  <c r="AN49" i="3"/>
  <c r="AG41" i="3"/>
  <c r="BH36" i="3"/>
  <c r="BI20" i="3"/>
  <c r="AN42" i="3"/>
  <c r="BI13" i="3"/>
  <c r="BG58" i="3"/>
  <c r="BG50" i="3"/>
  <c r="BH44" i="3"/>
  <c r="AG58" i="3"/>
  <c r="BJ34" i="3"/>
  <c r="BG16" i="3"/>
  <c r="BG56" i="3"/>
  <c r="C136" i="8"/>
  <c r="AN37" i="3"/>
  <c r="B129" i="8"/>
  <c r="AG37" i="3"/>
  <c r="BH34" i="3"/>
  <c r="AG34" i="3"/>
  <c r="B141" i="8"/>
  <c r="AN34" i="3"/>
  <c r="AG36" i="3"/>
  <c r="AG35" i="3"/>
  <c r="B131" i="8"/>
  <c r="C119" i="8"/>
  <c r="BI28" i="3"/>
  <c r="AG30" i="3"/>
  <c r="BH29" i="3"/>
  <c r="BH30" i="3"/>
  <c r="AN28" i="3"/>
  <c r="BJ29" i="3"/>
  <c r="BH27" i="3"/>
  <c r="AG29" i="3"/>
  <c r="AG27" i="3"/>
  <c r="BG22" i="3"/>
  <c r="AN21" i="3"/>
  <c r="AG23" i="3"/>
  <c r="AG21" i="3"/>
  <c r="AN20" i="3"/>
  <c r="BG21" i="3"/>
  <c r="C122" i="8"/>
  <c r="AN23" i="3"/>
  <c r="C124" i="8"/>
  <c r="AG20" i="3"/>
  <c r="B128" i="8"/>
  <c r="BH20" i="3"/>
  <c r="C130" i="8"/>
  <c r="BI14" i="3"/>
  <c r="BJ13" i="3"/>
  <c r="BH16" i="3"/>
  <c r="BG15" i="3"/>
  <c r="AN16" i="3"/>
  <c r="BI16" i="3"/>
  <c r="AG14" i="3"/>
  <c r="AG15" i="3"/>
  <c r="AG13" i="3"/>
  <c r="AN14" i="3"/>
  <c r="AN15" i="3"/>
  <c r="BH8" i="3"/>
  <c r="BI7" i="3"/>
  <c r="BJ6" i="3"/>
  <c r="BG9" i="3"/>
  <c r="AN6" i="3"/>
  <c r="C158" i="8"/>
  <c r="AN9" i="3"/>
  <c r="B148" i="8"/>
  <c r="C155" i="8"/>
  <c r="C134" i="8"/>
  <c r="L76" i="3"/>
  <c r="C135" i="8"/>
  <c r="C118" i="8"/>
  <c r="L64" i="3"/>
  <c r="C148" i="8"/>
  <c r="C151" i="8"/>
  <c r="B140" i="8"/>
  <c r="AG8" i="3"/>
  <c r="B155" i="8"/>
  <c r="L80" i="3"/>
  <c r="AN7" i="3"/>
  <c r="C141" i="8"/>
  <c r="L89" i="3"/>
  <c r="AG9" i="3"/>
  <c r="C140" i="8"/>
  <c r="L66" i="3"/>
  <c r="C120" i="8"/>
  <c r="B130" i="8"/>
  <c r="L90" i="3"/>
  <c r="L81" i="3"/>
  <c r="C152" i="8"/>
  <c r="L77" i="3"/>
  <c r="AG49" i="3"/>
  <c r="C121" i="8"/>
  <c r="L91" i="3"/>
  <c r="C131" i="8"/>
  <c r="BJ49" i="3"/>
  <c r="BH51" i="3"/>
  <c r="BI34" i="3"/>
  <c r="BG36" i="3"/>
  <c r="C160" i="8"/>
  <c r="C128" i="8"/>
  <c r="L68" i="3"/>
  <c r="BG30" i="3"/>
  <c r="BJ27" i="3"/>
  <c r="BH48" i="3"/>
  <c r="BI49" i="3"/>
  <c r="BH50" i="3"/>
  <c r="BG51" i="3"/>
  <c r="BJ48" i="3"/>
  <c r="AG44" i="3"/>
  <c r="BG37" i="3"/>
  <c r="BI27" i="3"/>
  <c r="BG29" i="3"/>
  <c r="BI35" i="3"/>
  <c r="BJ20" i="3"/>
  <c r="BG23" i="3"/>
  <c r="AG56" i="3"/>
  <c r="BJ22" i="3"/>
  <c r="BI23" i="3"/>
  <c r="AG51" i="3"/>
  <c r="AG22" i="3"/>
  <c r="AN30" i="3"/>
  <c r="AN8" i="3"/>
  <c r="BG28" i="3"/>
  <c r="AN35" i="3"/>
  <c r="AG16" i="3"/>
  <c r="AN13" i="3"/>
  <c r="AG55" i="3"/>
  <c r="AN51" i="3"/>
  <c r="AG50" i="3"/>
  <c r="AN29" i="3"/>
  <c r="AG28" i="3"/>
  <c r="AG7" i="3"/>
  <c r="BJ43" i="3"/>
  <c r="BJ21" i="3"/>
  <c r="BH23" i="3"/>
  <c r="BH13" i="3"/>
  <c r="BH6" i="3"/>
  <c r="BG7" i="3"/>
  <c r="BI9" i="3"/>
  <c r="BJ50" i="3"/>
  <c r="BH22" i="3"/>
  <c r="AG6" i="3"/>
  <c r="BJ15" i="3"/>
  <c r="BH9" i="3"/>
  <c r="BG8" i="3"/>
  <c r="BI6" i="3"/>
  <c r="BF58" i="3" l="1"/>
  <c r="BF42" i="3"/>
  <c r="AW37" i="3"/>
  <c r="AW36" i="3"/>
  <c r="AW35" i="3"/>
  <c r="BF37" i="3"/>
  <c r="AW34" i="3"/>
  <c r="BF36" i="3"/>
  <c r="AZ30" i="3"/>
  <c r="BF27" i="3"/>
  <c r="AZ29" i="3"/>
  <c r="BF20" i="3"/>
  <c r="BF23" i="3"/>
  <c r="BF14" i="3"/>
  <c r="AZ14" i="3"/>
  <c r="BF13" i="3"/>
  <c r="AZ13" i="3"/>
  <c r="N89" i="3"/>
  <c r="N93" i="3"/>
  <c r="AZ8" i="3"/>
  <c r="AZ9" i="3"/>
  <c r="BF43" i="3"/>
  <c r="AW42" i="3"/>
  <c r="AZ7" i="3"/>
  <c r="BF7" i="3"/>
  <c r="AW7" i="3"/>
  <c r="BF55" i="3"/>
  <c r="AZ55" i="3"/>
  <c r="AW58" i="3"/>
  <c r="AW55" i="3"/>
  <c r="AW57" i="3"/>
  <c r="BF8" i="3"/>
  <c r="BF56" i="3"/>
  <c r="AZ56" i="3"/>
  <c r="AW56" i="3"/>
  <c r="AZ34" i="3"/>
  <c r="AZ27" i="3"/>
  <c r="AZ42" i="3"/>
  <c r="BF22" i="3"/>
  <c r="AZ22" i="3"/>
  <c r="AW21" i="3"/>
  <c r="AW23" i="3"/>
  <c r="AW22" i="3"/>
  <c r="AW20" i="3"/>
  <c r="AZ6" i="3"/>
  <c r="BF6" i="3"/>
  <c r="AW8" i="3"/>
  <c r="AW6" i="3"/>
  <c r="AW9" i="3"/>
  <c r="BF9" i="3"/>
  <c r="AW15" i="3"/>
  <c r="AW13" i="3"/>
  <c r="AW14" i="3"/>
  <c r="BF51" i="3"/>
  <c r="AZ51" i="3"/>
  <c r="AW51" i="3"/>
  <c r="AZ58" i="3"/>
  <c r="BF34" i="3"/>
  <c r="AZ57" i="3"/>
  <c r="BF57" i="3"/>
  <c r="AZ36" i="3"/>
  <c r="BF44" i="3"/>
  <c r="AZ44" i="3"/>
  <c r="AW41" i="3"/>
  <c r="AW44" i="3"/>
  <c r="AW43" i="3"/>
  <c r="AZ28" i="3"/>
  <c r="BF28" i="3"/>
  <c r="AW27" i="3"/>
  <c r="AW28" i="3"/>
  <c r="AW29" i="3"/>
  <c r="AW30" i="3"/>
  <c r="BF21" i="3"/>
  <c r="BF30" i="3"/>
  <c r="BF29" i="3"/>
  <c r="AZ21" i="3"/>
  <c r="BF41" i="3"/>
  <c r="AZ48" i="3"/>
  <c r="BF49" i="3"/>
  <c r="AZ49" i="3"/>
  <c r="AW48" i="3"/>
  <c r="AW49" i="3"/>
  <c r="AZ35" i="3"/>
  <c r="AZ41" i="3"/>
  <c r="AZ23" i="3"/>
  <c r="BF35" i="3"/>
  <c r="AZ37" i="3"/>
  <c r="AZ50" i="3"/>
  <c r="BF50" i="3"/>
  <c r="AW50" i="3"/>
  <c r="BF16" i="3"/>
  <c r="AZ16" i="3"/>
  <c r="AW16" i="3"/>
  <c r="BF48" i="3"/>
  <c r="BF15" i="3"/>
  <c r="AZ15" i="3"/>
  <c r="AZ43" i="3"/>
  <c r="AZ20" i="3"/>
  <c r="BE58" i="3" l="1"/>
  <c r="BE35" i="3"/>
  <c r="AY58" i="3"/>
  <c r="AX58" i="3" s="1"/>
  <c r="BE48" i="3"/>
  <c r="BE44" i="3"/>
  <c r="AY43" i="3"/>
  <c r="BE15" i="3"/>
  <c r="AY48" i="3"/>
  <c r="BE56" i="3"/>
  <c r="BE36" i="3"/>
  <c r="AY35" i="3"/>
  <c r="AX35" i="3" s="1"/>
  <c r="BE37" i="3"/>
  <c r="AY27" i="3"/>
  <c r="BE30" i="3"/>
  <c r="AY20" i="3"/>
  <c r="BE21" i="3"/>
  <c r="BE23" i="3"/>
  <c r="AY16" i="3"/>
  <c r="AY13" i="3"/>
  <c r="BE6" i="3"/>
  <c r="AY6" i="3"/>
  <c r="BE13" i="3"/>
  <c r="AY34" i="3"/>
  <c r="BE7" i="3"/>
  <c r="AY14" i="3"/>
  <c r="AY36" i="3"/>
  <c r="AY51" i="3"/>
  <c r="AY7" i="3"/>
  <c r="AY37" i="3"/>
  <c r="AY49" i="3"/>
  <c r="BE14" i="3"/>
  <c r="BE49" i="3"/>
  <c r="BE57" i="3"/>
  <c r="BE51" i="3"/>
  <c r="AY56" i="3"/>
  <c r="AY22" i="3"/>
  <c r="BE8" i="3"/>
  <c r="AY50" i="3"/>
  <c r="AY23" i="3"/>
  <c r="BE41" i="3"/>
  <c r="BE28" i="3"/>
  <c r="BE22" i="3"/>
  <c r="BE43" i="3"/>
  <c r="AX43" i="3" s="1"/>
  <c r="BE50" i="3"/>
  <c r="AY41" i="3"/>
  <c r="AY21" i="3"/>
  <c r="AX21" i="3" s="1"/>
  <c r="AY28" i="3"/>
  <c r="BE9" i="3"/>
  <c r="AY8" i="3"/>
  <c r="AY15" i="3"/>
  <c r="BE29" i="3"/>
  <c r="BE20" i="3"/>
  <c r="AX20" i="3" s="1"/>
  <c r="AY57" i="3"/>
  <c r="AY55" i="3"/>
  <c r="AY29" i="3"/>
  <c r="BE16" i="3"/>
  <c r="AY9" i="3"/>
  <c r="AY30" i="3"/>
  <c r="AX30" i="3" s="1"/>
  <c r="BE55" i="3"/>
  <c r="BE27" i="3"/>
  <c r="AY44" i="3"/>
  <c r="AX44" i="3" s="1"/>
  <c r="BE34" i="3"/>
  <c r="AY42" i="3"/>
  <c r="BE42" i="3"/>
  <c r="AX51" i="3" l="1"/>
  <c r="AX42" i="3"/>
  <c r="AX16" i="3"/>
  <c r="AX15" i="3"/>
  <c r="AX56" i="3"/>
  <c r="AO58" i="3"/>
  <c r="BN58" i="3"/>
  <c r="BN56" i="3"/>
  <c r="AO56" i="3"/>
  <c r="AX48" i="3"/>
  <c r="AO48" i="3" s="1"/>
  <c r="BN51" i="3"/>
  <c r="AO51" i="3"/>
  <c r="AO44" i="3"/>
  <c r="BN44" i="3"/>
  <c r="BN43" i="3"/>
  <c r="AO43" i="3"/>
  <c r="BN42" i="3"/>
  <c r="AO42" i="3"/>
  <c r="AX36" i="3"/>
  <c r="AO36" i="3" s="1"/>
  <c r="AX23" i="3"/>
  <c r="AX55" i="3"/>
  <c r="AX27" i="3"/>
  <c r="AX41" i="3"/>
  <c r="AX49" i="3"/>
  <c r="AX37" i="3"/>
  <c r="BN37" i="3" s="1"/>
  <c r="AO35" i="3"/>
  <c r="BN35" i="3"/>
  <c r="AX34" i="3"/>
  <c r="AO30" i="3"/>
  <c r="BN30" i="3"/>
  <c r="BN27" i="3"/>
  <c r="AO27" i="3"/>
  <c r="AX28" i="3"/>
  <c r="BN23" i="3"/>
  <c r="AO23" i="3"/>
  <c r="AO20" i="3"/>
  <c r="BN20" i="3"/>
  <c r="BN21" i="3"/>
  <c r="AO21" i="3"/>
  <c r="AX22" i="3"/>
  <c r="AX13" i="3"/>
  <c r="BN13" i="3" s="1"/>
  <c r="AO16" i="3"/>
  <c r="BN16" i="3"/>
  <c r="AO15" i="3"/>
  <c r="BN15" i="3"/>
  <c r="AX7" i="3"/>
  <c r="AO7" i="3" s="1"/>
  <c r="AX6" i="3"/>
  <c r="BN6" i="3" s="1"/>
  <c r="AX9" i="3"/>
  <c r="AX8" i="3"/>
  <c r="AX57" i="3"/>
  <c r="AX29" i="3"/>
  <c r="AX50" i="3"/>
  <c r="AX14" i="3"/>
  <c r="BN48" i="3" l="1"/>
  <c r="AO37" i="3"/>
  <c r="BN36" i="3"/>
  <c r="BN7" i="3"/>
  <c r="AO57" i="3"/>
  <c r="BN57" i="3"/>
  <c r="BN55" i="3"/>
  <c r="AO55" i="3"/>
  <c r="AE58" i="3" s="1"/>
  <c r="AP58" i="3" s="1"/>
  <c r="AO50" i="3"/>
  <c r="BN50" i="3"/>
  <c r="BN49" i="3"/>
  <c r="AO49" i="3"/>
  <c r="BN41" i="3"/>
  <c r="BL42" i="3" s="1"/>
  <c r="AO41" i="3"/>
  <c r="AE42" i="3" s="1"/>
  <c r="AP42" i="3" s="1"/>
  <c r="BN34" i="3"/>
  <c r="BL35" i="3" s="1"/>
  <c r="AO34" i="3"/>
  <c r="BN29" i="3"/>
  <c r="AO29" i="3"/>
  <c r="AO28" i="3"/>
  <c r="BN28" i="3"/>
  <c r="BL28" i="3" s="1"/>
  <c r="AO13" i="3"/>
  <c r="BN22" i="3"/>
  <c r="BL21" i="3" s="1"/>
  <c r="AO22" i="3"/>
  <c r="AO14" i="3"/>
  <c r="BN14" i="3"/>
  <c r="BL14" i="3" s="1"/>
  <c r="AO8" i="3"/>
  <c r="BN8" i="3"/>
  <c r="AO9" i="3"/>
  <c r="BN9" i="3"/>
  <c r="AO6" i="3"/>
  <c r="BL49" i="3" l="1"/>
  <c r="AE35" i="3"/>
  <c r="AP35" i="3" s="1"/>
  <c r="BL56" i="3"/>
  <c r="AE56" i="3"/>
  <c r="AP56" i="3" s="1"/>
  <c r="AE55" i="3"/>
  <c r="AE57" i="3"/>
  <c r="AP57" i="3" s="1"/>
  <c r="BL58" i="3"/>
  <c r="BL55" i="3"/>
  <c r="BL57" i="3"/>
  <c r="AE48" i="3"/>
  <c r="AE51" i="3"/>
  <c r="AP51" i="3" s="1"/>
  <c r="AE49" i="3"/>
  <c r="AP49" i="3" s="1"/>
  <c r="BL48" i="3"/>
  <c r="AE50" i="3"/>
  <c r="AP50" i="3" s="1"/>
  <c r="BL50" i="3"/>
  <c r="BL51" i="3"/>
  <c r="AE44" i="3"/>
  <c r="AP44" i="3" s="1"/>
  <c r="AE41" i="3"/>
  <c r="AE43" i="3"/>
  <c r="AP43" i="3" s="1"/>
  <c r="BL43" i="3"/>
  <c r="BL41" i="3"/>
  <c r="BL44" i="3"/>
  <c r="AE34" i="3"/>
  <c r="AE36" i="3"/>
  <c r="AP36" i="3" s="1"/>
  <c r="AE37" i="3"/>
  <c r="AP37" i="3" s="1"/>
  <c r="BL37" i="3"/>
  <c r="BL36" i="3"/>
  <c r="BL34" i="3"/>
  <c r="AE29" i="3"/>
  <c r="AP29" i="3" s="1"/>
  <c r="BL27" i="3"/>
  <c r="BL29" i="3"/>
  <c r="BL30" i="3"/>
  <c r="AE27" i="3"/>
  <c r="AE30" i="3"/>
  <c r="AP30" i="3" s="1"/>
  <c r="AE28" i="3"/>
  <c r="AP28" i="3" s="1"/>
  <c r="AE16" i="3"/>
  <c r="AP16" i="3" s="1"/>
  <c r="AE22" i="3"/>
  <c r="AP22" i="3" s="1"/>
  <c r="AE20" i="3"/>
  <c r="BO20" i="3" s="1"/>
  <c r="BP20" i="3" s="1"/>
  <c r="BL23" i="3"/>
  <c r="AE23" i="3"/>
  <c r="AP23" i="3" s="1"/>
  <c r="BL20" i="3"/>
  <c r="BL22" i="3"/>
  <c r="AE21" i="3"/>
  <c r="AP21" i="3" s="1"/>
  <c r="BL16" i="3"/>
  <c r="BL15" i="3"/>
  <c r="BL13" i="3"/>
  <c r="AE15" i="3"/>
  <c r="AP15" i="3" s="1"/>
  <c r="AE13" i="3"/>
  <c r="AE14" i="3"/>
  <c r="AP14" i="3" s="1"/>
  <c r="BL9" i="3"/>
  <c r="BL8" i="3"/>
  <c r="AE6" i="3"/>
  <c r="BL7" i="3"/>
  <c r="BL6" i="3"/>
  <c r="AE8" i="3"/>
  <c r="AP8" i="3" s="1"/>
  <c r="AE9" i="3"/>
  <c r="AP9" i="3" s="1"/>
  <c r="AE7" i="3"/>
  <c r="AP7" i="3" s="1"/>
  <c r="AP55" i="3" l="1"/>
  <c r="BO58" i="3"/>
  <c r="BP58" i="3" s="1"/>
  <c r="BO56" i="3"/>
  <c r="BP56" i="3" s="1"/>
  <c r="BO57" i="3"/>
  <c r="BP57" i="3" s="1"/>
  <c r="BO55" i="3"/>
  <c r="BP55" i="3" s="1"/>
  <c r="BO49" i="3"/>
  <c r="BP49" i="3" s="1"/>
  <c r="BO50" i="3"/>
  <c r="BP50" i="3" s="1"/>
  <c r="BO51" i="3"/>
  <c r="BP51" i="3" s="1"/>
  <c r="BO48" i="3"/>
  <c r="BP48" i="3" s="1"/>
  <c r="AP48" i="3"/>
  <c r="AP41" i="3"/>
  <c r="BO43" i="3"/>
  <c r="BP43" i="3" s="1"/>
  <c r="BO44" i="3"/>
  <c r="BP44" i="3" s="1"/>
  <c r="BO42" i="3"/>
  <c r="BP42" i="3" s="1"/>
  <c r="BO41" i="3"/>
  <c r="BP41" i="3" s="1"/>
  <c r="AP20" i="3"/>
  <c r="BO37" i="3"/>
  <c r="BP37" i="3" s="1"/>
  <c r="BO36" i="3"/>
  <c r="BP36" i="3" s="1"/>
  <c r="BO34" i="3"/>
  <c r="BP34" i="3" s="1"/>
  <c r="BO35" i="3"/>
  <c r="BP35" i="3" s="1"/>
  <c r="AP34" i="3"/>
  <c r="BO29" i="3"/>
  <c r="BP29" i="3" s="1"/>
  <c r="BO30" i="3"/>
  <c r="BP30" i="3" s="1"/>
  <c r="BO27" i="3"/>
  <c r="BP27" i="3" s="1"/>
  <c r="BO28" i="3"/>
  <c r="BP28" i="3" s="1"/>
  <c r="AP27" i="3"/>
  <c r="BO22" i="3"/>
  <c r="BP22" i="3" s="1"/>
  <c r="BO23" i="3"/>
  <c r="BP23" i="3" s="1"/>
  <c r="BO21" i="3"/>
  <c r="BP21" i="3" s="1"/>
  <c r="BO15" i="3"/>
  <c r="BP15" i="3" s="1"/>
  <c r="BS16" i="3"/>
  <c r="BO16" i="3"/>
  <c r="BP16" i="3" s="1"/>
  <c r="BO14" i="3"/>
  <c r="BP14" i="3" s="1"/>
  <c r="BS15" i="3"/>
  <c r="BS13" i="3"/>
  <c r="BO13" i="3"/>
  <c r="BP13" i="3" s="1"/>
  <c r="BS14" i="3"/>
  <c r="AP13" i="3"/>
  <c r="BO6" i="3"/>
  <c r="BP6" i="3" s="1"/>
  <c r="BS6" i="3"/>
  <c r="BT6" i="3" s="1"/>
  <c r="AP6" i="3"/>
  <c r="BO9" i="3"/>
  <c r="BP9" i="3" s="1"/>
  <c r="BS9" i="3"/>
  <c r="BW9" i="3" s="1"/>
  <c r="BO7" i="3"/>
  <c r="BP7" i="3" s="1"/>
  <c r="BS8" i="3"/>
  <c r="BT8" i="3" s="1"/>
  <c r="BO8" i="3"/>
  <c r="BP8" i="3" s="1"/>
  <c r="BS7" i="3"/>
  <c r="BV7" i="3" s="1"/>
  <c r="BU57" i="3" l="1"/>
  <c r="X57" i="3"/>
  <c r="Y57" i="3" s="1"/>
  <c r="BU55" i="3"/>
  <c r="BU56" i="3"/>
  <c r="X55" i="3"/>
  <c r="X56" i="3"/>
  <c r="Y56" i="3" s="1"/>
  <c r="X58" i="3"/>
  <c r="Y58" i="3" s="1"/>
  <c r="BU58" i="3"/>
  <c r="BU48" i="3"/>
  <c r="BU49" i="3"/>
  <c r="X48" i="3"/>
  <c r="X49" i="3"/>
  <c r="Y49" i="3" s="1"/>
  <c r="X50" i="3"/>
  <c r="Y50" i="3" s="1"/>
  <c r="BU50" i="3"/>
  <c r="X51" i="3"/>
  <c r="Y51" i="3" s="1"/>
  <c r="BU51" i="3"/>
  <c r="BU41" i="3"/>
  <c r="BU42" i="3"/>
  <c r="X41" i="3"/>
  <c r="X42" i="3"/>
  <c r="Y42" i="3" s="1"/>
  <c r="BU43" i="3"/>
  <c r="X43" i="3"/>
  <c r="Y43" i="3" s="1"/>
  <c r="BU44" i="3"/>
  <c r="X44" i="3"/>
  <c r="Y44" i="3" s="1"/>
  <c r="X36" i="3"/>
  <c r="Y36" i="3" s="1"/>
  <c r="BU36" i="3"/>
  <c r="X35" i="3"/>
  <c r="Y35" i="3" s="1"/>
  <c r="X34" i="3"/>
  <c r="BU34" i="3"/>
  <c r="BU35" i="3"/>
  <c r="BU37" i="3"/>
  <c r="X37" i="3"/>
  <c r="Y37" i="3" s="1"/>
  <c r="BW6" i="3"/>
  <c r="BU29" i="3"/>
  <c r="X29" i="3"/>
  <c r="Y29" i="3" s="1"/>
  <c r="BU28" i="3"/>
  <c r="BU27" i="3"/>
  <c r="X27" i="3"/>
  <c r="X28" i="3"/>
  <c r="Y28" i="3" s="1"/>
  <c r="BU30" i="3"/>
  <c r="X30" i="3"/>
  <c r="Y30" i="3" s="1"/>
  <c r="BU22" i="3"/>
  <c r="X22" i="3"/>
  <c r="Y22" i="3" s="1"/>
  <c r="X23" i="3"/>
  <c r="Y23" i="3" s="1"/>
  <c r="BU23" i="3"/>
  <c r="X20" i="3"/>
  <c r="BU21" i="3"/>
  <c r="BU20" i="3"/>
  <c r="X21" i="3"/>
  <c r="Y21" i="3" s="1"/>
  <c r="BU13" i="3"/>
  <c r="X14" i="3"/>
  <c r="Y14" i="3" s="1"/>
  <c r="BU14" i="3"/>
  <c r="X13" i="3"/>
  <c r="X15" i="3"/>
  <c r="Y15" i="3" s="1"/>
  <c r="BU15" i="3"/>
  <c r="X16" i="3"/>
  <c r="Y16" i="3" s="1"/>
  <c r="BU16" i="3"/>
  <c r="BW14" i="3"/>
  <c r="BV14" i="3"/>
  <c r="BT14" i="3"/>
  <c r="BW13" i="3"/>
  <c r="BV13" i="3"/>
  <c r="BT13" i="3"/>
  <c r="BT15" i="3"/>
  <c r="BV15" i="3"/>
  <c r="BW15" i="3"/>
  <c r="BW16" i="3"/>
  <c r="BV16" i="3"/>
  <c r="BT16" i="3"/>
  <c r="BU8" i="3"/>
  <c r="X8" i="3"/>
  <c r="Y8" i="3" s="1"/>
  <c r="BV6" i="3"/>
  <c r="X7" i="3"/>
  <c r="Y7" i="3" s="1"/>
  <c r="X6" i="3"/>
  <c r="BV8" i="3"/>
  <c r="BU6" i="3"/>
  <c r="BU9" i="3"/>
  <c r="X9" i="3"/>
  <c r="Y9" i="3" s="1"/>
  <c r="BU7" i="3"/>
  <c r="BT9" i="3"/>
  <c r="BV9" i="3"/>
  <c r="BW7" i="3"/>
  <c r="BT7" i="3"/>
  <c r="CG7" i="3" s="1" a="1"/>
  <c r="CG7" i="3" s="1"/>
  <c r="BW8" i="3"/>
  <c r="Y55" i="3" l="1"/>
  <c r="X54" i="3"/>
  <c r="Y48" i="3"/>
  <c r="X47" i="3"/>
  <c r="Y41" i="3"/>
  <c r="X40" i="3"/>
  <c r="X33" i="3"/>
  <c r="Y34" i="3"/>
  <c r="CD6" i="3" a="1"/>
  <c r="CD6" i="3" s="1"/>
  <c r="Y27" i="3"/>
  <c r="X26" i="3"/>
  <c r="X19" i="3"/>
  <c r="Y20" i="3"/>
  <c r="Y13" i="3"/>
  <c r="X12" i="3"/>
  <c r="CK15" i="3" a="1"/>
  <c r="CK15" i="3" s="1"/>
  <c r="CG13" i="3" a="1"/>
  <c r="CG13" i="3" s="1"/>
  <c r="CI16" i="3" a="1"/>
  <c r="CI16" i="3" s="1"/>
  <c r="CT14" i="3" a="1"/>
  <c r="CT14" i="3" s="1"/>
  <c r="CV13" i="3" a="1"/>
  <c r="CV13" i="3" s="1"/>
  <c r="CU15" i="3" a="1"/>
  <c r="CU15" i="3" s="1"/>
  <c r="CR13" i="3" a="1"/>
  <c r="CR13" i="3" s="1"/>
  <c r="CO14" i="3" a="1"/>
  <c r="CO14" i="3" s="1"/>
  <c r="CL13" i="3" a="1"/>
  <c r="CL13" i="3" s="1"/>
  <c r="CQ14" i="3" a="1"/>
  <c r="CQ14" i="3" s="1"/>
  <c r="CU16" i="3" a="1"/>
  <c r="CU16" i="3" s="1"/>
  <c r="CJ14" i="3" a="1"/>
  <c r="CJ14" i="3" s="1"/>
  <c r="CB14" i="3" a="1"/>
  <c r="CB14" i="3" s="1"/>
  <c r="CI14" i="3" a="1"/>
  <c r="CI14" i="3" s="1"/>
  <c r="CR16" i="3" a="1"/>
  <c r="CR16" i="3" s="1"/>
  <c r="CJ13" i="3" a="1"/>
  <c r="CJ13" i="3" s="1"/>
  <c r="CS14" i="3" a="1"/>
  <c r="CS14" i="3" s="1"/>
  <c r="CU13" i="3" a="1"/>
  <c r="CU13" i="3" s="1"/>
  <c r="CD13" i="3" a="1"/>
  <c r="CD13" i="3" s="1"/>
  <c r="CJ16" i="3" a="1"/>
  <c r="CJ16" i="3" s="1"/>
  <c r="CU14" i="3" a="1"/>
  <c r="CU14" i="3" s="1"/>
  <c r="CO16" i="3" a="1"/>
  <c r="CO16" i="3" s="1"/>
  <c r="CS15" i="3" a="1"/>
  <c r="CS15" i="3" s="1"/>
  <c r="CP15" i="3" a="1"/>
  <c r="CP15" i="3" s="1"/>
  <c r="CP14" i="3" a="1"/>
  <c r="CP14" i="3" s="1"/>
  <c r="CK16" i="3" a="1"/>
  <c r="CK16" i="3" s="1"/>
  <c r="CP13" i="3" a="1"/>
  <c r="CP13" i="3" s="1"/>
  <c r="CR14" i="3" a="1"/>
  <c r="CR14" i="3" s="1"/>
  <c r="CV16" i="3" a="1"/>
  <c r="CV16" i="3" s="1"/>
  <c r="CS13" i="3" a="1"/>
  <c r="CS13" i="3" s="1"/>
  <c r="CJ15" i="3" a="1"/>
  <c r="CJ15" i="3" s="1"/>
  <c r="CR15" i="3" a="1"/>
  <c r="CR15" i="3" s="1"/>
  <c r="CM13" i="3" a="1"/>
  <c r="CM13" i="3" s="1"/>
  <c r="CC14" i="3" a="1"/>
  <c r="CC14" i="3" s="1"/>
  <c r="CO13" i="3" a="1"/>
  <c r="CO13" i="3" s="1"/>
  <c r="CS16" i="3" a="1"/>
  <c r="CS16" i="3" s="1"/>
  <c r="CB15" i="3" a="1"/>
  <c r="CB15" i="3" s="1"/>
  <c r="CA16" i="3" a="1"/>
  <c r="CA16" i="3" s="1"/>
  <c r="CT16" i="3" a="1"/>
  <c r="CT16" i="3" s="1"/>
  <c r="CA15" i="3" a="1"/>
  <c r="CA15" i="3" s="1"/>
  <c r="CH13" i="3" a="1"/>
  <c r="CH13" i="3" s="1"/>
  <c r="CB16" i="3" a="1"/>
  <c r="CB16" i="3" s="1"/>
  <c r="CV14" i="3" a="1"/>
  <c r="CV14" i="3" s="1"/>
  <c r="CT13" i="3" a="1"/>
  <c r="CT13" i="3" s="1"/>
  <c r="CF13" i="3" a="1"/>
  <c r="CF13" i="3" s="1"/>
  <c r="CA14" i="3" a="1"/>
  <c r="CA14" i="3" s="1"/>
  <c r="CI13" i="3" a="1"/>
  <c r="CI13" i="3" s="1"/>
  <c r="CB13" i="3" a="1"/>
  <c r="CB13" i="3" s="1"/>
  <c r="CN13" i="3" a="1"/>
  <c r="CN13" i="3" s="1"/>
  <c r="CQ13" i="3" a="1"/>
  <c r="CQ13" i="3" s="1"/>
  <c r="CQ15" i="3" a="1"/>
  <c r="CQ15" i="3" s="1"/>
  <c r="CT15" i="3" a="1"/>
  <c r="CT15" i="3" s="1"/>
  <c r="CQ16" i="3" a="1"/>
  <c r="CQ16" i="3" s="1"/>
  <c r="CD14" i="3" a="1"/>
  <c r="CD14" i="3" s="1"/>
  <c r="CV15" i="3" a="1"/>
  <c r="CV15" i="3" s="1"/>
  <c r="CK13" i="3" a="1"/>
  <c r="CK13" i="3" s="1"/>
  <c r="CK14" i="3" a="1"/>
  <c r="CK14" i="3" s="1"/>
  <c r="CI15" i="3" a="1"/>
  <c r="CI15" i="3" s="1"/>
  <c r="CA13" i="3" a="1"/>
  <c r="CA13" i="3" s="1"/>
  <c r="CC13" i="3" a="1"/>
  <c r="CC13" i="3" s="1"/>
  <c r="CO15" i="3" a="1"/>
  <c r="CO15" i="3" s="1"/>
  <c r="CP16" i="3" a="1"/>
  <c r="CP16" i="3" s="1"/>
  <c r="CH16" i="3" a="1"/>
  <c r="CH16" i="3" s="1"/>
  <c r="CN16" i="3" a="1"/>
  <c r="CN16" i="3" s="1"/>
  <c r="CD16" i="3" a="1"/>
  <c r="CD16" i="3" s="1"/>
  <c r="CF16" i="3" a="1"/>
  <c r="CF16" i="3" s="1"/>
  <c r="CL15" i="3" a="1"/>
  <c r="CL15" i="3" s="1"/>
  <c r="CF14" i="3" a="1"/>
  <c r="CF14" i="3" s="1"/>
  <c r="CM14" i="3" a="1"/>
  <c r="CM14" i="3" s="1"/>
  <c r="CE14" i="3" a="1"/>
  <c r="CE14" i="3" s="1"/>
  <c r="CM15" i="3" a="1"/>
  <c r="CM15" i="3" s="1"/>
  <c r="CM16" i="3" a="1"/>
  <c r="CM16" i="3" s="1"/>
  <c r="CE15" i="3" a="1"/>
  <c r="CE15" i="3" s="1"/>
  <c r="CN14" i="3" a="1"/>
  <c r="CN14" i="3" s="1"/>
  <c r="CE13" i="3" a="1"/>
  <c r="CE13" i="3" s="1"/>
  <c r="CG14" i="3" a="1"/>
  <c r="CG14" i="3" s="1"/>
  <c r="CE16" i="3" a="1"/>
  <c r="CE16" i="3" s="1"/>
  <c r="CF15" i="3" a="1"/>
  <c r="CF15" i="3" s="1"/>
  <c r="CL14" i="3" a="1"/>
  <c r="CL14" i="3" s="1"/>
  <c r="CH14" i="3" a="1"/>
  <c r="CH14" i="3" s="1"/>
  <c r="CL16" i="3" a="1"/>
  <c r="CL16" i="3" s="1"/>
  <c r="CC16" i="3" a="1"/>
  <c r="CC16" i="3" s="1"/>
  <c r="CD15" i="3" a="1"/>
  <c r="CD15" i="3" s="1"/>
  <c r="CH15" i="3" a="1"/>
  <c r="CH15" i="3" s="1"/>
  <c r="CG15" i="3" a="1"/>
  <c r="CG15" i="3" s="1"/>
  <c r="CN15" i="3" a="1"/>
  <c r="CN15" i="3" s="1"/>
  <c r="CC15" i="3" a="1"/>
  <c r="CC15" i="3" s="1"/>
  <c r="CG16" i="3" a="1"/>
  <c r="CG16" i="3" s="1"/>
  <c r="CC8" i="3" a="1"/>
  <c r="CC8" i="3" s="1"/>
  <c r="CM6" i="3" a="1"/>
  <c r="CM6" i="3" s="1"/>
  <c r="CI9" i="3" a="1"/>
  <c r="CI9" i="3" s="1"/>
  <c r="CP7" i="3" a="1"/>
  <c r="CP7" i="3" s="1"/>
  <c r="CE7" i="3" a="1"/>
  <c r="CE7" i="3" s="1"/>
  <c r="CK8" i="3" a="1"/>
  <c r="CK8" i="3" s="1"/>
  <c r="CH7" i="3" a="1"/>
  <c r="CH7" i="3" s="1"/>
  <c r="CF8" i="3" a="1"/>
  <c r="CF8" i="3" s="1"/>
  <c r="CK7" i="3" a="1"/>
  <c r="CK7" i="3" s="1"/>
  <c r="CA9" i="3" a="1"/>
  <c r="CA9" i="3" s="1"/>
  <c r="CP8" i="3" a="1"/>
  <c r="CP8" i="3" s="1"/>
  <c r="CE6" i="3" a="1"/>
  <c r="CE6" i="3" s="1"/>
  <c r="CK9" i="3" a="1"/>
  <c r="CK9" i="3" s="1"/>
  <c r="CO9" i="3" a="1"/>
  <c r="CO9" i="3" s="1"/>
  <c r="CP9" i="3" a="1"/>
  <c r="CP9" i="3" s="1"/>
  <c r="CE9" i="3" a="1"/>
  <c r="CE9" i="3" s="1"/>
  <c r="CB7" i="3" a="1"/>
  <c r="CB7" i="3" s="1"/>
  <c r="CC9" i="3" a="1"/>
  <c r="CC9" i="3" s="1"/>
  <c r="CO6" i="3" a="1"/>
  <c r="CO6" i="3" s="1"/>
  <c r="CA7" i="3" a="1"/>
  <c r="CA7" i="3" s="1"/>
  <c r="CQ8" i="3" a="1"/>
  <c r="CQ8" i="3" s="1"/>
  <c r="CG9" i="3" a="1"/>
  <c r="CG9" i="3" s="1"/>
  <c r="CF7" i="3" a="1"/>
  <c r="CF7" i="3" s="1"/>
  <c r="CO7" i="3" a="1"/>
  <c r="CO7" i="3" s="1"/>
  <c r="CM7" i="3" a="1"/>
  <c r="CM7" i="3" s="1"/>
  <c r="CL8" i="3" a="1"/>
  <c r="CL8" i="3" s="1"/>
  <c r="CQ9" i="3" a="1"/>
  <c r="CQ9" i="3" s="1"/>
  <c r="CI7" i="3" a="1"/>
  <c r="CI7" i="3" s="1"/>
  <c r="CG8" i="3" a="1"/>
  <c r="CG8" i="3" s="1"/>
  <c r="CN8" i="3" a="1"/>
  <c r="CN8" i="3" s="1"/>
  <c r="CM8" i="3" a="1"/>
  <c r="CM8" i="3" s="1"/>
  <c r="CE8" i="3" a="1"/>
  <c r="CE8" i="3" s="1"/>
  <c r="CA6" i="3" a="1"/>
  <c r="CA6" i="3" s="1"/>
  <c r="CI6" i="3" a="1"/>
  <c r="CI6" i="3" s="1"/>
  <c r="CL9" i="3" a="1"/>
  <c r="CL9" i="3" s="1"/>
  <c r="CA8" i="3" a="1"/>
  <c r="CA8" i="3" s="1"/>
  <c r="CM9" i="3" a="1"/>
  <c r="CM9" i="3" s="1"/>
  <c r="CM4" i="3" s="1"/>
  <c r="CD8" i="3" a="1"/>
  <c r="CD8" i="3" s="1"/>
  <c r="CL7" i="3" a="1"/>
  <c r="CL7" i="3" s="1"/>
  <c r="CH8" i="3" a="1"/>
  <c r="CH8" i="3" s="1"/>
  <c r="CF6" i="3" a="1"/>
  <c r="CF6" i="3" s="1"/>
  <c r="CT9" i="3" a="1"/>
  <c r="CT9" i="3" s="1"/>
  <c r="CD7" i="3" a="1"/>
  <c r="CD7" i="3" s="1"/>
  <c r="CC6" i="3" a="1"/>
  <c r="CC6" i="3" s="1"/>
  <c r="CB8" i="3" a="1"/>
  <c r="CB8" i="3" s="1"/>
  <c r="CC7" i="3" a="1"/>
  <c r="CC7" i="3" s="1"/>
  <c r="CL6" i="3" a="1"/>
  <c r="CL6" i="3" s="1"/>
  <c r="CS7" i="3" a="1"/>
  <c r="CS7" i="3" s="1"/>
  <c r="CP6" i="3" a="1"/>
  <c r="CP6" i="3" s="1"/>
  <c r="CR9" i="3" a="1"/>
  <c r="CR9" i="3" s="1"/>
  <c r="CR8" i="3" a="1"/>
  <c r="CR8" i="3" s="1"/>
  <c r="CT8" i="3" a="1"/>
  <c r="CT8" i="3" s="1"/>
  <c r="CR7" i="3" a="1"/>
  <c r="CR7" i="3" s="1"/>
  <c r="CS6" i="3" a="1"/>
  <c r="CS6" i="3" s="1"/>
  <c r="CS9" i="3" a="1"/>
  <c r="CS9" i="3" s="1"/>
  <c r="CV9" i="3" a="1"/>
  <c r="CV9" i="3" s="1"/>
  <c r="CU7" i="3" a="1"/>
  <c r="CU7" i="3" s="1"/>
  <c r="CQ7" i="3" a="1"/>
  <c r="CQ7" i="3" s="1"/>
  <c r="CN6" i="3" a="1"/>
  <c r="CN6" i="3" s="1"/>
  <c r="CK6" i="3" a="1"/>
  <c r="CK6" i="3" s="1"/>
  <c r="CK4" i="3" s="1"/>
  <c r="CS8" i="3" a="1"/>
  <c r="CS8" i="3" s="1"/>
  <c r="CV7" i="3" a="1"/>
  <c r="CV7" i="3" s="1"/>
  <c r="CB9" i="3" a="1"/>
  <c r="CB9" i="3" s="1"/>
  <c r="CU8" i="3" a="1"/>
  <c r="CU8" i="3" s="1"/>
  <c r="CG6" i="3" a="1"/>
  <c r="CG6" i="3" s="1"/>
  <c r="CU6" i="3" a="1"/>
  <c r="CU6" i="3" s="1"/>
  <c r="CJ9" i="3" a="1"/>
  <c r="CJ9" i="3" s="1"/>
  <c r="CH6" i="3" a="1"/>
  <c r="CH6" i="3" s="1"/>
  <c r="Y6" i="3"/>
  <c r="C60" i="3"/>
  <c r="X5" i="3"/>
  <c r="C61" i="3"/>
  <c r="B60" i="3"/>
  <c r="CT7" i="3" a="1"/>
  <c r="CT7" i="3" s="1"/>
  <c r="CR6" i="3" a="1"/>
  <c r="CR6" i="3" s="1"/>
  <c r="CJ7" i="3" a="1"/>
  <c r="CJ7" i="3" s="1"/>
  <c r="CI8" i="3" a="1"/>
  <c r="CI8" i="3" s="1"/>
  <c r="CU9" i="3" a="1"/>
  <c r="CU9" i="3" s="1"/>
  <c r="CJ6" i="3" a="1"/>
  <c r="CJ6" i="3" s="1"/>
  <c r="CQ6" i="3" a="1"/>
  <c r="CQ6" i="3" s="1"/>
  <c r="CD9" i="3" a="1"/>
  <c r="CD9" i="3" s="1"/>
  <c r="CV8" i="3" a="1"/>
  <c r="CV8" i="3" s="1"/>
  <c r="CV6" i="3" a="1"/>
  <c r="CV6" i="3" s="1"/>
  <c r="CN7" i="3" a="1"/>
  <c r="CN7" i="3" s="1"/>
  <c r="CJ8" i="3" a="1"/>
  <c r="CJ8" i="3" s="1"/>
  <c r="CO8" i="3" a="1"/>
  <c r="CO8" i="3" s="1"/>
  <c r="CH9" i="3" a="1"/>
  <c r="CH9" i="3" s="1"/>
  <c r="CB6" i="3" a="1"/>
  <c r="CB6" i="3" s="1"/>
  <c r="CT6" i="3" a="1"/>
  <c r="CT6" i="3" s="1"/>
  <c r="CN9" i="3" a="1"/>
  <c r="CN9" i="3" s="1"/>
  <c r="CF9" i="3" a="1"/>
  <c r="CF9" i="3" s="1"/>
  <c r="CD4" i="3"/>
  <c r="CL4" i="3"/>
  <c r="AR58" i="3" l="1"/>
  <c r="AR56" i="3"/>
  <c r="AR57" i="3"/>
  <c r="AR55" i="3"/>
  <c r="AD55" i="3" s="1"/>
  <c r="AR51" i="3"/>
  <c r="AR48" i="3"/>
  <c r="AR50" i="3"/>
  <c r="AD50" i="3" s="1"/>
  <c r="AR49" i="3"/>
  <c r="AD49" i="3" s="1"/>
  <c r="AR43" i="3"/>
  <c r="AR44" i="3"/>
  <c r="AR42" i="3"/>
  <c r="AD42" i="3" s="1"/>
  <c r="AR41" i="3"/>
  <c r="AR36" i="3"/>
  <c r="AR35" i="3"/>
  <c r="AR37" i="3"/>
  <c r="AR34" i="3"/>
  <c r="CE4" i="3"/>
  <c r="CR4" i="3"/>
  <c r="CF4" i="3"/>
  <c r="AR30" i="3"/>
  <c r="AR27" i="3"/>
  <c r="AR29" i="3"/>
  <c r="AR28" i="3"/>
  <c r="AR23" i="3"/>
  <c r="AR21" i="3"/>
  <c r="AR20" i="3"/>
  <c r="AR22" i="3"/>
  <c r="AD22" i="3" s="1"/>
  <c r="AR15" i="3"/>
  <c r="AR16" i="3"/>
  <c r="AR13" i="3"/>
  <c r="AR14" i="3"/>
  <c r="CP11" i="3"/>
  <c r="CA11" i="3"/>
  <c r="CB11" i="3"/>
  <c r="CK11" i="3"/>
  <c r="CU11" i="3"/>
  <c r="CE11" i="3"/>
  <c r="CQ11" i="3"/>
  <c r="CG11" i="3"/>
  <c r="CN11" i="3"/>
  <c r="CC11" i="3"/>
  <c r="CI11" i="3"/>
  <c r="CO11" i="3"/>
  <c r="CF11" i="3"/>
  <c r="CM11" i="3"/>
  <c r="CL11" i="3"/>
  <c r="CT11" i="3"/>
  <c r="CD11" i="3"/>
  <c r="CR11" i="3"/>
  <c r="CS11" i="3"/>
  <c r="CH11" i="3"/>
  <c r="CV11" i="3"/>
  <c r="CJ11" i="3"/>
  <c r="CA4" i="3"/>
  <c r="CH4" i="3"/>
  <c r="CO4" i="3"/>
  <c r="CQ4" i="3"/>
  <c r="CG4" i="3"/>
  <c r="CB4" i="3"/>
  <c r="CI4" i="3"/>
  <c r="CP4" i="3"/>
  <c r="CC4" i="3"/>
  <c r="CS4" i="3"/>
  <c r="CT4" i="3"/>
  <c r="CU4" i="3"/>
  <c r="CV4" i="3"/>
  <c r="CJ4" i="3"/>
  <c r="AR7" i="3"/>
  <c r="AR9" i="3"/>
  <c r="AR8" i="3"/>
  <c r="AR6" i="3"/>
  <c r="CN4" i="3"/>
  <c r="O55" i="3" l="1"/>
  <c r="BS55" i="3"/>
  <c r="AD57" i="3"/>
  <c r="AD56" i="3"/>
  <c r="BS58" i="3" s="1"/>
  <c r="AD58" i="3"/>
  <c r="AD48" i="3"/>
  <c r="AD51" i="3"/>
  <c r="AD41" i="3"/>
  <c r="AD44" i="3"/>
  <c r="AD43" i="3"/>
  <c r="AD34" i="3"/>
  <c r="BS34" i="3" s="1"/>
  <c r="AD37" i="3"/>
  <c r="AD35" i="3"/>
  <c r="AD36" i="3"/>
  <c r="BY6" i="3"/>
  <c r="BX9" i="3" s="1"/>
  <c r="AD29" i="3"/>
  <c r="AD13" i="3"/>
  <c r="O14" i="3" s="1"/>
  <c r="AD20" i="3"/>
  <c r="BS23" i="3" s="1"/>
  <c r="AD21" i="3"/>
  <c r="AD27" i="3"/>
  <c r="O27" i="3" s="1"/>
  <c r="AD28" i="3"/>
  <c r="AD30" i="3"/>
  <c r="BS28" i="3" s="1"/>
  <c r="AD14" i="3"/>
  <c r="O13" i="3" s="1"/>
  <c r="BS21" i="3"/>
  <c r="O21" i="3"/>
  <c r="AD23" i="3"/>
  <c r="BS22" i="3" s="1"/>
  <c r="AD16" i="3"/>
  <c r="AD15" i="3"/>
  <c r="BY13" i="3"/>
  <c r="BX16" i="3" s="1"/>
  <c r="AD7" i="3"/>
  <c r="AD6" i="3"/>
  <c r="AD8" i="3"/>
  <c r="AD9" i="3"/>
  <c r="BX7" i="3"/>
  <c r="BX8" i="3"/>
  <c r="BX6" i="3"/>
  <c r="O34" i="3" l="1"/>
  <c r="Q34" i="3" s="1"/>
  <c r="BW58" i="3"/>
  <c r="BT58" i="3"/>
  <c r="BV58" i="3"/>
  <c r="O56" i="3"/>
  <c r="BS56" i="3"/>
  <c r="BT55" i="3"/>
  <c r="BV55" i="3"/>
  <c r="BW55" i="3"/>
  <c r="BS57" i="3"/>
  <c r="O57" i="3"/>
  <c r="O58" i="3"/>
  <c r="F71" i="3"/>
  <c r="C97" i="8" s="1"/>
  <c r="U55" i="3"/>
  <c r="Q55" i="3"/>
  <c r="R55" i="3"/>
  <c r="S55" i="3"/>
  <c r="V55" i="3"/>
  <c r="T55" i="3"/>
  <c r="AC55" i="3"/>
  <c r="P55" i="3"/>
  <c r="W55" i="3"/>
  <c r="BS51" i="3"/>
  <c r="O48" i="3"/>
  <c r="O50" i="3"/>
  <c r="O51" i="3"/>
  <c r="BS49" i="3"/>
  <c r="O49" i="3"/>
  <c r="BS50" i="3"/>
  <c r="BS48" i="3"/>
  <c r="BS41" i="3"/>
  <c r="O41" i="3"/>
  <c r="BS42" i="3"/>
  <c r="O44" i="3"/>
  <c r="O42" i="3"/>
  <c r="O43" i="3"/>
  <c r="BS44" i="3"/>
  <c r="BS43" i="3"/>
  <c r="O37" i="3"/>
  <c r="Q37" i="3" s="1"/>
  <c r="BW34" i="3"/>
  <c r="BT34" i="3"/>
  <c r="BV34" i="3"/>
  <c r="O36" i="3"/>
  <c r="O35" i="3"/>
  <c r="BS36" i="3"/>
  <c r="F68" i="3"/>
  <c r="T34" i="3"/>
  <c r="V34" i="3"/>
  <c r="P34" i="3"/>
  <c r="BS37" i="3"/>
  <c r="BS35" i="3"/>
  <c r="BS27" i="3"/>
  <c r="BS30" i="3"/>
  <c r="O30" i="3"/>
  <c r="V30" i="3" s="1"/>
  <c r="O23" i="3"/>
  <c r="O20" i="3"/>
  <c r="BS20" i="3"/>
  <c r="O16" i="3"/>
  <c r="P16" i="3" s="1"/>
  <c r="O15" i="3"/>
  <c r="P15" i="3" s="1"/>
  <c r="BS29" i="3"/>
  <c r="BV29" i="3" s="1"/>
  <c r="O29" i="3"/>
  <c r="Q29" i="3" s="1"/>
  <c r="BT28" i="3"/>
  <c r="BW28" i="3"/>
  <c r="BV28" i="3"/>
  <c r="O28" i="3"/>
  <c r="BT27" i="3"/>
  <c r="BV27" i="3"/>
  <c r="BW27" i="3"/>
  <c r="BT30" i="3"/>
  <c r="BV30" i="3"/>
  <c r="BW30" i="3"/>
  <c r="F67" i="3"/>
  <c r="C93" i="8" s="1"/>
  <c r="Q27" i="3"/>
  <c r="W27" i="3"/>
  <c r="P27" i="3"/>
  <c r="AC27" i="3"/>
  <c r="V27" i="3"/>
  <c r="U27" i="3"/>
  <c r="T27" i="3"/>
  <c r="S27" i="3"/>
  <c r="R27" i="3"/>
  <c r="BW22" i="3"/>
  <c r="BV22" i="3" a="1"/>
  <c r="BV22" i="3" s="1"/>
  <c r="BT22" i="3"/>
  <c r="K67" i="3"/>
  <c r="W21" i="3"/>
  <c r="S21" i="3"/>
  <c r="AC21" i="3"/>
  <c r="V21" i="3"/>
  <c r="U21" i="3"/>
  <c r="R21" i="3"/>
  <c r="P21" i="3"/>
  <c r="Q21" i="3"/>
  <c r="T21" i="3"/>
  <c r="BT21" i="3"/>
  <c r="BV21" i="3" a="1"/>
  <c r="BV21" i="3" s="1"/>
  <c r="BW21" i="3"/>
  <c r="BW23" i="3"/>
  <c r="BT23" i="3"/>
  <c r="BV23" i="3" a="1"/>
  <c r="BV23" i="3" s="1"/>
  <c r="O22" i="3"/>
  <c r="T23" i="3"/>
  <c r="AC23" i="3"/>
  <c r="P23" i="3"/>
  <c r="Q23" i="3"/>
  <c r="W23" i="3"/>
  <c r="V23" i="3"/>
  <c r="U23" i="3"/>
  <c r="S23" i="3"/>
  <c r="R23" i="3"/>
  <c r="F65" i="3"/>
  <c r="S20" i="3"/>
  <c r="V20" i="3"/>
  <c r="R20" i="3"/>
  <c r="U20" i="3"/>
  <c r="W20" i="3"/>
  <c r="T20" i="3"/>
  <c r="P20" i="3"/>
  <c r="Q20" i="3"/>
  <c r="AC20" i="3"/>
  <c r="BT20" i="3"/>
  <c r="BV20" i="3" a="1"/>
  <c r="BV20" i="3" s="1"/>
  <c r="BW20" i="3"/>
  <c r="V16" i="3"/>
  <c r="Q16" i="3"/>
  <c r="AC16" i="3"/>
  <c r="R16" i="3"/>
  <c r="S16" i="3"/>
  <c r="T16" i="3"/>
  <c r="U16" i="3"/>
  <c r="S15" i="3"/>
  <c r="V15" i="3"/>
  <c r="R15" i="3"/>
  <c r="F66" i="3"/>
  <c r="C92" i="8" s="1"/>
  <c r="Q13" i="3"/>
  <c r="V13" i="3"/>
  <c r="AC13" i="3"/>
  <c r="W13" i="3"/>
  <c r="T13" i="3"/>
  <c r="P13" i="3"/>
  <c r="U13" i="3"/>
  <c r="S13" i="3"/>
  <c r="R13" i="3"/>
  <c r="K64" i="3"/>
  <c r="C98" i="8" s="1"/>
  <c r="V14" i="3"/>
  <c r="T14" i="3"/>
  <c r="R14" i="3"/>
  <c r="U14" i="3"/>
  <c r="Q14" i="3"/>
  <c r="W14" i="3"/>
  <c r="S14" i="3"/>
  <c r="P14" i="3"/>
  <c r="AC14" i="3"/>
  <c r="BX13" i="3"/>
  <c r="BX14" i="3"/>
  <c r="BX15" i="3"/>
  <c r="O8" i="3"/>
  <c r="O7" i="3"/>
  <c r="O9" i="3"/>
  <c r="O6" i="3"/>
  <c r="R34" i="3" l="1"/>
  <c r="W34" i="3"/>
  <c r="U34" i="3"/>
  <c r="S34" i="3"/>
  <c r="AC37" i="3"/>
  <c r="S37" i="3"/>
  <c r="AC34" i="3"/>
  <c r="V58" i="3"/>
  <c r="W58" i="3"/>
  <c r="Q58" i="3"/>
  <c r="T58" i="3"/>
  <c r="R58" i="3"/>
  <c r="AC58" i="3"/>
  <c r="S58" i="3"/>
  <c r="P58" i="3"/>
  <c r="U58" i="3"/>
  <c r="S57" i="3"/>
  <c r="R57" i="3"/>
  <c r="U57" i="3"/>
  <c r="Q57" i="3"/>
  <c r="W57" i="3"/>
  <c r="V57" i="3"/>
  <c r="T57" i="3"/>
  <c r="AC57" i="3"/>
  <c r="P57" i="3"/>
  <c r="BV57" i="3"/>
  <c r="CI55" i="3" s="1" a="1"/>
  <c r="CI55" i="3" s="1"/>
  <c r="BW57" i="3"/>
  <c r="CA57" i="3" s="1" a="1"/>
  <c r="CA57" i="3" s="1"/>
  <c r="BT57" i="3"/>
  <c r="CO57" i="3" a="1"/>
  <c r="CO57" i="3" s="1"/>
  <c r="CC56" i="3" a="1"/>
  <c r="CC56" i="3" s="1"/>
  <c r="CL55" i="3" a="1"/>
  <c r="CL55" i="3" s="1"/>
  <c r="CU55" i="3" a="1"/>
  <c r="CU55" i="3" s="1"/>
  <c r="CO58" i="3" a="1"/>
  <c r="CO58" i="3" s="1"/>
  <c r="CP57" i="3" a="1"/>
  <c r="CP57" i="3" s="1"/>
  <c r="CC55" i="3" a="1"/>
  <c r="CC55" i="3" s="1"/>
  <c r="CD55" i="3" a="1"/>
  <c r="CD55" i="3" s="1"/>
  <c r="CV55" i="3" a="1"/>
  <c r="CV55" i="3" s="1"/>
  <c r="CD56" i="3" a="1"/>
  <c r="CD56" i="3" s="1"/>
  <c r="CB55" i="3" a="1"/>
  <c r="CB55" i="3" s="1"/>
  <c r="CK56" i="3" a="1"/>
  <c r="CK56" i="3" s="1"/>
  <c r="CH55" i="3" a="1"/>
  <c r="CH55" i="3" s="1"/>
  <c r="CV56" i="3" a="1"/>
  <c r="CV56" i="3" s="1"/>
  <c r="CB56" i="3" a="1"/>
  <c r="CB56" i="3" s="1"/>
  <c r="CM55" i="3" a="1"/>
  <c r="CM55" i="3" s="1"/>
  <c r="CS56" i="3" a="1"/>
  <c r="CS56" i="3" s="1"/>
  <c r="CA55" i="3" a="1"/>
  <c r="CA55" i="3" s="1"/>
  <c r="CT57" i="3" a="1"/>
  <c r="CT57" i="3" s="1"/>
  <c r="BT56" i="3"/>
  <c r="BW56" i="3"/>
  <c r="CJ58" i="3" s="1" a="1"/>
  <c r="CJ58" i="3" s="1"/>
  <c r="BV56" i="3"/>
  <c r="CU56" i="3" s="1" a="1"/>
  <c r="CU56" i="3" s="1"/>
  <c r="K69" i="3"/>
  <c r="C103" i="8" s="1"/>
  <c r="R56" i="3"/>
  <c r="W56" i="3"/>
  <c r="V56" i="3"/>
  <c r="U56" i="3"/>
  <c r="P56" i="3"/>
  <c r="AC56" i="3"/>
  <c r="Q56" i="3"/>
  <c r="C87" i="8" s="1"/>
  <c r="S56" i="3"/>
  <c r="T56" i="3"/>
  <c r="C86" i="8"/>
  <c r="CD58" i="3" a="1"/>
  <c r="CD58" i="3" s="1"/>
  <c r="CN58" i="3" a="1"/>
  <c r="CN58" i="3" s="1"/>
  <c r="CH58" i="3" a="1"/>
  <c r="CH58" i="3" s="1"/>
  <c r="BT48" i="3"/>
  <c r="BW48" i="3"/>
  <c r="BV48" i="3"/>
  <c r="BT50" i="3"/>
  <c r="BV50" i="3"/>
  <c r="BW50" i="3"/>
  <c r="K71" i="3"/>
  <c r="AC49" i="3"/>
  <c r="U49" i="3"/>
  <c r="P49" i="3"/>
  <c r="W49" i="3"/>
  <c r="R49" i="3"/>
  <c r="T49" i="3"/>
  <c r="Q49" i="3"/>
  <c r="S49" i="3"/>
  <c r="V49" i="3"/>
  <c r="BT49" i="3"/>
  <c r="BW49" i="3"/>
  <c r="BV49" i="3"/>
  <c r="V51" i="3"/>
  <c r="R51" i="3"/>
  <c r="T51" i="3"/>
  <c r="U51" i="3"/>
  <c r="Q51" i="3"/>
  <c r="AC51" i="3"/>
  <c r="S51" i="3"/>
  <c r="W51" i="3"/>
  <c r="P51" i="3"/>
  <c r="P50" i="3"/>
  <c r="Q50" i="3"/>
  <c r="T50" i="3"/>
  <c r="V50" i="3"/>
  <c r="R50" i="3"/>
  <c r="W50" i="3"/>
  <c r="AC50" i="3"/>
  <c r="S50" i="3"/>
  <c r="U50" i="3"/>
  <c r="F69" i="3"/>
  <c r="V48" i="3"/>
  <c r="Q48" i="3"/>
  <c r="W48" i="3"/>
  <c r="U48" i="3"/>
  <c r="R48" i="3"/>
  <c r="P48" i="3"/>
  <c r="T48" i="3"/>
  <c r="AC48" i="3"/>
  <c r="S48" i="3"/>
  <c r="BW51" i="3"/>
  <c r="BV51" i="3"/>
  <c r="BT51" i="3"/>
  <c r="BW43" i="3"/>
  <c r="BV43" i="3"/>
  <c r="BT43" i="3"/>
  <c r="K68" i="3"/>
  <c r="C102" i="8" s="1"/>
  <c r="V42" i="3"/>
  <c r="P42" i="3"/>
  <c r="U42" i="3"/>
  <c r="Q42" i="3"/>
  <c r="R42" i="3"/>
  <c r="W42" i="3"/>
  <c r="AC42" i="3"/>
  <c r="T42" i="3"/>
  <c r="S42" i="3"/>
  <c r="U44" i="3"/>
  <c r="W44" i="3"/>
  <c r="AC44" i="3"/>
  <c r="P44" i="3"/>
  <c r="Q44" i="3"/>
  <c r="R44" i="3"/>
  <c r="T44" i="3"/>
  <c r="S44" i="3"/>
  <c r="V44" i="3"/>
  <c r="BW42" i="3"/>
  <c r="BT42" i="3"/>
  <c r="BV42" i="3"/>
  <c r="BT44" i="3"/>
  <c r="BW44" i="3"/>
  <c r="BV44" i="3"/>
  <c r="U43" i="3"/>
  <c r="V43" i="3"/>
  <c r="W43" i="3"/>
  <c r="P43" i="3"/>
  <c r="AC43" i="3"/>
  <c r="Q43" i="3"/>
  <c r="T43" i="3"/>
  <c r="R43" i="3"/>
  <c r="S43" i="3"/>
  <c r="F70" i="3"/>
  <c r="C96" i="8" s="1"/>
  <c r="V41" i="3"/>
  <c r="W41" i="3"/>
  <c r="AC41" i="3"/>
  <c r="R41" i="3"/>
  <c r="S41" i="3"/>
  <c r="T41" i="3"/>
  <c r="Q41" i="3"/>
  <c r="P41" i="3"/>
  <c r="U41" i="3"/>
  <c r="BT41" i="3"/>
  <c r="BW41" i="3"/>
  <c r="BV41" i="3"/>
  <c r="W37" i="3"/>
  <c r="R37" i="3"/>
  <c r="V37" i="3"/>
  <c r="U37" i="3"/>
  <c r="P37" i="3"/>
  <c r="T37" i="3"/>
  <c r="C94" i="8"/>
  <c r="C112" i="8"/>
  <c r="B112" i="8"/>
  <c r="BT35" i="3"/>
  <c r="BW35" i="3"/>
  <c r="BV35" i="3"/>
  <c r="BW36" i="3"/>
  <c r="BT36" i="3"/>
  <c r="BV36" i="3"/>
  <c r="BW37" i="3"/>
  <c r="BV37" i="3"/>
  <c r="BT37" i="3"/>
  <c r="K70" i="3"/>
  <c r="S35" i="3"/>
  <c r="U35" i="3"/>
  <c r="AC35" i="3"/>
  <c r="P35" i="3"/>
  <c r="Q35" i="3"/>
  <c r="T35" i="3"/>
  <c r="W35" i="3"/>
  <c r="R35" i="3"/>
  <c r="V35" i="3"/>
  <c r="Q36" i="3"/>
  <c r="P36" i="3"/>
  <c r="R36" i="3"/>
  <c r="U36" i="3"/>
  <c r="W36" i="3"/>
  <c r="T36" i="3"/>
  <c r="AC36" i="3"/>
  <c r="S36" i="3"/>
  <c r="V36" i="3"/>
  <c r="Q15" i="3"/>
  <c r="U15" i="3"/>
  <c r="AC15" i="3"/>
  <c r="W16" i="3"/>
  <c r="W15" i="3"/>
  <c r="T15" i="3"/>
  <c r="W30" i="3"/>
  <c r="S30" i="3"/>
  <c r="U30" i="3"/>
  <c r="R30" i="3"/>
  <c r="AC30" i="3"/>
  <c r="Q30" i="3"/>
  <c r="T30" i="3"/>
  <c r="P30" i="3"/>
  <c r="P29" i="3"/>
  <c r="V29" i="3"/>
  <c r="S29" i="3"/>
  <c r="U29" i="3"/>
  <c r="BW29" i="3"/>
  <c r="BT29" i="3"/>
  <c r="CC29" i="3" s="1" a="1"/>
  <c r="CC29" i="3" s="1"/>
  <c r="AC29" i="3"/>
  <c r="T29" i="3"/>
  <c r="W29" i="3"/>
  <c r="R29" i="3"/>
  <c r="CC30" i="3" a="1"/>
  <c r="CC30" i="3" s="1"/>
  <c r="CD29" i="3" a="1"/>
  <c r="CD29" i="3" s="1"/>
  <c r="CN29" i="3" a="1"/>
  <c r="CN29" i="3" s="1"/>
  <c r="CG30" i="3" a="1"/>
  <c r="CG30" i="3" s="1"/>
  <c r="CG29" i="3" a="1"/>
  <c r="CG29" i="3" s="1"/>
  <c r="CD30" i="3" a="1"/>
  <c r="CD30" i="3" s="1"/>
  <c r="CN30" i="3" a="1"/>
  <c r="CN30" i="3" s="1"/>
  <c r="CF30" i="3" a="1"/>
  <c r="CF30" i="3" s="1"/>
  <c r="CH30" i="3" a="1"/>
  <c r="CH30" i="3" s="1"/>
  <c r="CB29" i="3" a="1"/>
  <c r="CB29" i="3" s="1"/>
  <c r="CR28" i="3" a="1"/>
  <c r="CR28" i="3" s="1"/>
  <c r="CN27" i="3" a="1"/>
  <c r="CN27" i="3" s="1"/>
  <c r="CL27" i="3" a="1"/>
  <c r="CL27" i="3" s="1"/>
  <c r="CI28" i="3" a="1"/>
  <c r="CI28" i="3" s="1"/>
  <c r="CV28" i="3" a="1"/>
  <c r="CV28" i="3" s="1"/>
  <c r="CK29" i="3" a="1"/>
  <c r="CK29" i="3" s="1"/>
  <c r="CR29" i="3" a="1"/>
  <c r="CR29" i="3" s="1"/>
  <c r="CQ28" i="3" a="1"/>
  <c r="CQ28" i="3" s="1"/>
  <c r="CT29" i="3" a="1"/>
  <c r="CT29" i="3" s="1"/>
  <c r="CT27" i="3" a="1"/>
  <c r="CT27" i="3" s="1"/>
  <c r="CP27" i="3" a="1"/>
  <c r="CP27" i="3" s="1"/>
  <c r="CT28" i="3" a="1"/>
  <c r="CT28" i="3" s="1"/>
  <c r="CO30" i="3" a="1"/>
  <c r="CO30" i="3" s="1"/>
  <c r="CA30" i="3" a="1"/>
  <c r="CA30" i="3" s="1"/>
  <c r="CK30" i="3" a="1"/>
  <c r="CK30" i="3" s="1"/>
  <c r="CA27" i="3" a="1"/>
  <c r="CA27" i="3" s="1"/>
  <c r="CK27" i="3" a="1"/>
  <c r="CK27" i="3" s="1"/>
  <c r="CG27" i="3" a="1"/>
  <c r="CG27" i="3" s="1"/>
  <c r="CA29" i="3" a="1"/>
  <c r="CA29" i="3" s="1"/>
  <c r="CH27" i="3" a="1"/>
  <c r="CH27" i="3" s="1"/>
  <c r="CD27" i="3" a="1"/>
  <c r="CD27" i="3" s="1"/>
  <c r="CS27" i="3" a="1"/>
  <c r="CS27" i="3" s="1"/>
  <c r="CO29" i="3" a="1"/>
  <c r="CO29" i="3" s="1"/>
  <c r="CU30" i="3" a="1"/>
  <c r="CU30" i="3" s="1"/>
  <c r="CP29" i="3" a="1"/>
  <c r="CP29" i="3" s="1"/>
  <c r="CD28" i="3" a="1"/>
  <c r="CD28" i="3" s="1"/>
  <c r="CK28" i="3" a="1"/>
  <c r="CK28" i="3" s="1"/>
  <c r="CQ27" i="3" a="1"/>
  <c r="CQ27" i="3" s="1"/>
  <c r="CP28" i="3" a="1"/>
  <c r="CP28" i="3" s="1"/>
  <c r="CO28" i="3" a="1"/>
  <c r="CO28" i="3" s="1"/>
  <c r="CV29" i="3" a="1"/>
  <c r="CV29" i="3" s="1"/>
  <c r="CT30" i="3" a="1"/>
  <c r="CT30" i="3" s="1"/>
  <c r="CB27" i="3" a="1"/>
  <c r="CB27" i="3" s="1"/>
  <c r="CJ30" i="3" a="1"/>
  <c r="CJ30" i="3" s="1"/>
  <c r="CS30" i="3" a="1"/>
  <c r="CS30" i="3" s="1"/>
  <c r="CQ29" i="3" a="1"/>
  <c r="CQ29" i="3" s="1"/>
  <c r="CB28" i="3" a="1"/>
  <c r="CB28" i="3" s="1"/>
  <c r="CI29" i="3" a="1"/>
  <c r="CI29" i="3" s="1"/>
  <c r="CM27" i="3" a="1"/>
  <c r="CM27" i="3" s="1"/>
  <c r="CR30" i="3" a="1"/>
  <c r="CR30" i="3" s="1"/>
  <c r="CV30" i="3" a="1"/>
  <c r="CV30" i="3" s="1"/>
  <c r="CR27" i="3" a="1"/>
  <c r="CR27" i="3" s="1"/>
  <c r="CO27" i="3" a="1"/>
  <c r="CO27" i="3" s="1"/>
  <c r="CU29" i="3" a="1"/>
  <c r="CU29" i="3" s="1"/>
  <c r="CF27" i="3" a="1"/>
  <c r="CF27" i="3" s="1"/>
  <c r="CA28" i="3" a="1"/>
  <c r="CA28" i="3" s="1"/>
  <c r="CI27" i="3" a="1"/>
  <c r="CI27" i="3" s="1"/>
  <c r="CB30" i="3" a="1"/>
  <c r="CB30" i="3" s="1"/>
  <c r="CI30" i="3" a="1"/>
  <c r="CI30" i="3" s="1"/>
  <c r="CJ29" i="3" a="1"/>
  <c r="CJ29" i="3" s="1"/>
  <c r="CS28" i="3" a="1"/>
  <c r="CS28" i="3" s="1"/>
  <c r="CC27" i="3" a="1"/>
  <c r="CC27" i="3" s="1"/>
  <c r="CQ30" i="3" a="1"/>
  <c r="CQ30" i="3" s="1"/>
  <c r="CJ27" i="3" a="1"/>
  <c r="CJ27" i="3" s="1"/>
  <c r="CC28" i="3" a="1"/>
  <c r="CC28" i="3" s="1"/>
  <c r="CP30" i="3" a="1"/>
  <c r="CP30" i="3" s="1"/>
  <c r="CU27" i="3" a="1"/>
  <c r="CU27" i="3" s="1"/>
  <c r="CS29" i="3" a="1"/>
  <c r="CS29" i="3" s="1"/>
  <c r="CJ28" i="3" a="1"/>
  <c r="CJ28" i="3" s="1"/>
  <c r="K65" i="3"/>
  <c r="C99" i="8" s="1"/>
  <c r="V28" i="3"/>
  <c r="AC28" i="3"/>
  <c r="Q28" i="3"/>
  <c r="C70" i="8" s="1"/>
  <c r="U28" i="3"/>
  <c r="T28" i="3"/>
  <c r="W28" i="3"/>
  <c r="R28" i="3"/>
  <c r="P28" i="3"/>
  <c r="S28" i="3"/>
  <c r="CN28" i="3" a="1"/>
  <c r="CN28" i="3" s="1"/>
  <c r="CH28" i="3" a="1"/>
  <c r="CH28" i="3" s="1"/>
  <c r="CE30" i="3" a="1"/>
  <c r="CE30" i="3" s="1"/>
  <c r="CF28" i="3" a="1"/>
  <c r="CF28" i="3" s="1"/>
  <c r="CE28" i="3" a="1"/>
  <c r="CE28" i="3" s="1"/>
  <c r="CL30" i="3" a="1"/>
  <c r="CL30" i="3" s="1"/>
  <c r="CM28" i="3" a="1"/>
  <c r="CM28" i="3" s="1"/>
  <c r="CE27" i="3" a="1"/>
  <c r="CE27" i="3" s="1"/>
  <c r="CM29" i="3" a="1"/>
  <c r="CM29" i="3" s="1"/>
  <c r="CF29" i="3" a="1"/>
  <c r="CF29" i="3" s="1"/>
  <c r="CG28" i="3" a="1"/>
  <c r="CG28" i="3" s="1"/>
  <c r="CL28" i="3" a="1"/>
  <c r="CL28" i="3" s="1"/>
  <c r="CM30" i="3" a="1"/>
  <c r="CM30" i="3" s="1"/>
  <c r="CL29" i="3" a="1"/>
  <c r="CL29" i="3" s="1"/>
  <c r="CE29" i="3" a="1"/>
  <c r="CE29" i="3" s="1"/>
  <c r="AC22" i="3"/>
  <c r="T22" i="3"/>
  <c r="W22" i="3"/>
  <c r="V22" i="3"/>
  <c r="Q22" i="3"/>
  <c r="C65" i="8" s="1"/>
  <c r="P22" i="3"/>
  <c r="R22" i="3"/>
  <c r="S22" i="3"/>
  <c r="U22" i="3"/>
  <c r="C91" i="8"/>
  <c r="CH23" i="3" a="1"/>
  <c r="CH23" i="3" s="1"/>
  <c r="CD23" i="3" a="1"/>
  <c r="CD23" i="3" s="1"/>
  <c r="CF23" i="3" a="1"/>
  <c r="CF23" i="3" s="1"/>
  <c r="CN23" i="3" a="1"/>
  <c r="CN23" i="3" s="1"/>
  <c r="C111" i="8"/>
  <c r="C101" i="8"/>
  <c r="B111" i="8"/>
  <c r="CH22" i="3" a="1"/>
  <c r="CH22" i="3" s="1"/>
  <c r="CD22" i="3" a="1"/>
  <c r="CD22" i="3" s="1"/>
  <c r="CC23" i="3" a="1"/>
  <c r="CC23" i="3" s="1"/>
  <c r="CC22" i="3" a="1"/>
  <c r="CC22" i="3" s="1"/>
  <c r="CN22" i="3" a="1"/>
  <c r="CN22" i="3" s="1"/>
  <c r="CG22" i="3" a="1"/>
  <c r="CG22" i="3" s="1"/>
  <c r="CG23" i="3" a="1"/>
  <c r="CG23" i="3" s="1"/>
  <c r="C66" i="8"/>
  <c r="C64" i="8"/>
  <c r="CU22" i="3" a="1"/>
  <c r="CU22" i="3" s="1"/>
  <c r="CR21" i="3" a="1"/>
  <c r="CR21" i="3" s="1"/>
  <c r="CO23" i="3" a="1"/>
  <c r="CO23" i="3" s="1"/>
  <c r="CK20" i="3" a="1"/>
  <c r="CK20" i="3" s="1"/>
  <c r="CJ21" i="3" a="1"/>
  <c r="CJ21" i="3" s="1"/>
  <c r="CV22" i="3" a="1"/>
  <c r="CV22" i="3" s="1"/>
  <c r="CA20" i="3" a="1"/>
  <c r="CA20" i="3" s="1"/>
  <c r="CF20" i="3" a="1"/>
  <c r="CF20" i="3" s="1"/>
  <c r="CK23" i="3" a="1"/>
  <c r="CK23" i="3" s="1"/>
  <c r="CB20" i="3" a="1"/>
  <c r="CB20" i="3" s="1"/>
  <c r="CQ20" i="3" a="1"/>
  <c r="CQ20" i="3" s="1"/>
  <c r="CI21" i="3" a="1"/>
  <c r="CI21" i="3" s="1"/>
  <c r="CK21" i="3" a="1"/>
  <c r="CK21" i="3" s="1"/>
  <c r="CV21" i="3" a="1"/>
  <c r="CV21" i="3" s="1"/>
  <c r="CU21" i="3" a="1"/>
  <c r="CU21" i="3" s="1"/>
  <c r="CJ23" i="3" a="1"/>
  <c r="CJ23" i="3" s="1"/>
  <c r="CB22" i="3" a="1"/>
  <c r="CB22" i="3" s="1"/>
  <c r="CU23" i="3" a="1"/>
  <c r="CU23" i="3" s="1"/>
  <c r="CJ22" i="3" a="1"/>
  <c r="CJ22" i="3" s="1"/>
  <c r="CS22" i="3" a="1"/>
  <c r="CS22" i="3" s="1"/>
  <c r="CP21" i="3" a="1"/>
  <c r="CP21" i="3" s="1"/>
  <c r="CH20" i="3" a="1"/>
  <c r="CH20" i="3" s="1"/>
  <c r="CR20" i="3" a="1"/>
  <c r="CR20" i="3" s="1"/>
  <c r="CA21" i="3" a="1"/>
  <c r="CA21" i="3" s="1"/>
  <c r="CC20" i="3" a="1"/>
  <c r="CC20" i="3" s="1"/>
  <c r="CB23" i="3" a="1"/>
  <c r="CB23" i="3" s="1"/>
  <c r="CQ23" i="3" a="1"/>
  <c r="CQ23" i="3" s="1"/>
  <c r="CA22" i="3" a="1"/>
  <c r="CA22" i="3" s="1"/>
  <c r="CS23" i="3" a="1"/>
  <c r="CS23" i="3" s="1"/>
  <c r="CP20" i="3" a="1"/>
  <c r="CP20" i="3" s="1"/>
  <c r="CD20" i="3" a="1"/>
  <c r="CD20" i="3" s="1"/>
  <c r="CT20" i="3" a="1"/>
  <c r="CT20" i="3" s="1"/>
  <c r="CI20" i="3" a="1"/>
  <c r="CI20" i="3" s="1"/>
  <c r="CK22" i="3" a="1"/>
  <c r="CK22" i="3" s="1"/>
  <c r="CQ21" i="3" a="1"/>
  <c r="CQ21" i="3" s="1"/>
  <c r="CV23" i="3" a="1"/>
  <c r="CV23" i="3" s="1"/>
  <c r="CS21" i="3" a="1"/>
  <c r="CS21" i="3" s="1"/>
  <c r="CI22" i="3" a="1"/>
  <c r="CI22" i="3" s="1"/>
  <c r="CI23" i="3" a="1"/>
  <c r="CI23" i="3" s="1"/>
  <c r="CD21" i="3" a="1"/>
  <c r="CD21" i="3" s="1"/>
  <c r="CT22" i="3" a="1"/>
  <c r="CT22" i="3" s="1"/>
  <c r="CU20" i="3" a="1"/>
  <c r="CU20" i="3" s="1"/>
  <c r="CC21" i="3" a="1"/>
  <c r="CC21" i="3" s="1"/>
  <c r="CJ20" i="3" a="1"/>
  <c r="CJ20" i="3" s="1"/>
  <c r="CN20" i="3" a="1"/>
  <c r="CN20" i="3" s="1"/>
  <c r="CA23" i="3" a="1"/>
  <c r="CA23" i="3" s="1"/>
  <c r="CO20" i="3" a="1"/>
  <c r="CO20" i="3" s="1"/>
  <c r="CG20" i="3" a="1"/>
  <c r="CG20" i="3" s="1"/>
  <c r="CV20" i="3" a="1"/>
  <c r="CV20" i="3" s="1"/>
  <c r="CR23" i="3" a="1"/>
  <c r="CR23" i="3" s="1"/>
  <c r="CO22" i="3" a="1"/>
  <c r="CO22" i="3" s="1"/>
  <c r="CP22" i="3" a="1"/>
  <c r="CP22" i="3" s="1"/>
  <c r="CM20" i="3" a="1"/>
  <c r="CM20" i="3" s="1"/>
  <c r="CT21" i="3" a="1"/>
  <c r="CT21" i="3" s="1"/>
  <c r="CR22" i="3" a="1"/>
  <c r="CR22" i="3" s="1"/>
  <c r="CS20" i="3" a="1"/>
  <c r="CS20" i="3" s="1"/>
  <c r="CL20" i="3" a="1"/>
  <c r="CL20" i="3" s="1"/>
  <c r="CQ22" i="3" a="1"/>
  <c r="CQ22" i="3" s="1"/>
  <c r="CO21" i="3" a="1"/>
  <c r="CO21" i="3" s="1"/>
  <c r="CP23" i="3" a="1"/>
  <c r="CP23" i="3" s="1"/>
  <c r="CB21" i="3" a="1"/>
  <c r="CB21" i="3" s="1"/>
  <c r="CT23" i="3" a="1"/>
  <c r="CT23" i="3" s="1"/>
  <c r="CH21" i="3" a="1"/>
  <c r="CH21" i="3" s="1"/>
  <c r="CE23" i="3" a="1"/>
  <c r="CE23" i="3" s="1"/>
  <c r="CG21" i="3" a="1"/>
  <c r="CG21" i="3" s="1"/>
  <c r="CL23" i="3" a="1"/>
  <c r="CL23" i="3" s="1"/>
  <c r="CM21" i="3" a="1"/>
  <c r="CM21" i="3" s="1"/>
  <c r="CM22" i="3" a="1"/>
  <c r="CM22" i="3" s="1"/>
  <c r="CM23" i="3" a="1"/>
  <c r="CM23" i="3" s="1"/>
  <c r="CL21" i="3" a="1"/>
  <c r="CL21" i="3" s="1"/>
  <c r="CE21" i="3" a="1"/>
  <c r="CE21" i="3" s="1"/>
  <c r="CF21" i="3" a="1"/>
  <c r="CF21" i="3" s="1"/>
  <c r="CE22" i="3" a="1"/>
  <c r="CE22" i="3" s="1"/>
  <c r="CE20" i="3" a="1"/>
  <c r="CE20" i="3" s="1"/>
  <c r="CL22" i="3" a="1"/>
  <c r="CL22" i="3" s="1"/>
  <c r="CN21" i="3" a="1"/>
  <c r="CN21" i="3" s="1"/>
  <c r="CF22" i="3" a="1"/>
  <c r="CF22" i="3" s="1"/>
  <c r="C63" i="8"/>
  <c r="C60" i="8"/>
  <c r="C62" i="8"/>
  <c r="C61" i="8"/>
  <c r="F64" i="3"/>
  <c r="W6" i="3"/>
  <c r="Q6" i="3"/>
  <c r="U6" i="3"/>
  <c r="T6" i="3"/>
  <c r="R6" i="3"/>
  <c r="P6" i="3"/>
  <c r="V6" i="3"/>
  <c r="S6" i="3"/>
  <c r="AC6" i="3"/>
  <c r="T9" i="3"/>
  <c r="R9" i="3"/>
  <c r="V9" i="3"/>
  <c r="P9" i="3"/>
  <c r="U9" i="3"/>
  <c r="W9" i="3"/>
  <c r="Q9" i="3"/>
  <c r="S9" i="3"/>
  <c r="AC9" i="3"/>
  <c r="K66" i="3"/>
  <c r="U7" i="3"/>
  <c r="Q7" i="3"/>
  <c r="W7" i="3"/>
  <c r="AC7" i="3"/>
  <c r="V7" i="3"/>
  <c r="P7" i="3"/>
  <c r="S7" i="3"/>
  <c r="R7" i="3"/>
  <c r="T7" i="3"/>
  <c r="AC8" i="3"/>
  <c r="Q8" i="3"/>
  <c r="W8" i="3"/>
  <c r="U8" i="3"/>
  <c r="S8" i="3"/>
  <c r="T8" i="3"/>
  <c r="P8" i="3"/>
  <c r="V8" i="3"/>
  <c r="R8" i="3"/>
  <c r="CR36" i="3" l="1" a="1"/>
  <c r="CR36" i="3" s="1"/>
  <c r="C74" i="8"/>
  <c r="CS57" i="3" a="1"/>
  <c r="CS57" i="3" s="1"/>
  <c r="C85" i="8"/>
  <c r="CI58" i="3" a="1"/>
  <c r="CI58" i="3" s="1"/>
  <c r="CL58" i="3" a="1"/>
  <c r="CL58" i="3" s="1"/>
  <c r="CM57" i="3" a="1"/>
  <c r="CM57" i="3" s="1"/>
  <c r="CE57" i="3" a="1"/>
  <c r="CE57" i="3" s="1"/>
  <c r="CM56" i="3" a="1"/>
  <c r="CM56" i="3" s="1"/>
  <c r="CN56" i="3" a="1"/>
  <c r="CN56" i="3" s="1"/>
  <c r="CM58" i="3" a="1"/>
  <c r="CM58" i="3" s="1"/>
  <c r="CE55" i="3" a="1"/>
  <c r="CE55" i="3" s="1"/>
  <c r="CL56" i="3" a="1"/>
  <c r="CL56" i="3" s="1"/>
  <c r="CE58" i="3" a="1"/>
  <c r="CE58" i="3" s="1"/>
  <c r="CG56" i="3" a="1"/>
  <c r="CG56" i="3" s="1"/>
  <c r="CL57" i="3" a="1"/>
  <c r="CL57" i="3" s="1"/>
  <c r="CH56" i="3" a="1"/>
  <c r="CH56" i="3" s="1"/>
  <c r="CF57" i="3" a="1"/>
  <c r="CF57" i="3" s="1"/>
  <c r="CF56" i="3" a="1"/>
  <c r="CF56" i="3" s="1"/>
  <c r="CE56" i="3" a="1"/>
  <c r="CE56" i="3" s="1"/>
  <c r="CA56" i="3" a="1"/>
  <c r="CA56" i="3" s="1"/>
  <c r="CA53" i="3" s="1"/>
  <c r="CJ56" i="3" a="1"/>
  <c r="CJ56" i="3" s="1"/>
  <c r="CI57" i="3" a="1"/>
  <c r="CI57" i="3" s="1"/>
  <c r="CP55" i="3" a="1"/>
  <c r="CP55" i="3" s="1"/>
  <c r="CB57" i="3" a="1"/>
  <c r="CB57" i="3" s="1"/>
  <c r="CJ55" i="3" a="1"/>
  <c r="CJ55" i="3" s="1"/>
  <c r="CR56" i="3" a="1"/>
  <c r="CR56" i="3" s="1"/>
  <c r="CQ57" i="3" a="1"/>
  <c r="CQ57" i="3" s="1"/>
  <c r="CI56" i="3" a="1"/>
  <c r="CI56" i="3" s="1"/>
  <c r="CI53" i="3" s="1"/>
  <c r="CJ57" i="3" a="1"/>
  <c r="CJ57" i="3" s="1"/>
  <c r="CS58" i="3" a="1"/>
  <c r="CS58" i="3" s="1"/>
  <c r="CN55" i="3" a="1"/>
  <c r="CN55" i="3" s="1"/>
  <c r="CF55" i="3" a="1"/>
  <c r="CF55" i="3" s="1"/>
  <c r="CF53" i="3" s="1"/>
  <c r="CU57" i="3" a="1"/>
  <c r="CU57" i="3" s="1"/>
  <c r="CU53" i="3" s="1"/>
  <c r="CR58" i="3" a="1"/>
  <c r="CR58" i="3" s="1"/>
  <c r="CT58" i="3" a="1"/>
  <c r="CT58" i="3" s="1"/>
  <c r="CC58" i="3" a="1"/>
  <c r="CC58" i="3" s="1"/>
  <c r="CC53" i="3" s="1"/>
  <c r="CG57" i="3" a="1"/>
  <c r="CG57" i="3" s="1"/>
  <c r="CG58" i="3" a="1"/>
  <c r="CG58" i="3" s="1"/>
  <c r="CD57" i="3" a="1"/>
  <c r="CD57" i="3" s="1"/>
  <c r="CD53" i="3" s="1"/>
  <c r="CC57" i="3" a="1"/>
  <c r="CC57" i="3" s="1"/>
  <c r="CH57" i="3" a="1"/>
  <c r="CH57" i="3" s="1"/>
  <c r="CN57" i="3" a="1"/>
  <c r="CN57" i="3" s="1"/>
  <c r="CS55" i="3" a="1"/>
  <c r="CS55" i="3" s="1"/>
  <c r="CQ58" i="3" a="1"/>
  <c r="CQ58" i="3" s="1"/>
  <c r="CB58" i="3" a="1"/>
  <c r="CB58" i="3" s="1"/>
  <c r="CQ56" i="3" a="1"/>
  <c r="CQ56" i="3" s="1"/>
  <c r="CH53" i="3"/>
  <c r="CQ55" i="3" a="1"/>
  <c r="CQ55" i="3" s="1"/>
  <c r="CF58" i="3" a="1"/>
  <c r="CF58" i="3" s="1"/>
  <c r="CT55" i="3" a="1"/>
  <c r="CT55" i="3" s="1"/>
  <c r="CK58" i="3" a="1"/>
  <c r="CK58" i="3" s="1"/>
  <c r="CO56" i="3" a="1"/>
  <c r="CO56" i="3" s="1"/>
  <c r="CK55" i="3" a="1"/>
  <c r="CK55" i="3" s="1"/>
  <c r="CB53" i="3"/>
  <c r="CR57" i="3" a="1"/>
  <c r="CR57" i="3" s="1"/>
  <c r="CG55" i="3" a="1"/>
  <c r="CG55" i="3" s="1"/>
  <c r="CG53" i="3" s="1"/>
  <c r="CL53" i="3"/>
  <c r="CA58" i="3" a="1"/>
  <c r="CA58" i="3" s="1"/>
  <c r="C84" i="8"/>
  <c r="CM53" i="3"/>
  <c r="CP56" i="3" a="1"/>
  <c r="CP56" i="3" s="1"/>
  <c r="CV58" i="3" a="1"/>
  <c r="CV58" i="3" s="1"/>
  <c r="CK57" i="3" a="1"/>
  <c r="CK57" i="3" s="1"/>
  <c r="CR55" i="3" a="1"/>
  <c r="CR55" i="3" s="1"/>
  <c r="CR53" i="3" s="1"/>
  <c r="CU58" i="3" a="1"/>
  <c r="CU58" i="3" s="1"/>
  <c r="CP58" i="3" a="1"/>
  <c r="CP58" i="3" s="1"/>
  <c r="CV57" i="3" a="1"/>
  <c r="CV57" i="3" s="1"/>
  <c r="CV53" i="3" s="1"/>
  <c r="CO55" i="3" a="1"/>
  <c r="CO55" i="3" s="1"/>
  <c r="CO53" i="3" s="1"/>
  <c r="CT56" i="3" a="1"/>
  <c r="CT56" i="3" s="1"/>
  <c r="C105" i="8"/>
  <c r="B115" i="8"/>
  <c r="C115" i="8"/>
  <c r="CL51" i="3" a="1"/>
  <c r="CL51" i="3" s="1"/>
  <c r="CH49" i="3" a="1"/>
  <c r="CH49" i="3" s="1"/>
  <c r="CF50" i="3" a="1"/>
  <c r="CF50" i="3" s="1"/>
  <c r="CF49" i="3" a="1"/>
  <c r="CF49" i="3" s="1"/>
  <c r="CM51" i="3" a="1"/>
  <c r="CM51" i="3" s="1"/>
  <c r="CE48" i="3" a="1"/>
  <c r="CE48" i="3" s="1"/>
  <c r="CE46" i="3" s="1"/>
  <c r="CM49" i="3" a="1"/>
  <c r="CM49" i="3" s="1"/>
  <c r="CM50" i="3" a="1"/>
  <c r="CM50" i="3" s="1"/>
  <c r="CL49" i="3" a="1"/>
  <c r="CL49" i="3" s="1"/>
  <c r="CN49" i="3" a="1"/>
  <c r="CN49" i="3" s="1"/>
  <c r="CE49" i="3" a="1"/>
  <c r="CE49" i="3" s="1"/>
  <c r="CG49" i="3" a="1"/>
  <c r="CG49" i="3" s="1"/>
  <c r="CL50" i="3" a="1"/>
  <c r="CL50" i="3" s="1"/>
  <c r="CE50" i="3" a="1"/>
  <c r="CE50" i="3" s="1"/>
  <c r="CE51" i="3" a="1"/>
  <c r="CE51" i="3" s="1"/>
  <c r="C80" i="8"/>
  <c r="C83" i="8"/>
  <c r="C81" i="8"/>
  <c r="C82" i="8"/>
  <c r="CG50" i="3" a="1"/>
  <c r="CG50" i="3" s="1"/>
  <c r="CC50" i="3" a="1"/>
  <c r="CC50" i="3" s="1"/>
  <c r="CH50" i="3" a="1"/>
  <c r="CH50" i="3" s="1"/>
  <c r="CC51" i="3" a="1"/>
  <c r="CC51" i="3" s="1"/>
  <c r="CN50" i="3" a="1"/>
  <c r="CN50" i="3" s="1"/>
  <c r="CG51" i="3" a="1"/>
  <c r="CG51" i="3" s="1"/>
  <c r="CD50" i="3" a="1"/>
  <c r="CD50" i="3" s="1"/>
  <c r="CN51" i="3" a="1"/>
  <c r="CN51" i="3" s="1"/>
  <c r="CH51" i="3" a="1"/>
  <c r="CH51" i="3" s="1"/>
  <c r="CD51" i="3" a="1"/>
  <c r="CD51" i="3" s="1"/>
  <c r="CF51" i="3" a="1"/>
  <c r="CF51" i="3" s="1"/>
  <c r="C95" i="8"/>
  <c r="B113" i="8"/>
  <c r="C113" i="8"/>
  <c r="CD49" i="3" a="1"/>
  <c r="CD49" i="3" s="1"/>
  <c r="CO48" i="3" a="1"/>
  <c r="CO48" i="3" s="1"/>
  <c r="CK49" i="3" a="1"/>
  <c r="CK49" i="3" s="1"/>
  <c r="CV51" i="3" a="1"/>
  <c r="CV51" i="3" s="1"/>
  <c r="CB48" i="3" a="1"/>
  <c r="CB48" i="3" s="1"/>
  <c r="CK51" i="3" a="1"/>
  <c r="CK51" i="3" s="1"/>
  <c r="CJ50" i="3" a="1"/>
  <c r="CJ50" i="3" s="1"/>
  <c r="CA51" i="3" a="1"/>
  <c r="CA51" i="3" s="1"/>
  <c r="CJ51" i="3" a="1"/>
  <c r="CJ51" i="3" s="1"/>
  <c r="CK48" i="3" a="1"/>
  <c r="CK48" i="3" s="1"/>
  <c r="CU48" i="3" a="1"/>
  <c r="CU48" i="3" s="1"/>
  <c r="CO50" i="3" a="1"/>
  <c r="CO50" i="3" s="1"/>
  <c r="CR50" i="3" a="1"/>
  <c r="CR50" i="3" s="1"/>
  <c r="CI51" i="3" a="1"/>
  <c r="CI51" i="3" s="1"/>
  <c r="CR51" i="3" a="1"/>
  <c r="CR51" i="3" s="1"/>
  <c r="CV49" i="3" a="1"/>
  <c r="CV49" i="3" s="1"/>
  <c r="CB51" i="3" a="1"/>
  <c r="CB51" i="3" s="1"/>
  <c r="CU50" i="3" a="1"/>
  <c r="CU50" i="3" s="1"/>
  <c r="CO51" i="3" a="1"/>
  <c r="CO51" i="3" s="1"/>
  <c r="CA49" i="3" a="1"/>
  <c r="CA49" i="3" s="1"/>
  <c r="CT51" i="3" a="1"/>
  <c r="CT51" i="3" s="1"/>
  <c r="CB49" i="3" a="1"/>
  <c r="CB49" i="3" s="1"/>
  <c r="CC48" i="3" a="1"/>
  <c r="CC48" i="3" s="1"/>
  <c r="CP51" i="3" a="1"/>
  <c r="CP51" i="3" s="1"/>
  <c r="CQ48" i="3" a="1"/>
  <c r="CQ48" i="3" s="1"/>
  <c r="CM48" i="3" a="1"/>
  <c r="CM48" i="3" s="1"/>
  <c r="CM46" i="3" s="1"/>
  <c r="CI50" i="3" a="1"/>
  <c r="CI50" i="3" s="1"/>
  <c r="CI48" i="3" a="1"/>
  <c r="CI48" i="3" s="1"/>
  <c r="CI46" i="3" s="1"/>
  <c r="CU49" i="3" a="1"/>
  <c r="CU49" i="3" s="1"/>
  <c r="CO49" i="3" a="1"/>
  <c r="CO49" i="3" s="1"/>
  <c r="CD48" i="3" a="1"/>
  <c r="CD48" i="3" s="1"/>
  <c r="CD46" i="3" s="1"/>
  <c r="CK50" i="3" a="1"/>
  <c r="CK50" i="3" s="1"/>
  <c r="CA48" i="3" a="1"/>
  <c r="CA48" i="3" s="1"/>
  <c r="CQ50" i="3" a="1"/>
  <c r="CQ50" i="3" s="1"/>
  <c r="CS49" i="3" a="1"/>
  <c r="CS49" i="3" s="1"/>
  <c r="CT48" i="3" a="1"/>
  <c r="CT48" i="3" s="1"/>
  <c r="CR48" i="3" a="1"/>
  <c r="CR48" i="3" s="1"/>
  <c r="CH48" i="3" a="1"/>
  <c r="CH48" i="3" s="1"/>
  <c r="CH46" i="3" s="1"/>
  <c r="CG48" i="3" a="1"/>
  <c r="CG48" i="3" s="1"/>
  <c r="CG46" i="3" s="1"/>
  <c r="CP50" i="3" a="1"/>
  <c r="CP50" i="3" s="1"/>
  <c r="CC49" i="3" a="1"/>
  <c r="CC49" i="3" s="1"/>
  <c r="CT50" i="3" a="1"/>
  <c r="CT50" i="3" s="1"/>
  <c r="CS50" i="3" a="1"/>
  <c r="CS50" i="3" s="1"/>
  <c r="CI49" i="3" a="1"/>
  <c r="CI49" i="3" s="1"/>
  <c r="CR49" i="3" a="1"/>
  <c r="CR49" i="3" s="1"/>
  <c r="CV50" i="3" a="1"/>
  <c r="CV50" i="3" s="1"/>
  <c r="CQ49" i="3" a="1"/>
  <c r="CQ49" i="3" s="1"/>
  <c r="CV48" i="3" a="1"/>
  <c r="CV48" i="3" s="1"/>
  <c r="CJ48" i="3" a="1"/>
  <c r="CJ48" i="3" s="1"/>
  <c r="CS48" i="3" a="1"/>
  <c r="CS48" i="3" s="1"/>
  <c r="CS46" i="3" s="1"/>
  <c r="CJ49" i="3" a="1"/>
  <c r="CJ49" i="3" s="1"/>
  <c r="CA50" i="3" a="1"/>
  <c r="CA50" i="3" s="1"/>
  <c r="CU51" i="3" a="1"/>
  <c r="CU51" i="3" s="1"/>
  <c r="CF48" i="3" a="1"/>
  <c r="CF48" i="3" s="1"/>
  <c r="CB50" i="3" a="1"/>
  <c r="CB50" i="3" s="1"/>
  <c r="CP48" i="3" a="1"/>
  <c r="CP48" i="3" s="1"/>
  <c r="CQ51" i="3" a="1"/>
  <c r="CQ51" i="3" s="1"/>
  <c r="CN48" i="3" a="1"/>
  <c r="CN48" i="3" s="1"/>
  <c r="CN46" i="3" s="1"/>
  <c r="CL48" i="3" a="1"/>
  <c r="CL48" i="3" s="1"/>
  <c r="CL46" i="3" s="1"/>
  <c r="CS51" i="3" a="1"/>
  <c r="CS51" i="3" s="1"/>
  <c r="CT49" i="3" a="1"/>
  <c r="CT49" i="3" s="1"/>
  <c r="CP49" i="3" a="1"/>
  <c r="CP49" i="3" s="1"/>
  <c r="CU41" i="3" a="1"/>
  <c r="CU41" i="3" s="1"/>
  <c r="CJ41" i="3" a="1"/>
  <c r="CJ41" i="3" s="1"/>
  <c r="CI41" i="3" a="1"/>
  <c r="CI41" i="3" s="1"/>
  <c r="CK43" i="3" a="1"/>
  <c r="CK43" i="3" s="1"/>
  <c r="CT43" i="3" a="1"/>
  <c r="CT43" i="3" s="1"/>
  <c r="CT41" i="3" a="1"/>
  <c r="CT41" i="3" s="1"/>
  <c r="CC41" i="3" a="1"/>
  <c r="CC41" i="3" s="1"/>
  <c r="CU43" i="3" a="1"/>
  <c r="CU43" i="3" s="1"/>
  <c r="CH41" i="3" a="1"/>
  <c r="CH41" i="3" s="1"/>
  <c r="CK42" i="3" a="1"/>
  <c r="CK42" i="3" s="1"/>
  <c r="CV42" i="3" a="1"/>
  <c r="CV42" i="3" s="1"/>
  <c r="CS43" i="3" a="1"/>
  <c r="CS43" i="3" s="1"/>
  <c r="CK44" i="3" a="1"/>
  <c r="CK44" i="3" s="1"/>
  <c r="CI42" i="3" a="1"/>
  <c r="CI42" i="3" s="1"/>
  <c r="CV41" i="3" a="1"/>
  <c r="CV41" i="3" s="1"/>
  <c r="CO42" i="3" a="1"/>
  <c r="CO42" i="3" s="1"/>
  <c r="CQ41" i="3" a="1"/>
  <c r="CQ41" i="3" s="1"/>
  <c r="CN41" i="3" a="1"/>
  <c r="CN41" i="3" s="1"/>
  <c r="CJ42" i="3" a="1"/>
  <c r="CJ42" i="3" s="1"/>
  <c r="CC42" i="3" a="1"/>
  <c r="CC42" i="3" s="1"/>
  <c r="CD42" i="3" a="1"/>
  <c r="CD42" i="3" s="1"/>
  <c r="CJ43" i="3" a="1"/>
  <c r="CJ43" i="3" s="1"/>
  <c r="CR42" i="3" a="1"/>
  <c r="CR42" i="3" s="1"/>
  <c r="CR44" i="3" a="1"/>
  <c r="CR44" i="3" s="1"/>
  <c r="CI43" i="3" a="1"/>
  <c r="CI43" i="3" s="1"/>
  <c r="CA44" i="3" a="1"/>
  <c r="CA44" i="3" s="1"/>
  <c r="CO41" i="3" a="1"/>
  <c r="CO41" i="3" s="1"/>
  <c r="CB42" i="3" a="1"/>
  <c r="CB42" i="3" s="1"/>
  <c r="CB43" i="3" a="1"/>
  <c r="CB43" i="3" s="1"/>
  <c r="CS44" i="3" a="1"/>
  <c r="CS44" i="3" s="1"/>
  <c r="CQ44" i="3" a="1"/>
  <c r="CQ44" i="3" s="1"/>
  <c r="CP41" i="3" a="1"/>
  <c r="CP41" i="3" s="1"/>
  <c r="CR41" i="3" a="1"/>
  <c r="CR41" i="3" s="1"/>
  <c r="CA41" i="3" a="1"/>
  <c r="CA41" i="3" s="1"/>
  <c r="CO43" i="3" a="1"/>
  <c r="CO43" i="3" s="1"/>
  <c r="CA42" i="3" a="1"/>
  <c r="CA42" i="3" s="1"/>
  <c r="CG41" i="3" a="1"/>
  <c r="CG41" i="3" s="1"/>
  <c r="CT44" i="3" a="1"/>
  <c r="CT44" i="3" s="1"/>
  <c r="CP44" i="3" a="1"/>
  <c r="CP44" i="3" s="1"/>
  <c r="CU44" i="3" a="1"/>
  <c r="CU44" i="3" s="1"/>
  <c r="CB44" i="3" a="1"/>
  <c r="CB44" i="3" s="1"/>
  <c r="CO44" i="3" a="1"/>
  <c r="CO44" i="3" s="1"/>
  <c r="CD41" i="3" a="1"/>
  <c r="CD41" i="3" s="1"/>
  <c r="CV43" i="3" a="1"/>
  <c r="CV43" i="3" s="1"/>
  <c r="CJ44" i="3" a="1"/>
  <c r="CJ44" i="3" s="1"/>
  <c r="CQ42" i="3" a="1"/>
  <c r="CQ42" i="3" s="1"/>
  <c r="CV44" i="3" a="1"/>
  <c r="CV44" i="3" s="1"/>
  <c r="CP42" i="3" a="1"/>
  <c r="CP42" i="3" s="1"/>
  <c r="CI44" i="3" a="1"/>
  <c r="CI44" i="3" s="1"/>
  <c r="CL41" i="3" a="1"/>
  <c r="CL41" i="3" s="1"/>
  <c r="CS41" i="3" a="1"/>
  <c r="CS41" i="3" s="1"/>
  <c r="CR43" i="3" a="1"/>
  <c r="CR43" i="3" s="1"/>
  <c r="CS42" i="3" a="1"/>
  <c r="CS42" i="3" s="1"/>
  <c r="CK41" i="3" a="1"/>
  <c r="CK41" i="3" s="1"/>
  <c r="CM41" i="3" a="1"/>
  <c r="CM41" i="3" s="1"/>
  <c r="CU42" i="3" a="1"/>
  <c r="CU42" i="3" s="1"/>
  <c r="CA43" i="3" a="1"/>
  <c r="CA43" i="3" s="1"/>
  <c r="CF41" i="3" a="1"/>
  <c r="CF41" i="3" s="1"/>
  <c r="CP43" i="3" a="1"/>
  <c r="CP43" i="3" s="1"/>
  <c r="CQ43" i="3" a="1"/>
  <c r="CQ43" i="3" s="1"/>
  <c r="CB41" i="3" a="1"/>
  <c r="CB41" i="3" s="1"/>
  <c r="CT42" i="3" a="1"/>
  <c r="CT42" i="3" s="1"/>
  <c r="CM44" i="3" a="1"/>
  <c r="CM44" i="3" s="1"/>
  <c r="CF43" i="3" a="1"/>
  <c r="CF43" i="3" s="1"/>
  <c r="CL44" i="3" a="1"/>
  <c r="CL44" i="3" s="1"/>
  <c r="CF42" i="3" a="1"/>
  <c r="CF42" i="3" s="1"/>
  <c r="CG42" i="3" a="1"/>
  <c r="CG42" i="3" s="1"/>
  <c r="CE41" i="3" a="1"/>
  <c r="CE41" i="3" s="1"/>
  <c r="CE43" i="3" a="1"/>
  <c r="CE43" i="3" s="1"/>
  <c r="CN42" i="3" a="1"/>
  <c r="CN42" i="3" s="1"/>
  <c r="CL42" i="3" a="1"/>
  <c r="CL42" i="3" s="1"/>
  <c r="CM42" i="3" a="1"/>
  <c r="CM42" i="3" s="1"/>
  <c r="CE44" i="3" a="1"/>
  <c r="CE44" i="3" s="1"/>
  <c r="CM43" i="3" a="1"/>
  <c r="CM43" i="3" s="1"/>
  <c r="CE42" i="3" a="1"/>
  <c r="CE42" i="3" s="1"/>
  <c r="CL43" i="3" a="1"/>
  <c r="CL43" i="3" s="1"/>
  <c r="CH42" i="3" a="1"/>
  <c r="CH42" i="3" s="1"/>
  <c r="C77" i="8"/>
  <c r="C76" i="8"/>
  <c r="C79" i="8"/>
  <c r="C78" i="8"/>
  <c r="CG44" i="3" a="1"/>
  <c r="CG44" i="3" s="1"/>
  <c r="CN43" i="3" a="1"/>
  <c r="CN43" i="3" s="1"/>
  <c r="CC44" i="3" a="1"/>
  <c r="CC44" i="3" s="1"/>
  <c r="CH43" i="3" a="1"/>
  <c r="CH43" i="3" s="1"/>
  <c r="CC43" i="3" a="1"/>
  <c r="CC43" i="3" s="1"/>
  <c r="CD43" i="3" a="1"/>
  <c r="CD43" i="3" s="1"/>
  <c r="CG43" i="3" a="1"/>
  <c r="CG43" i="3" s="1"/>
  <c r="CF44" i="3" a="1"/>
  <c r="CF44" i="3" s="1"/>
  <c r="CN44" i="3" a="1"/>
  <c r="CN44" i="3" s="1"/>
  <c r="CD44" i="3" a="1"/>
  <c r="CD44" i="3" s="1"/>
  <c r="CH44" i="3" a="1"/>
  <c r="CH44" i="3" s="1"/>
  <c r="CQ34" i="3" a="1"/>
  <c r="CQ34" i="3" s="1"/>
  <c r="CF34" i="3" a="1"/>
  <c r="CF34" i="3" s="1"/>
  <c r="CT36" i="3" a="1"/>
  <c r="CT36" i="3" s="1"/>
  <c r="CC35" i="3" a="1"/>
  <c r="CC35" i="3" s="1"/>
  <c r="CJ37" i="3" a="1"/>
  <c r="CJ37" i="3" s="1"/>
  <c r="CQ35" i="3" a="1"/>
  <c r="CQ35" i="3" s="1"/>
  <c r="CI37" i="3" a="1"/>
  <c r="CI37" i="3" s="1"/>
  <c r="CC34" i="3" a="1"/>
  <c r="CC34" i="3" s="1"/>
  <c r="CB37" i="3" a="1"/>
  <c r="CB37" i="3" s="1"/>
  <c r="CP34" i="3" a="1"/>
  <c r="CP34" i="3" s="1"/>
  <c r="CA37" i="3" a="1"/>
  <c r="CA37" i="3" s="1"/>
  <c r="CT35" i="3" a="1"/>
  <c r="CT35" i="3" s="1"/>
  <c r="CD35" i="3" a="1"/>
  <c r="CD35" i="3" s="1"/>
  <c r="CM34" i="3" a="1"/>
  <c r="CM34" i="3" s="1"/>
  <c r="CB35" i="3" a="1"/>
  <c r="CB35" i="3" s="1"/>
  <c r="CI36" i="3" a="1"/>
  <c r="CI36" i="3" s="1"/>
  <c r="CI35" i="3" a="1"/>
  <c r="CI35" i="3" s="1"/>
  <c r="CR37" i="3" a="1"/>
  <c r="CR37" i="3" s="1"/>
  <c r="CO34" i="3" a="1"/>
  <c r="CO34" i="3" s="1"/>
  <c r="CD34" i="3" a="1"/>
  <c r="CD34" i="3" s="1"/>
  <c r="CA36" i="3" a="1"/>
  <c r="CA36" i="3" s="1"/>
  <c r="CG34" i="3" a="1"/>
  <c r="CG34" i="3" s="1"/>
  <c r="CS35" i="3" a="1"/>
  <c r="CS35" i="3" s="1"/>
  <c r="CB36" i="3" a="1"/>
  <c r="CB36" i="3" s="1"/>
  <c r="CK37" i="3" a="1"/>
  <c r="CK37" i="3" s="1"/>
  <c r="CV37" i="3" a="1"/>
  <c r="CV37" i="3" s="1"/>
  <c r="CT37" i="3" a="1"/>
  <c r="CT37" i="3" s="1"/>
  <c r="CK36" i="3" a="1"/>
  <c r="CK36" i="3" s="1"/>
  <c r="CU36" i="3" a="1"/>
  <c r="CU36" i="3" s="1"/>
  <c r="CH35" i="3" a="1"/>
  <c r="CH35" i="3" s="1"/>
  <c r="CM36" i="3" a="1"/>
  <c r="CM36" i="3" s="1"/>
  <c r="CL35" i="3" a="1"/>
  <c r="CL35" i="3" s="1"/>
  <c r="CM37" i="3" a="1"/>
  <c r="CM37" i="3" s="1"/>
  <c r="CM35" i="3" a="1"/>
  <c r="CM35" i="3" s="1"/>
  <c r="CE35" i="3" a="1"/>
  <c r="CE35" i="3" s="1"/>
  <c r="CL37" i="3" a="1"/>
  <c r="CL37" i="3" s="1"/>
  <c r="CF35" i="3" a="1"/>
  <c r="CF35" i="3" s="1"/>
  <c r="CN35" i="3" a="1"/>
  <c r="CN35" i="3" s="1"/>
  <c r="CL36" i="3" a="1"/>
  <c r="CL36" i="3" s="1"/>
  <c r="CG35" i="3" a="1"/>
  <c r="CG35" i="3" s="1"/>
  <c r="CF36" i="3" a="1"/>
  <c r="CF36" i="3" s="1"/>
  <c r="CE36" i="3" a="1"/>
  <c r="CE36" i="3" s="1"/>
  <c r="CE34" i="3" a="1"/>
  <c r="CE34" i="3" s="1"/>
  <c r="CE37" i="3" a="1"/>
  <c r="CE37" i="3" s="1"/>
  <c r="B114" i="8"/>
  <c r="C104" i="8"/>
  <c r="C114" i="8"/>
  <c r="CJ36" i="3" a="1"/>
  <c r="CJ36" i="3" s="1"/>
  <c r="CT34" i="3" a="1"/>
  <c r="CT34" i="3" s="1"/>
  <c r="CR35" i="3" a="1"/>
  <c r="CR35" i="3" s="1"/>
  <c r="CR34" i="3" a="1"/>
  <c r="CR34" i="3" s="1"/>
  <c r="CP36" i="3" a="1"/>
  <c r="CP36" i="3" s="1"/>
  <c r="CV34" i="3" a="1"/>
  <c r="CV34" i="3" s="1"/>
  <c r="CS34" i="3" a="1"/>
  <c r="CS34" i="3" s="1"/>
  <c r="CJ34" i="3" a="1"/>
  <c r="CJ34" i="3" s="1"/>
  <c r="CK34" i="3" a="1"/>
  <c r="CK34" i="3" s="1"/>
  <c r="CU35" i="3" a="1"/>
  <c r="CU35" i="3" s="1"/>
  <c r="CP37" i="3" a="1"/>
  <c r="CP37" i="3" s="1"/>
  <c r="CL34" i="3" a="1"/>
  <c r="CL34" i="3" s="1"/>
  <c r="CV35" i="3" a="1"/>
  <c r="CV35" i="3" s="1"/>
  <c r="C73" i="8"/>
  <c r="CD36" i="3" a="1"/>
  <c r="CD36" i="3" s="1"/>
  <c r="CC36" i="3" a="1"/>
  <c r="CC36" i="3" s="1"/>
  <c r="CH36" i="3" a="1"/>
  <c r="CH36" i="3" s="1"/>
  <c r="CN36" i="3" a="1"/>
  <c r="CN36" i="3" s="1"/>
  <c r="CC37" i="3" a="1"/>
  <c r="CC37" i="3" s="1"/>
  <c r="CG37" i="3" a="1"/>
  <c r="CG37" i="3" s="1"/>
  <c r="CG36" i="3" a="1"/>
  <c r="CG36" i="3" s="1"/>
  <c r="CP35" i="3" a="1"/>
  <c r="CP35" i="3" s="1"/>
  <c r="CD37" i="3" a="1"/>
  <c r="CD37" i="3" s="1"/>
  <c r="CH37" i="3" a="1"/>
  <c r="CH37" i="3" s="1"/>
  <c r="CN37" i="3" a="1"/>
  <c r="CN37" i="3" s="1"/>
  <c r="CF37" i="3" a="1"/>
  <c r="CF37" i="3" s="1"/>
  <c r="CO37" i="3" a="1"/>
  <c r="CO37" i="3" s="1"/>
  <c r="CA35" i="3" a="1"/>
  <c r="CA35" i="3" s="1"/>
  <c r="CO35" i="3" a="1"/>
  <c r="CO35" i="3" s="1"/>
  <c r="CJ35" i="3" a="1"/>
  <c r="CJ35" i="3" s="1"/>
  <c r="CB34" i="3" a="1"/>
  <c r="CB34" i="3" s="1"/>
  <c r="CV36" i="3" a="1"/>
  <c r="CV36" i="3" s="1"/>
  <c r="CO36" i="3" a="1"/>
  <c r="CO36" i="3" s="1"/>
  <c r="CN34" i="3" a="1"/>
  <c r="CN34" i="3" s="1"/>
  <c r="CH34" i="3" a="1"/>
  <c r="CH34" i="3" s="1"/>
  <c r="CQ37" i="3" a="1"/>
  <c r="CQ37" i="3" s="1"/>
  <c r="C72" i="8"/>
  <c r="CU37" i="3" a="1"/>
  <c r="CU37" i="3" s="1"/>
  <c r="CS36" i="3" a="1"/>
  <c r="CS36" i="3" s="1"/>
  <c r="CI34" i="3" a="1"/>
  <c r="CI34" i="3" s="1"/>
  <c r="CU34" i="3" a="1"/>
  <c r="CU34" i="3" s="1"/>
  <c r="CA34" i="3" a="1"/>
  <c r="CA34" i="3" s="1"/>
  <c r="C75" i="8"/>
  <c r="CK35" i="3" a="1"/>
  <c r="CK35" i="3" s="1"/>
  <c r="CQ36" i="3" a="1"/>
  <c r="CQ36" i="3" s="1"/>
  <c r="CS37" i="3" a="1"/>
  <c r="CS37" i="3" s="1"/>
  <c r="B109" i="8"/>
  <c r="CC18" i="3"/>
  <c r="C67" i="8"/>
  <c r="CU28" i="3" a="1"/>
  <c r="CU28" i="3" s="1"/>
  <c r="CH29" i="3" a="1"/>
  <c r="CH29" i="3" s="1"/>
  <c r="CU18" i="3"/>
  <c r="CS18" i="3"/>
  <c r="CJ18" i="3"/>
  <c r="CV27" i="3" a="1"/>
  <c r="CV27" i="3" s="1"/>
  <c r="CV25" i="3" s="1"/>
  <c r="CD25" i="3"/>
  <c r="CJ25" i="3"/>
  <c r="CR25" i="3"/>
  <c r="CU25" i="3"/>
  <c r="CG25" i="3"/>
  <c r="CC25" i="3"/>
  <c r="CQ25" i="3"/>
  <c r="C109" i="8"/>
  <c r="C69" i="8"/>
  <c r="CE25" i="3"/>
  <c r="CK25" i="3"/>
  <c r="CA25" i="3"/>
  <c r="CM25" i="3"/>
  <c r="CL25" i="3"/>
  <c r="CN25" i="3"/>
  <c r="CI25" i="3"/>
  <c r="CP25" i="3"/>
  <c r="CS25" i="3"/>
  <c r="CT25" i="3"/>
  <c r="CF25" i="3"/>
  <c r="CB25" i="3"/>
  <c r="C68" i="8"/>
  <c r="CH25" i="3"/>
  <c r="C71" i="8"/>
  <c r="CO25" i="3"/>
  <c r="CM18" i="3"/>
  <c r="CK18" i="3"/>
  <c r="CV18" i="3"/>
  <c r="CG18" i="3"/>
  <c r="CO18" i="3"/>
  <c r="CR18" i="3"/>
  <c r="CQ18" i="3"/>
  <c r="CH18" i="3"/>
  <c r="CB18" i="3"/>
  <c r="CL18" i="3"/>
  <c r="CN18" i="3"/>
  <c r="CI18" i="3"/>
  <c r="CT18" i="3"/>
  <c r="CF18" i="3"/>
  <c r="CP18" i="3"/>
  <c r="CE18" i="3"/>
  <c r="CD18" i="3"/>
  <c r="CA18" i="3"/>
  <c r="C110" i="8"/>
  <c r="C100" i="8"/>
  <c r="B110" i="8"/>
  <c r="C57" i="8"/>
  <c r="C58" i="8"/>
  <c r="C56" i="8"/>
  <c r="C59" i="8"/>
  <c r="C108" i="8"/>
  <c r="C90" i="8"/>
  <c r="B108" i="8"/>
  <c r="CC32" i="3" l="1"/>
  <c r="CA32" i="3"/>
  <c r="CP53" i="3"/>
  <c r="CE53" i="3"/>
  <c r="CK53" i="3"/>
  <c r="CS53" i="3"/>
  <c r="CN53" i="3"/>
  <c r="CT53" i="3"/>
  <c r="CQ53" i="3"/>
  <c r="CJ53" i="3"/>
  <c r="BY55" i="3" s="1"/>
  <c r="CR46" i="3"/>
  <c r="CV46" i="3"/>
  <c r="CT46" i="3"/>
  <c r="CJ46" i="3"/>
  <c r="CC46" i="3"/>
  <c r="CU46" i="3"/>
  <c r="CK46" i="3"/>
  <c r="CA46" i="3"/>
  <c r="CP46" i="3"/>
  <c r="CF46" i="3"/>
  <c r="CB46" i="3"/>
  <c r="CO46" i="3"/>
  <c r="CQ46" i="3"/>
  <c r="CS39" i="3"/>
  <c r="CO39" i="3"/>
  <c r="CB39" i="3"/>
  <c r="CL39" i="3"/>
  <c r="CG39" i="3"/>
  <c r="CF39" i="3"/>
  <c r="CA39" i="3"/>
  <c r="CR39" i="3"/>
  <c r="CH39" i="3"/>
  <c r="CP39" i="3"/>
  <c r="CC39" i="3"/>
  <c r="CE39" i="3"/>
  <c r="CD39" i="3"/>
  <c r="CK39" i="3"/>
  <c r="CN39" i="3"/>
  <c r="CT39" i="3"/>
  <c r="CM39" i="3"/>
  <c r="CQ39" i="3"/>
  <c r="CV39" i="3"/>
  <c r="CI39" i="3"/>
  <c r="CJ39" i="3"/>
  <c r="CU39" i="3"/>
  <c r="CB32" i="3"/>
  <c r="CJ32" i="3"/>
  <c r="CI32" i="3"/>
  <c r="CT32" i="3"/>
  <c r="CF32" i="3"/>
  <c r="CQ32" i="3"/>
  <c r="CN32" i="3"/>
  <c r="CO32" i="3"/>
  <c r="CS32" i="3"/>
  <c r="CV32" i="3"/>
  <c r="CE32" i="3"/>
  <c r="CR32" i="3"/>
  <c r="CM32" i="3"/>
  <c r="CU32" i="3"/>
  <c r="CL32" i="3"/>
  <c r="CH32" i="3"/>
  <c r="CG32" i="3"/>
  <c r="CP32" i="3"/>
  <c r="CK32" i="3"/>
  <c r="CD32" i="3"/>
  <c r="BY27" i="3"/>
  <c r="BX27" i="3" s="1"/>
  <c r="BY20" i="3"/>
  <c r="BY34" i="3" l="1"/>
  <c r="BX37" i="3" s="1"/>
  <c r="BX55" i="3"/>
  <c r="BX57" i="3"/>
  <c r="BX58" i="3"/>
  <c r="BX56" i="3"/>
  <c r="BY48" i="3"/>
  <c r="BY41" i="3"/>
  <c r="BX42" i="3" s="1"/>
  <c r="BX30" i="3"/>
  <c r="BX28" i="3"/>
  <c r="BX29" i="3"/>
  <c r="BX20" i="3"/>
  <c r="BX22" i="3"/>
  <c r="BX21" i="3"/>
  <c r="BX23" i="3"/>
  <c r="BX36" i="3" l="1"/>
  <c r="BX34" i="3"/>
  <c r="BX35" i="3"/>
  <c r="BX51" i="3"/>
  <c r="BX49" i="3"/>
  <c r="BX50" i="3"/>
  <c r="BX48" i="3"/>
  <c r="BX44" i="3"/>
  <c r="BX43" i="3"/>
  <c r="BX41" i="3"/>
</calcChain>
</file>

<file path=xl/sharedStrings.xml><?xml version="1.0" encoding="utf-8"?>
<sst xmlns="http://schemas.openxmlformats.org/spreadsheetml/2006/main" count="1003" uniqueCount="229">
  <si>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</si>
  <si>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</si>
  <si>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</si>
  <si>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</si>
  <si>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</si>
  <si>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</si>
  <si>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</si>
  <si>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</si>
  <si>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</si>
  <si>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</si>
  <si>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</si>
  <si>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</si>
  <si>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</si>
  <si>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</si>
  <si>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</si>
  <si>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</si>
  <si>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</si>
  <si>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</si>
  <si>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</si>
  <si>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</si>
  <si>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</si>
  <si>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</si>
  <si>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</si>
  <si>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</si>
  <si>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</si>
  <si>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</si>
  <si>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</si>
  <si>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</si>
  <si>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</si>
  <si>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</si>
  <si>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</si>
  <si>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</si>
  <si>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</si>
  <si>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</si>
  <si>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</si>
  <si>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</si>
  <si>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</si>
  <si>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</si>
  <si>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</si>
  <si>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</si>
  <si>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</si>
  <si>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</si>
  <si>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</si>
  <si>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</si>
  <si>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</si>
  <si>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</si>
  <si>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</si>
  <si>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</si>
  <si>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</si>
  <si>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</si>
  <si>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</si>
  <si>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</si>
  <si>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</si>
  <si>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</si>
  <si>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</si>
  <si>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</si>
  <si>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</si>
  <si>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</si>
  <si>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</si>
  <si>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</si>
  <si>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</si>
  <si>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</si>
  <si>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</si>
  <si>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</si>
  <si>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</si>
  <si>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</si>
  <si>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</si>
  <si>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</si>
  <si>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</si>
  <si>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</si>
  <si>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</si>
  <si>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</si>
  <si>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</si>
  <si>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</si>
  <si>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</si>
  <si>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</si>
  <si>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</si>
  <si>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</si>
  <si>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</si>
  <si>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</si>
  <si>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</si>
  <si>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</si>
  <si>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</si>
  <si>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</si>
  <si>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</si>
  <si>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</si>
  <si>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</si>
  <si>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</si>
  <si>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</si>
  <si>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</si>
  <si>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</si>
  <si>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</si>
  <si>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</si>
  <si>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</si>
  <si>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</si>
  <si>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</si>
  <si>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</si>
  <si>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</si>
  <si>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</si>
  <si>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</si>
  <si>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</si>
  <si>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</si>
  <si>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</si>
  <si>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</si>
  <si>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</si>
  <si>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</si>
  <si>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</si>
  <si>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</si>
  <si>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</si>
  <si>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</si>
  <si>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</si>
  <si>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</si>
  <si>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</si>
  <si>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</si>
  <si>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</si>
  <si>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</si>
  <si>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</si>
  <si>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</si>
  <si>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</si>
  <si>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</si>
  <si>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</si>
  <si>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</si>
  <si>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</si>
  <si>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</si>
  <si>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</si>
  <si>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</si>
  <si>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</si>
  <si>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</si>
  <si>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</si>
  <si>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</si>
  <si>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</si>
  <si>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</si>
  <si>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</si>
  <si>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</si>
  <si>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</si>
  <si>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</si>
  <si>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</si>
  <si>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</si>
  <si>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</si>
  <si>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</si>
  <si>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</si>
  <si>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</si>
  <si>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</si>
  <si>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</si>
  <si>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</si>
  <si>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</si>
  <si>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</si>
  <si>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</si>
  <si>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</si>
  <si>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</si>
  <si>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</si>
  <si>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</si>
  <si>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</si>
  <si>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</si>
  <si>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</si>
  <si>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</si>
  <si>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</si>
  <si>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</si>
  <si>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</si>
  <si>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</si>
  <si>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</si>
  <si>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</si>
  <si>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</si>
  <si>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</si>
  <si>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</si>
  <si>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</si>
  <si>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</si>
  <si>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</si>
  <si>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</si>
  <si>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</si>
  <si>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</si>
  <si>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</si>
  <si>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</si>
  <si>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</si>
  <si>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</si>
  <si>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</si>
  <si>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</si>
  <si>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</si>
  <si>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</si>
  <si>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Escribe un jugador</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</si>
  <si>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</si>
  <si>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</si>
  <si>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</si>
  <si>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</si>
  <si>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</si>
  <si>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</si>
  <si>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</si>
  <si>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</si>
  <si>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</si>
  <si>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</si>
  <si>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</si>
  <si>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</si>
  <si>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</si>
  <si>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</si>
  <si>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</si>
  <si>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</si>
  <si>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</si>
  <si>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</si>
  <si>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</si>
  <si>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</si>
  <si>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</si>
  <si>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</si>
  <si>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</si>
  <si>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</si>
  <si>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</si>
  <si>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</si>
  <si>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</si>
  <si>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</si>
  <si>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</si>
  <si>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</si>
  <si>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</si>
  <si>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</si>
  <si>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</si>
  <si>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</si>
  <si>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</si>
  <si>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</si>
  <si>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</si>
  <si>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</si>
  <si>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</si>
  <si>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</si>
  <si>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</si>
  <si>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</si>
  <si>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</si>
  <si>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</si>
  <si>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</si>
  <si>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</si>
  <si>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</si>
  <si>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</si>
  <si>
    <t>ALICIA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</si>
</sst>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0" fillId="2" borderId="0" xfId="0" applyFont="1" applyFill="1" applyAlignment="1" applyProtection="1">
      <alignment horizontal="left" vertical="center" wrapText="1"/>
      <protection hidden="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Porra Mundial'!H4"/><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g"/><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a16="http://schemas.microsoft.com/office/drawing/2014/main"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a16="http://schemas.microsoft.com/office/drawing/2014/main"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a16="http://schemas.microsoft.com/office/drawing/2014/main"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S5:AT13" totalsRowShown="0" headerRowDxfId="11" dataDxfId="9" headerRowBorderDxfId="10" tableBorderDxfId="8" totalsRowBorderDxfId="7">
  <tableColumns count="2">
    <tableColumn id="1" xr3:uid="{00000000-0010-0000-0000-000001000000}" name="TOPIC" dataDxfId="6"/>
    <tableColumn id="2" xr3:uid="{00000000-0010-0000-0000-000002000000}" name="VALUE"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1:C33" totalsRowShown="0" headerRowDxfId="4" dataDxfId="3">
  <autoFilter ref="A1:C33" xr:uid="{00000000-0009-0000-0100-000003000000}"/>
  <tableColumns count="3">
    <tableColumn id="4" xr3:uid="{00000000-0010-0000-0100-000004000000}" name="Clasificada" dataDxfId="2">
      <calculatedColumnFormula>NOT(ISERROR(VLOOKUP(Tabla3[[#This Row],[ZfP4b()8G6b·$55Ma-t·%fv-ttyZxR-.R*+Fd]],'Porra Mundial'!$AF$5:$AF$58,1,FALSE)))</calculatedColumnFormula>
    </tableColumn>
    <tableColumn id="1" xr3:uid="{00000000-0010-0000-0100-000001000000}" name="ZfP4b()8G6b·$55Ma-t·%fv-ttyZxR-.R*+Fd" dataDxfId="1"/>
    <tableColumn id="2" xr3:uid="{00000000-0010-0000-0100-000002000000}"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MAT27"/>
  <sheetViews>
    <sheetView showGridLines="0" showRowColHeaders="0" workbookViewId="0"/>
  </sheetViews>
  <sheetFormatPr baseColWidth="10" defaultColWidth="0" defaultRowHeight="15" zeroHeight="1" x14ac:dyDescent="0.25"/>
  <cols>
    <col min="1" max="1" width="92.42578125" style="8" customWidth="1"/>
    <col min="2" max="8" width="10.85546875" style="8" hidden="1"/>
    <col min="9" max="9" width="6" style="8" hidden="1"/>
    <col min="10" max="38" width="10.85546875" style="8" hidden="1"/>
    <col min="39" max="8834" width="0" style="8" hidden="1"/>
    <col min="8835" max="16384" width="10.85546875" style="8" hidden="1"/>
  </cols>
  <sheetData>
    <row r="1" spans="39:39" ht="320.10000000000002" customHeight="1" x14ac:dyDescent="0.25"/>
    <row r="2" spans="39:39" hidden="1" x14ac:dyDescent="0.25"/>
    <row r="3" spans="39:39" hidden="1" x14ac:dyDescent="0.25"/>
    <row r="4" spans="39:39" hidden="1" x14ac:dyDescent="0.25"/>
    <row r="5" spans="39:39" hidden="1" x14ac:dyDescent="0.25"/>
    <row r="6" spans="39:39" hidden="1" x14ac:dyDescent="0.25"/>
    <row r="7" spans="39:39" hidden="1" x14ac:dyDescent="0.25">
      <c r="AM7" s="9" t="s">
        <v>39</v>
      </c>
    </row>
    <row r="8" spans="39:39" hidden="1" x14ac:dyDescent="0.25"/>
    <row r="9" spans="39:39" hidden="1" x14ac:dyDescent="0.25"/>
    <row r="10" spans="39:39" hidden="1" x14ac:dyDescent="0.25"/>
    <row r="11" spans="39:39" hidden="1" x14ac:dyDescent="0.25"/>
    <row r="12" spans="39:39" hidden="1" x14ac:dyDescent="0.25"/>
    <row r="13" spans="39:39" hidden="1" x14ac:dyDescent="0.25"/>
    <row r="14" spans="39:39" hidden="1" x14ac:dyDescent="0.25"/>
    <row r="15" spans="39:39" hidden="1" x14ac:dyDescent="0.25"/>
    <row r="16" spans="39:39" hidden="1" x14ac:dyDescent="0.25"/>
    <row r="17" spans="339:339 8834:8834" hidden="1" x14ac:dyDescent="0.25"/>
    <row r="18" spans="339:339 8834:8834" hidden="1" x14ac:dyDescent="0.25"/>
    <row r="19" spans="339:339 8834:8834" hidden="1" x14ac:dyDescent="0.25"/>
    <row r="20" spans="339:339 8834:8834" hidden="1" x14ac:dyDescent="0.25"/>
    <row r="21" spans="339:339 8834:8834" hidden="1" x14ac:dyDescent="0.25"/>
    <row r="22" spans="339:339 8834:8834" hidden="1" x14ac:dyDescent="0.25"/>
    <row r="23" spans="339:339 8834:8834" ht="12" hidden="1" customHeight="1" x14ac:dyDescent="0.25"/>
    <row r="24" spans="339:339 8834:8834" hidden="1" x14ac:dyDescent="0.25"/>
    <row r="25" spans="339:339 8834:8834" hidden="1" x14ac:dyDescent="0.25"/>
    <row r="26" spans="339:339 8834:8834" hidden="1" x14ac:dyDescent="0.25"/>
    <row r="27" spans="339:339 8834:8834" hidden="1" x14ac:dyDescent="0.25">
      <c r="MA27" s="9" t="s">
        <v>39</v>
      </c>
      <c r="MAT27" s="9" t="s">
        <v>39</v>
      </c>
    </row>
  </sheetData>
  <sheetProtection algorithmName="SHA-512" hashValue="32vcHn3N5VRn070MMnI2cg4mJgUQ1eWFhg6P9QZQS7g7X/O/AeOW3Q/NcVUgH/ONnvZp9Y0Ct1W4eBhrZdxP7w==" saltValue="TXnuLU+jrDhtTW8C/m0R5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AQ108"/>
  <sheetViews>
    <sheetView showGridLines="0" showRowColHeaders="0" tabSelected="1" workbookViewId="0">
      <selection activeCell="Z36" sqref="Z36"/>
    </sheetView>
  </sheetViews>
  <sheetFormatPr baseColWidth="10" defaultColWidth="0" defaultRowHeight="15" zeroHeight="1" x14ac:dyDescent="0.25"/>
  <cols>
    <col min="1" max="1" width="2.140625" style="1" customWidth="1"/>
    <col min="2" max="2" width="5.85546875" style="1" customWidth="1"/>
    <col min="3" max="3" width="11.42578125" style="1" customWidth="1"/>
    <col min="4" max="4" width="9.42578125" style="1" customWidth="1"/>
    <col min="5" max="5" width="39.42578125" style="1" customWidth="1"/>
    <col min="6" max="6" width="13.140625" style="1" customWidth="1"/>
    <col min="7" max="7" width="3.85546875" style="1" customWidth="1"/>
    <col min="8" max="9" width="5.28515625" style="1" customWidth="1"/>
    <col min="10" max="10" width="4.7109375" style="1" customWidth="1"/>
    <col min="11" max="11" width="13.7109375" style="1" customWidth="1"/>
    <col min="12" max="12" width="3.42578125" style="1" customWidth="1"/>
    <col min="13" max="13" width="2.85546875" style="1" customWidth="1"/>
    <col min="14" max="14" width="4.140625" style="1" bestFit="1" customWidth="1"/>
    <col min="15" max="15" width="12.7109375" style="1" customWidth="1"/>
    <col min="16" max="16" width="7.28515625" style="1" customWidth="1"/>
    <col min="17" max="20" width="3.28515625" style="1" customWidth="1"/>
    <col min="21" max="21" width="3.42578125" style="1" customWidth="1"/>
    <col min="22" max="22" width="3.7109375" style="1" customWidth="1"/>
    <col min="23" max="23" width="4.140625" style="1" customWidth="1"/>
    <col min="24" max="24" width="3.42578125" style="7" customWidth="1"/>
    <col min="25" max="25" width="11.85546875" style="338" bestFit="1" customWidth="1"/>
    <col min="26" max="26" width="3.42578125" style="7" customWidth="1"/>
    <col min="27" max="27" width="5.42578125" style="7" customWidth="1"/>
    <col min="28" max="28" width="3" style="7" customWidth="1"/>
    <col min="29" max="29" width="11.28515625" style="1" hidden="1" customWidth="1"/>
    <col min="30" max="30" width="4.140625" style="1" hidden="1" customWidth="1"/>
    <col min="31" max="31" width="7.28515625" style="1" hidden="1" customWidth="1"/>
    <col min="32" max="32" width="11.42578125" style="1" hidden="1" customWidth="1"/>
    <col min="33" max="33" width="5" style="1" hidden="1" customWidth="1"/>
    <col min="34" max="37" width="2.42578125" style="1" hidden="1" customWidth="1"/>
    <col min="38" max="38" width="3.42578125" style="1" hidden="1" customWidth="1"/>
    <col min="39" max="39" width="3.7109375" style="1" hidden="1" customWidth="1"/>
    <col min="40" max="40" width="4.140625" style="1" hidden="1" customWidth="1"/>
    <col min="41" max="41" width="11.7109375" style="1" hidden="1" customWidth="1"/>
    <col min="42" max="42" width="8.7109375" style="1" hidden="1" customWidth="1"/>
    <col min="43" max="43" width="2.85546875" style="1" hidden="1" customWidth="1"/>
    <col min="44" max="44" width="11.42578125" style="1" hidden="1" customWidth="1"/>
    <col min="45" max="45" width="15.140625" style="1" hidden="1" customWidth="1"/>
    <col min="46" max="46" width="15.7109375" style="1" hidden="1" customWidth="1"/>
    <col min="47" max="47" width="2.28515625" style="1" hidden="1" customWidth="1"/>
    <col min="48" max="48" width="11.42578125" style="1" hidden="1" customWidth="1"/>
    <col min="49" max="51" width="9.42578125" style="1" hidden="1" customWidth="1"/>
    <col min="52" max="52" width="8.42578125" style="1" hidden="1" customWidth="1"/>
    <col min="53" max="56" width="7.140625" style="1" hidden="1" customWidth="1"/>
    <col min="57" max="58" width="8.42578125" style="1" hidden="1" customWidth="1"/>
    <col min="59" max="59" width="7.140625" style="1" hidden="1" customWidth="1"/>
    <col min="60" max="63" width="3" style="1" hidden="1" customWidth="1"/>
    <col min="64" max="64" width="2.7109375" style="1" hidden="1" customWidth="1"/>
    <col min="65" max="65" width="11.85546875" style="1" hidden="1" customWidth="1"/>
    <col min="66" max="66" width="11" style="1" hidden="1" customWidth="1"/>
    <col min="67" max="67" width="11.85546875" style="1" hidden="1" customWidth="1"/>
    <col min="68" max="68" width="11" style="1" hidden="1" customWidth="1"/>
    <col min="69" max="70" width="3" style="1" hidden="1" customWidth="1"/>
    <col min="71" max="71" width="11.85546875" style="1" hidden="1" customWidth="1"/>
    <col min="72" max="72" width="4.85546875" style="1" hidden="1" customWidth="1"/>
    <col min="73" max="73" width="13.85546875" style="1" hidden="1" customWidth="1"/>
    <col min="74" max="74" width="3.42578125" style="1" hidden="1" customWidth="1"/>
    <col min="75" max="75" width="3" style="1" hidden="1" customWidth="1"/>
    <col min="76" max="76" width="4.7109375" style="1" hidden="1" customWidth="1"/>
    <col min="77" max="77" width="10.85546875" style="2" hidden="1" customWidth="1"/>
    <col min="78" max="78" width="1.42578125" style="2" hidden="1" customWidth="1"/>
    <col min="79" max="100" width="7.28515625" style="2" hidden="1" customWidth="1"/>
    <col min="101" max="102" width="2" style="2" hidden="1" customWidth="1"/>
    <col min="103" max="117" width="10.85546875" style="2" hidden="1" customWidth="1"/>
    <col min="118" max="118" width="10.85546875" style="11" hidden="1" customWidth="1"/>
    <col min="119" max="16384" width="10.85546875" style="2" hidden="1"/>
  </cols>
  <sheetData>
    <row r="1" spans="1:118" x14ac:dyDescent="0.25">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100000000000001" customHeight="1" x14ac:dyDescent="0.25">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214</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75" thickBot="1" x14ac:dyDescent="0.3">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213</v>
      </c>
      <c r="CX3" s="411" t="s">
        <v>213</v>
      </c>
      <c r="CY3" s="14"/>
      <c r="CZ3" s="14"/>
      <c r="DA3" s="14"/>
      <c r="DB3" s="14"/>
      <c r="DC3" s="412" t="s">
        <v>186</v>
      </c>
      <c r="DD3" s="412" t="s">
        <v>187</v>
      </c>
      <c r="DE3" s="412" t="s">
        <v>189</v>
      </c>
      <c r="DF3" s="412" t="s">
        <v>190</v>
      </c>
      <c r="DG3" s="412" t="s">
        <v>191</v>
      </c>
      <c r="DH3" s="412" t="s">
        <v>192</v>
      </c>
      <c r="DI3" s="412" t="s">
        <v>193</v>
      </c>
      <c r="DJ3" s="412" t="s">
        <v>194</v>
      </c>
      <c r="DK3" s="412" t="s">
        <v>195</v>
      </c>
      <c r="DL3" s="412" t="s">
        <v>196</v>
      </c>
      <c r="DM3" s="14"/>
      <c r="DN3" s="475"/>
    </row>
    <row r="4" spans="1:118" ht="15.75" thickBot="1" x14ac:dyDescent="0.3">
      <c r="A4" s="74"/>
      <c r="B4" s="542" t="s">
        <v>0</v>
      </c>
      <c r="C4" s="257">
        <v>43265</v>
      </c>
      <c r="D4" s="258">
        <v>0.70833333333333337</v>
      </c>
      <c r="E4" s="259" t="s">
        <v>206</v>
      </c>
      <c r="F4" s="339" t="s">
        <v>19</v>
      </c>
      <c r="G4" s="242"/>
      <c r="H4" s="476">
        <v>2</v>
      </c>
      <c r="I4" s="476">
        <v>1</v>
      </c>
      <c r="J4" s="217"/>
      <c r="K4" s="364" t="s">
        <v>172</v>
      </c>
      <c r="L4" s="149">
        <f>IF(NOT(OR(ISBLANK(H4),ISBLANK(I4))),1,0)</f>
        <v>1</v>
      </c>
      <c r="M4" s="79"/>
      <c r="N4" s="150" t="s">
        <v>27</v>
      </c>
      <c r="O4" s="151"/>
      <c r="P4" s="151"/>
      <c r="Q4" s="151"/>
      <c r="R4" s="151"/>
      <c r="S4" s="151"/>
      <c r="T4" s="151"/>
      <c r="U4" s="151"/>
      <c r="V4" s="151"/>
      <c r="W4" s="152"/>
      <c r="X4" s="16"/>
      <c r="Y4" s="508" t="s">
        <v>218</v>
      </c>
      <c r="Z4" s="508"/>
      <c r="AA4" s="508"/>
      <c r="AB4" s="16"/>
      <c r="AC4" s="413"/>
      <c r="AD4" s="14"/>
      <c r="AE4" s="414" t="s">
        <v>33</v>
      </c>
      <c r="AF4" s="14"/>
      <c r="AG4" s="14"/>
      <c r="AH4" s="14"/>
      <c r="AI4" s="14"/>
      <c r="AJ4" s="14"/>
      <c r="AK4" s="14"/>
      <c r="AL4" s="14"/>
      <c r="AM4" s="14"/>
      <c r="AN4" s="14"/>
      <c r="AO4" s="14"/>
      <c r="AP4" s="415"/>
      <c r="AQ4" s="14"/>
      <c r="AR4" s="14" t="s">
        <v>183</v>
      </c>
      <c r="AS4" s="14"/>
      <c r="AT4" s="14"/>
      <c r="AU4" s="14"/>
      <c r="AV4" s="416" t="str">
        <f>CONCATENATE(N4," - GOLAVERAGE")</f>
        <v>Grupo A - GOLAVERAGE</v>
      </c>
      <c r="AW4" s="417"/>
      <c r="AX4" s="417"/>
      <c r="AY4" s="565" t="s">
        <v>49</v>
      </c>
      <c r="AZ4" s="566"/>
      <c r="BA4" s="566"/>
      <c r="BB4" s="566"/>
      <c r="BC4" s="566"/>
      <c r="BD4" s="567"/>
      <c r="BE4" s="565" t="s">
        <v>48</v>
      </c>
      <c r="BF4" s="566"/>
      <c r="BG4" s="566"/>
      <c r="BH4" s="566"/>
      <c r="BI4" s="566"/>
      <c r="BJ4" s="567"/>
      <c r="BK4" s="410"/>
      <c r="BL4" s="410"/>
      <c r="BM4" s="410"/>
      <c r="BN4" s="410"/>
      <c r="BO4" s="410"/>
      <c r="BP4" s="410"/>
      <c r="BQ4" s="410"/>
      <c r="BR4" s="410"/>
      <c r="BS4" s="410"/>
      <c r="BT4" s="410"/>
      <c r="BU4" s="410"/>
      <c r="BV4" s="410"/>
      <c r="BW4" s="410"/>
      <c r="BX4" s="410"/>
      <c r="BY4" s="14" t="s">
        <v>215</v>
      </c>
      <c r="BZ4" s="14" t="s">
        <v>216</v>
      </c>
      <c r="CA4" s="418">
        <f>SUM(CA6:CA9)</f>
        <v>0</v>
      </c>
      <c r="CB4" s="418">
        <f t="shared" ref="CB4:CX4" si="0">SUM(CB6:CB9)</f>
        <v>0</v>
      </c>
      <c r="CC4" s="418">
        <f t="shared" si="0"/>
        <v>0</v>
      </c>
      <c r="CD4" s="418">
        <f t="shared" si="0"/>
        <v>1</v>
      </c>
      <c r="CE4" s="418">
        <f t="shared" si="0"/>
        <v>0</v>
      </c>
      <c r="CF4" s="418">
        <f t="shared" si="0"/>
        <v>4</v>
      </c>
      <c r="CG4" s="418">
        <f t="shared" si="0"/>
        <v>1</v>
      </c>
      <c r="CH4" s="418">
        <f t="shared" si="0"/>
        <v>2</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x14ac:dyDescent="0.25">
      <c r="A5" s="74"/>
      <c r="B5" s="543"/>
      <c r="C5" s="260">
        <v>43266</v>
      </c>
      <c r="D5" s="261">
        <v>0.58333333333333337</v>
      </c>
      <c r="E5" s="262" t="s">
        <v>100</v>
      </c>
      <c r="F5" s="340" t="s">
        <v>163</v>
      </c>
      <c r="G5" s="243"/>
      <c r="H5" s="477">
        <v>1</v>
      </c>
      <c r="I5" s="477">
        <v>2</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2</v>
      </c>
      <c r="Y5" s="508"/>
      <c r="Z5" s="508"/>
      <c r="AA5" s="508"/>
      <c r="AB5" s="17"/>
      <c r="AC5" s="413"/>
      <c r="AD5" s="419" t="s">
        <v>183</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184</v>
      </c>
      <c r="BN5" s="432"/>
      <c r="BO5" s="432" t="s">
        <v>185</v>
      </c>
      <c r="BP5" s="432"/>
      <c r="BQ5" s="410"/>
      <c r="BR5" s="433"/>
      <c r="BS5" s="433" t="s">
        <v>6</v>
      </c>
      <c r="BT5" s="433" t="s">
        <v>17</v>
      </c>
      <c r="BU5" s="433" t="s">
        <v>204</v>
      </c>
      <c r="BV5" s="433" t="s">
        <v>14</v>
      </c>
      <c r="BW5" s="433" t="s">
        <v>205</v>
      </c>
      <c r="BX5" s="410"/>
      <c r="BY5" s="14"/>
      <c r="BZ5" s="14" t="s">
        <v>217</v>
      </c>
      <c r="CA5" s="418" t="s">
        <v>188</v>
      </c>
      <c r="CB5" s="418" t="s">
        <v>197</v>
      </c>
      <c r="CC5" s="418" t="s">
        <v>198</v>
      </c>
      <c r="CD5" s="418" t="s">
        <v>199</v>
      </c>
      <c r="CE5" s="418" t="s">
        <v>200</v>
      </c>
      <c r="CF5" s="418" t="s">
        <v>201</v>
      </c>
      <c r="CG5" s="418" t="s">
        <v>202</v>
      </c>
      <c r="CH5" s="418" t="s">
        <v>203</v>
      </c>
      <c r="CI5" s="418" t="s">
        <v>198</v>
      </c>
      <c r="CJ5" s="418" t="s">
        <v>198</v>
      </c>
      <c r="CK5" s="418" t="s">
        <v>199</v>
      </c>
      <c r="CL5" s="418" t="s">
        <v>202</v>
      </c>
      <c r="CM5" s="418" t="s">
        <v>201</v>
      </c>
      <c r="CN5" s="418" t="s">
        <v>201</v>
      </c>
      <c r="CO5" s="418" t="s">
        <v>200</v>
      </c>
      <c r="CP5" s="418" t="s">
        <v>197</v>
      </c>
      <c r="CQ5" s="418" t="s">
        <v>202</v>
      </c>
      <c r="CR5" s="418" t="s">
        <v>201</v>
      </c>
      <c r="CS5" s="418" t="s">
        <v>199</v>
      </c>
      <c r="CT5" s="418" t="s">
        <v>202</v>
      </c>
      <c r="CU5" s="418" t="s">
        <v>199</v>
      </c>
      <c r="CV5" s="418" t="s">
        <v>201</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x14ac:dyDescent="0.25">
      <c r="A6" s="74"/>
      <c r="B6" s="543"/>
      <c r="C6" s="260">
        <v>43270</v>
      </c>
      <c r="D6" s="261">
        <v>0.83333333333333337</v>
      </c>
      <c r="E6" s="262" t="s">
        <v>212</v>
      </c>
      <c r="F6" s="340" t="s">
        <v>19</v>
      </c>
      <c r="G6" s="243"/>
      <c r="H6" s="477">
        <v>1</v>
      </c>
      <c r="I6" s="477">
        <v>1</v>
      </c>
      <c r="J6" s="218"/>
      <c r="K6" s="365" t="s">
        <v>163</v>
      </c>
      <c r="L6" s="149">
        <f t="shared" si="1"/>
        <v>1</v>
      </c>
      <c r="M6" s="79"/>
      <c r="N6" s="48">
        <v>1</v>
      </c>
      <c r="O6" s="47" t="str">
        <f>VLOOKUP(N6,$AD$6:$AF$9,3,0)</f>
        <v>Uruguay</v>
      </c>
      <c r="P6" s="39">
        <f>VLOOKUP(O6,$AF$6:$AO$9,2,FALSE)</f>
        <v>9</v>
      </c>
      <c r="Q6" s="39">
        <f>VLOOKUP($O6,$AF$6:$AO$9,3,FALSE)</f>
        <v>3</v>
      </c>
      <c r="R6" s="39">
        <f>VLOOKUP($O6,$AF$6:$AO$9,4,FALSE)</f>
        <v>3</v>
      </c>
      <c r="S6" s="39">
        <f>VLOOKUP($O6,$AF$6:$AO$9,5,FALSE)</f>
        <v>0</v>
      </c>
      <c r="T6" s="39">
        <f>VLOOKUP($O6,$AF$6:$AO$9,6,FALSE)</f>
        <v>0</v>
      </c>
      <c r="U6" s="39">
        <f>VLOOKUP($O6,$AF$6:$AO$9,7,FALSE)</f>
        <v>6</v>
      </c>
      <c r="V6" s="39">
        <f>VLOOKUP($O6,$AF$6:$AO$9,8,FALSE)</f>
        <v>2</v>
      </c>
      <c r="W6" s="49">
        <f>VLOOKUP($O6,$AF$6:$AO$9,9,FALSE)</f>
        <v>4</v>
      </c>
      <c r="X6" s="28">
        <f>IF(SUM($AH$6:$AH$9)=12,MIN(ABS(BP5-BP6),ABS(BP6-BP7)),100)</f>
        <v>5040197999.9699993</v>
      </c>
      <c r="Y6" s="402" t="str">
        <f>IF(AND(X6&gt;=0,X6&lt;90),VLOOKUP(N6,$BL$6:$BM$9,2,0),"")</f>
        <v/>
      </c>
      <c r="Z6" s="405"/>
      <c r="AA6" s="28"/>
      <c r="AB6" s="28"/>
      <c r="AC6" s="413">
        <f>VLOOKUP($O6,$AF$6:$AO$9,10,FALSE)</f>
        <v>9040610999.9599991</v>
      </c>
      <c r="AD6" s="14">
        <f>RANK(AR6,$AR$6:$AR$9)</f>
        <v>2</v>
      </c>
      <c r="AE6" s="434">
        <f>RANK(AO6,$AO$6:$AO$9)</f>
        <v>2</v>
      </c>
      <c r="AF6" s="412" t="s">
        <v>19</v>
      </c>
      <c r="AG6" s="418">
        <f>AI6*3+AJ6*1+AK6*0</f>
        <v>4</v>
      </c>
      <c r="AH6" s="418">
        <f>COUNTIFS($F$4:$F$9,AF6,$H$4:$H$9,"&lt;&gt;",$I$4:$I$9,"&lt;&gt;")+COUNTIFS($K$4:$K$9,AF6,$I$4:$I$9,"&lt;&gt;",$H$4:$H$9,"&lt;&gt;")</f>
        <v>3</v>
      </c>
      <c r="AI6" s="418">
        <f t="array" ref="AI6">SUM((F$4:F$9=AF6)*(H$4:H$9&lt;&gt;"")*(I$4:I$9&lt;&gt;"")*(H$4:H$9&gt;I$4:I$9),(K$4:K$9=AF6)*(H$4:H$9&lt;&gt;"")*(I$4:I$9&lt;&gt;"")*(H$4:H$9&lt;I$4:I$9))</f>
        <v>1</v>
      </c>
      <c r="AJ6" s="418">
        <f t="array" ref="AJ6">SUM((F$4:F$9=AF6)*(H$4:H$9&lt;&gt;"")*(I$4:I$9&lt;&gt;"")*(H$4:H$9=I$4:I$9),(K$4:K$9=AF6)*(H$4:H$9&lt;&gt;"")*(I$4:I$9&lt;&gt;"")*(H$4:H$9=I$4:I$9))</f>
        <v>1</v>
      </c>
      <c r="AK6" s="418">
        <f t="array" ref="AK6">SUM((F$4:F$9=AF6)*(I$4:I$9&lt;&gt;"")*(H$4:H$9&lt;&gt;"")*(H$4:H$9&lt;I$4:I$9),(H$4:H$9&lt;&gt;"")*(K$4:K$9=AF6)*(I$4:I$9&lt;&gt;"")*(H$4:H$9&gt;I$4:I$9))</f>
        <v>1</v>
      </c>
      <c r="AL6" s="418">
        <f t="array" ref="AL6">SUMIFS($H$4:$H$9,$F$4:$F$9,AF6,$H$4:$H$9,"&lt;&gt;",$I$4:$I$9,"&lt;&gt;")+SUMIFS($I$4:$I$9,$K$4:$K$9,AF6,$H$4:$H$9,"&lt;&gt;",$I$4:$I$9,"&lt;&gt;")</f>
        <v>4</v>
      </c>
      <c r="AM6" s="418">
        <f t="array" ref="AM6">SUMIFS($H$4:$H$9,$K$4:$K$9,AF6,$H$4:$H$9,"&lt;&gt;",$I$4:$I$9,"&lt;&gt;")+SUMIFS($I$4:$I$9,$F$4:$F$9,AF6,$H$4:$H$9,"&lt;&gt;",$I$4:$I$9,"&lt;&gt;")</f>
        <v>4</v>
      </c>
      <c r="AN6" s="418">
        <f>AL6-AM6</f>
        <v>0</v>
      </c>
      <c r="AO6" s="418">
        <f>IF(AH6=0,-($AT$13*VLOOKUP(AF6,Tabla3[[ZfP4b()8G6b·$55Ma-t·%fv-ttyZxR-.R*+Fd]:[N!"kvfjM.%&amp;gk5kfmfvv)/%;V$&amp;VW]],2,FALSE)),AG6*$AT$7+AN6*$AT$8+AL6*$AT$9+AX6-($AT$13*VLOOKUP(AF6,Tabla3[[ZfP4b()8G6b·$55Ma-t·%fv-ttyZxR-.R*+Fd]:[N!"kvfjM.%&amp;gk5kfmfvv)/%;V$&amp;VW]],2,FALSE)/100))</f>
        <v>4000412999.9899998</v>
      </c>
      <c r="AP6" s="435">
        <f>AE6</f>
        <v>2</v>
      </c>
      <c r="AQ6" s="14"/>
      <c r="AR6" s="14">
        <f>IFERROR(AO6-VLOOKUP(AF6,$Y$6:$Z$9,2,0),AO6)</f>
        <v>4000412997.9899998</v>
      </c>
      <c r="AS6" s="436" t="s">
        <v>51</v>
      </c>
      <c r="AT6" s="437">
        <f>AT7*2</f>
        <v>2000000000</v>
      </c>
      <c r="AU6" s="14"/>
      <c r="AV6" s="438" t="str">
        <f>AF6</f>
        <v>Rusia</v>
      </c>
      <c r="AW6" s="418">
        <f>COUNTIF(AG6:AG9,AG6)</f>
        <v>2</v>
      </c>
      <c r="AX6" s="439">
        <f>(AY6*$AT$12)+(BE6*$AT$11)</f>
        <v>13000</v>
      </c>
      <c r="AY6" s="440">
        <f>RANK(AZ6,AZ6:AZ9,1)</f>
        <v>3</v>
      </c>
      <c r="AZ6" s="440">
        <f>SUM(IF(AND(AG6=AG7,AN6=AN7,AL6=AL7),BB6,0),IF(AND(AG6=AG8,AN6=AN8,AL6=AL8),BC6,0),IF(AND(AG6=AG9,AN6=AN9,AL6=AL9),BD6,0))</f>
        <v>1</v>
      </c>
      <c r="BA6" s="441">
        <v>0</v>
      </c>
      <c r="BB6" s="442">
        <f>H4</f>
        <v>2</v>
      </c>
      <c r="BC6" s="442">
        <f>H6</f>
        <v>1</v>
      </c>
      <c r="BD6" s="443">
        <f>I8</f>
        <v>1</v>
      </c>
      <c r="BE6" s="440">
        <f>RANK(BF6,BF6:BF9,1)</f>
        <v>1</v>
      </c>
      <c r="BF6" s="440">
        <f>SUM(IF(AND(AG6=AG7,AN6=AN7,AL6=AL7),BH6,0),IF(AND(AG6=AG8,AN6=AN8,AL6=AL8),BI6,0),IF(AND(AG6=AG9,AN6=AN9,AL6=AL9),BJ6,0))</f>
        <v>0</v>
      </c>
      <c r="BG6" s="441">
        <v>0</v>
      </c>
      <c r="BH6" s="442">
        <f>BB6-BA7</f>
        <v>1</v>
      </c>
      <c r="BI6" s="442">
        <f>BC6-BA8</f>
        <v>0</v>
      </c>
      <c r="BJ6" s="443">
        <f>BD6-BA9</f>
        <v>-1</v>
      </c>
      <c r="BK6" s="410">
        <v>1</v>
      </c>
      <c r="BL6" s="412">
        <f>RANK(BN6,$BN$6:$BN$9)</f>
        <v>2</v>
      </c>
      <c r="BM6" s="412" t="s">
        <v>19</v>
      </c>
      <c r="BN6" s="412">
        <f>IF(AH6=0,-($AT$13*VLOOKUP(AF6,Tabla3[[ZfP4b()8G6b·$55Ma-t·%fv-ttyZxR-.R*+Fd]:[N!"kvfjM.%&amp;gk5kfmfvv)/%;V$&amp;VW]],2,FALSE)),AG6*$AT$7+AN6*$AT$8+AL6*$AT$9+AX6-($AT$13*VLOOKUP(AF6,Tabla3[[ZfP4b()8G6b·$55Ma-t·%fv-ttyZxR-.R*+Fd]:[N!"kvfjM.%&amp;gk5kfmfvv)/%;V$&amp;VW]],2,FALSE)/100))</f>
        <v>4000412999.9899998</v>
      </c>
      <c r="BO6" s="412" t="str">
        <f>VLOOKUP(N6,$AE$6:$AF$9,2,0)</f>
        <v>Uruguay</v>
      </c>
      <c r="BP6" s="412">
        <f>VLOOKUP($BO6,$AF$6:$AO$9,10,FALSE)</f>
        <v>9040610999.9599991</v>
      </c>
      <c r="BQ6" s="410"/>
      <c r="BR6" s="412">
        <v>1</v>
      </c>
      <c r="BS6" s="412" t="str">
        <f>VLOOKUP(BR6,$AE$6:$AF$9,2,0)</f>
        <v>Uruguay</v>
      </c>
      <c r="BT6" s="412">
        <f>VLOOKUP(BS6,$AF$6:$AO$9,2,FALSE)</f>
        <v>9</v>
      </c>
      <c r="BU6" s="444">
        <f>IF(SUM($AH$6:$AH$9)=12,MIN(ABS(BP5-BP6),ABS(BP6-BP7)),100)</f>
        <v>5040197999.9699993</v>
      </c>
      <c r="BV6" s="412">
        <f>VLOOKUP($BS6,$AF$6:$AO$9,9,FALSE)</f>
        <v>4</v>
      </c>
      <c r="BW6" s="412">
        <f>VLOOKUP($BS6,$AF$6:$AO$9,7,FALSE)</f>
        <v>6</v>
      </c>
      <c r="BX6" s="410">
        <f>IF($BY$6=$CA$5,$DC$5:$DC$8,IF($BY$6=$CB$5,$DD$5:$DD$7,IF(OR($BY$6=$CC$5,$BY$6=$CD$5),$DE$5:$DE$6,$DI$5)))</f>
        <v>1</v>
      </c>
      <c r="BY6" s="418" t="str">
        <f>IFERROR(HLOOKUP(4,CA4:CX5,2,0),CH5)</f>
        <v>COM_6</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x14ac:dyDescent="0.25">
      <c r="A7" s="74"/>
      <c r="B7" s="543"/>
      <c r="C7" s="260">
        <v>43271</v>
      </c>
      <c r="D7" s="261">
        <v>0.70833333333333337</v>
      </c>
      <c r="E7" s="262" t="s">
        <v>101</v>
      </c>
      <c r="F7" s="340" t="s">
        <v>162</v>
      </c>
      <c r="G7" s="243"/>
      <c r="H7" s="477">
        <v>2</v>
      </c>
      <c r="I7" s="477">
        <v>0</v>
      </c>
      <c r="J7" s="219"/>
      <c r="K7" s="365" t="s">
        <v>172</v>
      </c>
      <c r="L7" s="149">
        <f t="shared" si="1"/>
        <v>1</v>
      </c>
      <c r="M7" s="79"/>
      <c r="N7" s="48">
        <v>2</v>
      </c>
      <c r="O7" s="47" t="str">
        <f>VLOOKUP(N7,$AD$6:$AF$9,3,0)</f>
        <v>Rusia</v>
      </c>
      <c r="P7" s="39">
        <f>VLOOKUP(O7,$AF$6:$AO$9,2,FALSE)</f>
        <v>4</v>
      </c>
      <c r="Q7" s="39">
        <f>VLOOKUP($O7,$AF$6:$AO$9,3,FALSE)</f>
        <v>3</v>
      </c>
      <c r="R7" s="39">
        <f>VLOOKUP($O7,$AF$6:$AO$9,4,FALSE)</f>
        <v>1</v>
      </c>
      <c r="S7" s="39">
        <f>VLOOKUP($O7,$AF$6:$AO$9,5,FALSE)</f>
        <v>1</v>
      </c>
      <c r="T7" s="39">
        <f>VLOOKUP($O7,$AF$6:$AO$9,6,FALSE)</f>
        <v>1</v>
      </c>
      <c r="U7" s="39">
        <f>VLOOKUP($O7,$AF$6:$AO$9,7,FALSE)</f>
        <v>4</v>
      </c>
      <c r="V7" s="39">
        <f>VLOOKUP($O7,$AF$6:$AO$9,8,FALSE)</f>
        <v>4</v>
      </c>
      <c r="W7" s="49">
        <f>VLOOKUP($O7,$AF$6:$AO$9,9,FALSE)</f>
        <v>0</v>
      </c>
      <c r="X7" s="28">
        <f t="shared" ref="X7:X9" si="3">IF(SUM($AH$6:$AH$9)=12,MIN(ABS(BP6-BP7),ABS(BP7-BP8)),100)</f>
        <v>1.9999980926513672E-2</v>
      </c>
      <c r="Y7" s="402" t="str">
        <f>IF(AND(X7&gt;=0,X7&lt;90),VLOOKUP(N7,$BL$6:$BM$9,2,0),"")</f>
        <v>Rusia</v>
      </c>
      <c r="Z7" s="406">
        <v>2</v>
      </c>
      <c r="AA7" s="29"/>
      <c r="AB7" s="29"/>
      <c r="AC7" s="413">
        <f t="shared" ref="AC7:AC9" si="4">VLOOKUP($O7,$AF$6:$AO$9,10,FALSE)</f>
        <v>4000412999.9899998</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2</v>
      </c>
      <c r="AM7" s="418">
        <f t="array" ref="AM7">SUMIFS($H$4:$H$9,$K$4:$K$9,AF7,$H$4:$H$9,"&lt;&gt;",$I$4:$I$9,"&lt;&gt;")+SUMIFS($I$4:$I$9,$F$4:$F$9,AF7,$H$4:$H$9,"&lt;&gt;",$I$4:$I$9,"&lt;&gt;")</f>
        <v>6</v>
      </c>
      <c r="AN7" s="418">
        <f>AL7-AM7</f>
        <v>-4</v>
      </c>
      <c r="AO7" s="418">
        <f>IF(AH7=0,-($AT$13*VLOOKUP(AF7,Tabla3[[ZfP4b()8G6b·$55Ma-t·%fv-ttyZxR-.R*+Fd]:[N!"kvfjM.%&amp;gk5kfmfvv)/%;V$&amp;VW]],2,FALSE)),AG7*$AT$7+AN7*$AT$8+AL7*$AT$9+AX7-($AT$13*VLOOKUP(AF7,Tabla3[[ZfP4b()8G6b·$55Ma-t·%fv-ttyZxR-.R*+Fd]:[N!"kvfjM.%&amp;gk5kfmfvv)/%;V$&amp;VW]],2,FALSE)/100))</f>
        <v>-39789000.020000003</v>
      </c>
      <c r="AP7" s="435">
        <f>AE7</f>
        <v>4</v>
      </c>
      <c r="AQ7" s="14"/>
      <c r="AR7" s="14">
        <f t="shared" ref="AR7:AR9" si="7">IFERROR(AO7-VLOOKUP(AF7,$Y$6:$Z$9,2,0),AO7)</f>
        <v>-39789000.020000003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1</v>
      </c>
      <c r="BB7" s="442">
        <v>0</v>
      </c>
      <c r="BC7" s="442">
        <f>H9</f>
        <v>1</v>
      </c>
      <c r="BD7" s="443">
        <f>I7</f>
        <v>0</v>
      </c>
      <c r="BE7" s="440">
        <f>RANK(BF7,BF6:BF9,1)</f>
        <v>1</v>
      </c>
      <c r="BF7" s="440">
        <f>SUM(IF(AND(AG7=AG8,AN7=AN8,AL7=AL8),BI7,0),IF(AND(AG7=AG9,AN7=AN9,AL7=AL9),BJ7,0),IF(AND(AG7=AG6,AN7=AN6,AL7=AL6),BG7,0))</f>
        <v>0</v>
      </c>
      <c r="BG7" s="441">
        <f>BA7-BB6</f>
        <v>-1</v>
      </c>
      <c r="BH7" s="442">
        <v>0</v>
      </c>
      <c r="BI7" s="442">
        <f>BC7-BB8</f>
        <v>-1</v>
      </c>
      <c r="BJ7" s="443">
        <f>BD7-BB9</f>
        <v>-2</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-39789000.020000003</v>
      </c>
      <c r="BO7" s="412" t="str">
        <f t="shared" ref="BO7:BO9" si="9">VLOOKUP(N7,$AE$6:$AF$9,2,0)</f>
        <v>Rusia</v>
      </c>
      <c r="BP7" s="412">
        <f t="shared" ref="BP7:BP9" si="10">VLOOKUP($BO7,$AF$6:$AO$9,10,FALSE)</f>
        <v>4000412999.9899998</v>
      </c>
      <c r="BQ7" s="410"/>
      <c r="BR7" s="412">
        <v>2</v>
      </c>
      <c r="BS7" s="412" t="str">
        <f t="shared" ref="BS7:BS9" si="11">VLOOKUP(BR7,$AE$6:$AF$9,2,0)</f>
        <v>Rusia</v>
      </c>
      <c r="BT7" s="412">
        <f t="shared" ref="BT7:BT9" si="12">VLOOKUP(BS7,$AF$6:$AO$9,2,FALSE)</f>
        <v>4</v>
      </c>
      <c r="BU7" s="444">
        <f t="shared" ref="BU7:BU9" si="13">IF(SUM($AH$6:$AH$9)=12,MIN(ABS(BP6-BP7),ABS(BP7-BP8)),100)</f>
        <v>1.9999980926513672E-2</v>
      </c>
      <c r="BV7" s="412">
        <f t="shared" ref="BV7:BV9" si="14">VLOOKUP($BS7,$AF$6:$AO$9,9,FALSE)</f>
        <v>0</v>
      </c>
      <c r="BW7" s="412">
        <f t="shared" ref="BW7:BW9" si="15">VLOOKUP($BS7,$AF$6:$AO$9,7,FALSE)</f>
        <v>4</v>
      </c>
      <c r="BX7" s="410" t="e">
        <f>IF($BY$6=$CA$5,$DC$5:$DC$8,IF($BY$6=$CB$5,$DD$5:$DD$7,IF(OR($BY$6=$CC$5,$BY$6=$CD$5),$DE$5:$DE$6,IF($BY$6=$CE$5,$DF$5:$DF$7,(IF($BY$6=$CF$5,$DH$5:$DH$6,$DJ$5))))))</f>
        <v>#VALUE!</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1</v>
      </c>
      <c r="CG7" s="418">
        <f t="array" ref="CG7">IF(AND($BT$7&lt;&gt;$BT$6,$BT$7&lt;&gt;$BT$8),1,0)</f>
        <v>0</v>
      </c>
      <c r="CH7" s="418">
        <f t="array" ref="CH7">IF(AND($BT$7&lt;&gt;$BT$6,$BT$7&lt;&gt;$BT$8),1,0)</f>
        <v>0</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x14ac:dyDescent="0.25">
      <c r="A8" s="74"/>
      <c r="B8" s="543"/>
      <c r="C8" s="260">
        <v>43276</v>
      </c>
      <c r="D8" s="261">
        <v>0.66666666666666663</v>
      </c>
      <c r="E8" s="262" t="s">
        <v>102</v>
      </c>
      <c r="F8" s="340" t="s">
        <v>162</v>
      </c>
      <c r="G8" s="243"/>
      <c r="H8" s="477">
        <v>2</v>
      </c>
      <c r="I8" s="477">
        <v>1</v>
      </c>
      <c r="J8" s="218"/>
      <c r="K8" s="365" t="s">
        <v>19</v>
      </c>
      <c r="L8" s="149">
        <f t="shared" si="1"/>
        <v>1</v>
      </c>
      <c r="M8" s="79"/>
      <c r="N8" s="40">
        <v>3</v>
      </c>
      <c r="O8" s="38" t="str">
        <f>VLOOKUP(N8,$AD$6:$AF$9,3,0)</f>
        <v>Egipto</v>
      </c>
      <c r="P8" s="39">
        <f>VLOOKUP(O8,$AF$6:$AO$9,2,FALSE)</f>
        <v>4</v>
      </c>
      <c r="Q8" s="37">
        <f>VLOOKUP($O8,$AF$6:$AO$9,3,FALSE)</f>
        <v>3</v>
      </c>
      <c r="R8" s="37">
        <f>VLOOKUP($O8,$AF$6:$AO$9,4,FALSE)</f>
        <v>1</v>
      </c>
      <c r="S8" s="37">
        <f>VLOOKUP($O8,$AF$6:$AO$9,5,FALSE)</f>
        <v>1</v>
      </c>
      <c r="T8" s="37">
        <f>VLOOKUP($O8,$AF$6:$AO$9,6,FALSE)</f>
        <v>1</v>
      </c>
      <c r="U8" s="37">
        <f>VLOOKUP($O8,$AF$6:$AO$9,7,FALSE)</f>
        <v>4</v>
      </c>
      <c r="V8" s="37">
        <f>VLOOKUP($O8,$AF$6:$AO$9,8,FALSE)</f>
        <v>4</v>
      </c>
      <c r="W8" s="45">
        <f>VLOOKUP($O8,$AF$6:$AO$9,9,FALSE)</f>
        <v>0</v>
      </c>
      <c r="X8" s="28">
        <f t="shared" si="3"/>
        <v>1.9999980926513672E-2</v>
      </c>
      <c r="Y8" s="402" t="str">
        <f>IF(AND(X8&gt;=0,X8&lt;90),VLOOKUP(N8,$BL$6:$BM$9,2,0),"")</f>
        <v>Egipto</v>
      </c>
      <c r="Z8" s="406">
        <v>3</v>
      </c>
      <c r="AA8" s="29"/>
      <c r="AB8" s="29"/>
      <c r="AC8" s="413">
        <f t="shared" si="4"/>
        <v>4000412999.9699998</v>
      </c>
      <c r="AD8" s="14">
        <f t="shared" si="5"/>
        <v>3</v>
      </c>
      <c r="AE8" s="434">
        <f>RANK(AO8,$AO$6:$AO$9)</f>
        <v>3</v>
      </c>
      <c r="AF8" s="412" t="s">
        <v>163</v>
      </c>
      <c r="AG8" s="418">
        <f>AI8*3+AJ8*1+AK8*0</f>
        <v>4</v>
      </c>
      <c r="AH8" s="418">
        <f t="shared" si="6"/>
        <v>3</v>
      </c>
      <c r="AI8" s="418">
        <f t="array" ref="AI8">SUM((F$4:F$9=AF8)*(H$4:H$9&lt;&gt;"")*(I$4:I$9&lt;&gt;"")*(H$4:H$9&gt;I$4:I$9),(K$4:K$9=AF8)*(H$4:H$9&lt;&gt;"")*(I$4:I$9&lt;&gt;"")*(H$4:H$9&lt;I$4:I$9))</f>
        <v>1</v>
      </c>
      <c r="AJ8" s="418">
        <f t="array" ref="AJ8">SUM((F$4:F$9=AF8)*(H$4:H$9&lt;&gt;"")*(I$4:I$9&lt;&gt;"")*(H$4:H$9=I$4:I$9),(K$4:K$9=AF8)*(H$4:H$9&lt;&gt;"")*(I$4:I$9&lt;&gt;"")*(H$4:H$9=I$4:I$9))</f>
        <v>1</v>
      </c>
      <c r="AK8" s="418">
        <f t="array" ref="AK8">SUM((F$4:F$9=AF8)*(I$4:I$9&lt;&gt;"")*(H$4:H$9&lt;&gt;"")*(H$4:H$9&lt;I$4:I$9),(H$4:H$9&lt;&gt;"")*(K$4:K$9=AF8)*(I$4:I$9&lt;&gt;"")*(H$4:H$9&gt;I$4:I$9))</f>
        <v>1</v>
      </c>
      <c r="AL8" s="418">
        <f t="array" ref="AL8">SUMIFS($H$4:$H$9,$F$4:$F$9,AF8,$H$4:$H$9,"&lt;&gt;",$I$4:$I$9,"&lt;&gt;")+SUMIFS($I$4:$I$9,$K$4:$K$9,AF8,$H$4:$H$9,"&lt;&gt;",$I$4:$I$9,"&lt;&gt;")</f>
        <v>4</v>
      </c>
      <c r="AM8" s="418">
        <f t="array" ref="AM8">SUMIFS($H$4:$H$9,$K$4:$K$9,AF8,$H$4:$H$9,"&lt;&gt;",$I$4:$I$9,"&lt;&gt;")+SUMIFS($I$4:$I$9,$F$4:$F$9,AF8,$H$4:$H$9,"&lt;&gt;",$I$4:$I$9,"&lt;&gt;")</f>
        <v>4</v>
      </c>
      <c r="AN8" s="418">
        <f>AL8-AM8</f>
        <v>0</v>
      </c>
      <c r="AO8" s="418">
        <f>IF(AH8=0,-($AT$13*VLOOKUP(AF8,Tabla3[[ZfP4b()8G6b·$55Ma-t·%fv-ttyZxR-.R*+Fd]:[N!"kvfjM.%&amp;gk5kfmfvv)/%;V$&amp;VW]],2,FALSE)),AG8*$AT$7+AN8*$AT$8+AL8*$AT$9+AX8-($AT$13*VLOOKUP(AF8,Tabla3[[ZfP4b()8G6b·$55Ma-t·%fv-ttyZxR-.R*+Fd]:[N!"kvfjM.%&amp;gk5kfmfvv)/%;V$&amp;VW]],2,FALSE)/100))</f>
        <v>4000412999.9699998</v>
      </c>
      <c r="AP8" s="435">
        <f>AE8</f>
        <v>3</v>
      </c>
      <c r="AQ8" s="14"/>
      <c r="AR8" s="14">
        <f t="shared" si="7"/>
        <v>4000412996.9699998</v>
      </c>
      <c r="AS8" s="436" t="s">
        <v>140</v>
      </c>
      <c r="AT8" s="437">
        <f>AT9*100</f>
        <v>10000000</v>
      </c>
      <c r="AU8" s="14"/>
      <c r="AV8" s="438" t="str">
        <f>AF8</f>
        <v>Egipto</v>
      </c>
      <c r="AW8" s="418">
        <f>COUNTIF(AG6:AG9,AG8)</f>
        <v>2</v>
      </c>
      <c r="AX8" s="439">
        <f>(AY8*$AT$12)+(BE8*$AT$11)</f>
        <v>13000</v>
      </c>
      <c r="AY8" s="440">
        <f>RANK(AZ8,AZ6:AZ9,1)</f>
        <v>3</v>
      </c>
      <c r="AZ8" s="440">
        <f>SUM(IF(AND(AG8=AG9,AN8=AN9,AL8=AL9),BD8,0),IF(AND(AG8=AG6,AN8=AN6,AL8=AL6),BA8,0),IF(AND(AG8=AG7,AN8=AN7,AL8=AL7),BB8,0))</f>
        <v>1</v>
      </c>
      <c r="BA8" s="441">
        <f>I6</f>
        <v>1</v>
      </c>
      <c r="BB8" s="442">
        <f>I9</f>
        <v>2</v>
      </c>
      <c r="BC8" s="442">
        <v>0</v>
      </c>
      <c r="BD8" s="443">
        <f>H5</f>
        <v>1</v>
      </c>
      <c r="BE8" s="440">
        <f>RANK(BF8,BF6:BF9,1)</f>
        <v>1</v>
      </c>
      <c r="BF8" s="440">
        <f>SUM(IF(AND(AG8=AG9,AN8=AN9,AL8=AL9),BJ8,0),IF(AND(AG8=AG6,AN8=AN6,AL8=AL6),BG8,0),IF(AND(AG8=AG7,AN8=AN7,AL8=AL7),BH8,0))</f>
        <v>0</v>
      </c>
      <c r="BG8" s="441">
        <f>BA8-BC6</f>
        <v>0</v>
      </c>
      <c r="BH8" s="442">
        <f>BB8-BC7</f>
        <v>1</v>
      </c>
      <c r="BI8" s="442">
        <v>0</v>
      </c>
      <c r="BJ8" s="443">
        <f>BD8-BC9</f>
        <v>-1</v>
      </c>
      <c r="BK8" s="410">
        <v>3</v>
      </c>
      <c r="BL8" s="412">
        <f t="shared" si="8"/>
        <v>3</v>
      </c>
      <c r="BM8" s="412" t="s">
        <v>163</v>
      </c>
      <c r="BN8" s="412">
        <f>IF(AH8=0,-($AT$13*VLOOKUP(AF8,Tabla3[[ZfP4b()8G6b·$55Ma-t·%fv-ttyZxR-.R*+Fd]:[N!"kvfjM.%&amp;gk5kfmfvv)/%;V$&amp;VW]],2,FALSE)),AG8*$AT$7+AN8*$AT$8+AL8*$AT$9+AX8-($AT$13*VLOOKUP(AF8,Tabla3[[ZfP4b()8G6b·$55Ma-t·%fv-ttyZxR-.R*+Fd]:[N!"kvfjM.%&amp;gk5kfmfvv)/%;V$&amp;VW]],2,FALSE)/100))</f>
        <v>4000412999.9699998</v>
      </c>
      <c r="BO8" s="412" t="str">
        <f t="shared" si="9"/>
        <v>Egipto</v>
      </c>
      <c r="BP8" s="412">
        <f t="shared" si="10"/>
        <v>4000412999.9699998</v>
      </c>
      <c r="BQ8" s="410"/>
      <c r="BR8" s="412">
        <v>3</v>
      </c>
      <c r="BS8" s="412" t="str">
        <f t="shared" si="11"/>
        <v>Egipto</v>
      </c>
      <c r="BT8" s="412">
        <f t="shared" si="12"/>
        <v>4</v>
      </c>
      <c r="BU8" s="444">
        <f t="shared" si="13"/>
        <v>1.9999980926513672E-2</v>
      </c>
      <c r="BV8" s="412">
        <f t="shared" si="14"/>
        <v>0</v>
      </c>
      <c r="BW8" s="412">
        <f t="shared" si="15"/>
        <v>4</v>
      </c>
      <c r="BX8" s="410" t="e">
        <f>IF($BY$6=$CA$5,$DC$5:$DC$8,IF($BY$6=$CB$5,$DD$5:$DD$7,IF(OR($BY$6=$CC$5,$BY$6=$CG$5),$DG$5:$DG$6,IF($BY$6=$CE$5,$DF$5:$DF$7,(IF($BY$6=$CF$5,$DH$5:$DH$6,$DK$5))))))</f>
        <v>#VALUE!</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0</v>
      </c>
      <c r="CE8" s="418">
        <f t="array" ref="CE8">IF(AND($BT$7:$BT$9=$BT$7,$BU$7:$BU$9&lt;90,$BT$6&lt;&gt;$BT$8),1,0)</f>
        <v>0</v>
      </c>
      <c r="CF8" s="418">
        <f t="array" ref="CF8">IF(AND($BT$7:$BT$8=$BT$8,$BU$7:$BU$8&lt;90,$BT$8&lt;&gt;$BT$6,$BT$8&lt;&gt;$BT$9),1,0)</f>
        <v>1</v>
      </c>
      <c r="CG8" s="418">
        <f t="array" ref="CG8">IF(AND($BT$8:$BT$9=$BT$8,$BU$8:$BU$9&lt;90,$BT$8&lt;&gt;$BT$7),1,0)</f>
        <v>0</v>
      </c>
      <c r="CH8" s="418">
        <f t="array" ref="CH8">IF(AND($BT$8&lt;&gt;$BT$7,$BT$8&lt;&gt;$BT$9),1,0)</f>
        <v>0</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75" thickBot="1" x14ac:dyDescent="0.3">
      <c r="A9" s="74"/>
      <c r="B9" s="544"/>
      <c r="C9" s="263">
        <v>43276</v>
      </c>
      <c r="D9" s="264">
        <v>0.66666666666666663</v>
      </c>
      <c r="E9" s="265" t="s">
        <v>220</v>
      </c>
      <c r="F9" s="341" t="s">
        <v>172</v>
      </c>
      <c r="G9" s="244"/>
      <c r="H9" s="477">
        <v>1</v>
      </c>
      <c r="I9" s="477">
        <v>2</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2</v>
      </c>
      <c r="V9" s="44">
        <f>VLOOKUP($O9,$AF$6:$AO$9,8,FALSE)</f>
        <v>6</v>
      </c>
      <c r="W9" s="46">
        <f>VLOOKUP($O9,$AF$6:$AO$9,9,FALSE)</f>
        <v>-4</v>
      </c>
      <c r="X9" s="28">
        <f t="shared" si="3"/>
        <v>39789000.020000003</v>
      </c>
      <c r="Y9" s="402" t="str">
        <f>IF(AND(X9&gt;=0,X9&lt;90),VLOOKUP(N9,$BL$6:$BM$9,2,0),"")</f>
        <v/>
      </c>
      <c r="Z9" s="405"/>
      <c r="AA9" s="28"/>
      <c r="AB9" s="28"/>
      <c r="AC9" s="413">
        <f t="shared" si="4"/>
        <v>-39789000.020000003</v>
      </c>
      <c r="AD9" s="14">
        <f t="shared" si="5"/>
        <v>1</v>
      </c>
      <c r="AE9" s="445">
        <f>RANK(AO9,$AO$6:$AO$9)</f>
        <v>1</v>
      </c>
      <c r="AF9" s="446" t="s">
        <v>162</v>
      </c>
      <c r="AG9" s="447">
        <f>AI9*3+AJ9*1+AK9*0</f>
        <v>9</v>
      </c>
      <c r="AH9" s="447">
        <f t="shared" si="6"/>
        <v>3</v>
      </c>
      <c r="AI9" s="447">
        <f t="array" ref="AI9">SUM((F$4:F$9=AF9)*(H$4:H$9&lt;&gt;"")*(I$4:I$9&lt;&gt;"")*(H$4:H$9&gt;I$4:I$9),(K$4:K$9=AF9)*(H$4:H$9&lt;&gt;"")*(I$4:I$9&lt;&gt;"")*(H$4:H$9&lt;I$4:I$9))</f>
        <v>3</v>
      </c>
      <c r="AJ9" s="447">
        <f t="array" ref="AJ9">SUM((F$4:F$9=AF9)*(H$4:H$9&lt;&gt;"")*(I$4:I$9&lt;&gt;"")*(H$4:H$9=I$4:I$9),(K$4:K$9=AF9)*(H$4:H$9&lt;&gt;"")*(I$4:I$9&lt;&gt;"")*(H$4:H$9=I$4:I$9))</f>
        <v>0</v>
      </c>
      <c r="AK9" s="447">
        <f t="array" ref="AK9">SUM((F$4:F$9=AF9)*(I$4:I$9&lt;&gt;"")*(H$4:H$9&lt;&gt;"")*(H$4:H$9&lt;I$4:I$9),(H$4:H$9&lt;&gt;"")*(K$4:K$9=AF9)*(I$4:I$9&lt;&gt;"")*(H$4:H$9&gt;I$4:I$9))</f>
        <v>0</v>
      </c>
      <c r="AL9" s="448">
        <f t="array" ref="AL9">SUMIFS($H$4:$H$9,$F$4:$F$9,AF9,$H$4:$H$9,"&lt;&gt;",$I$4:$I$9,"&lt;&gt;")+SUMIFS($I$4:$I$9,$K$4:$K$9,AF9,$H$4:$H$9,"&lt;&gt;",$I$4:$I$9,"&lt;&gt;")</f>
        <v>6</v>
      </c>
      <c r="AM9" s="448">
        <f t="array" ref="AM9">SUMIFS($H$4:$H$9,$K$4:$K$9,AF9,$H$4:$H$9,"&lt;&gt;",$I$4:$I$9,"&lt;&gt;")+SUMIFS($I$4:$I$9,$F$4:$F$9,AF9,$H$4:$H$9,"&lt;&gt;",$I$4:$I$9,"&lt;&gt;")</f>
        <v>2</v>
      </c>
      <c r="AN9" s="447">
        <f>AL9-AM9</f>
        <v>4</v>
      </c>
      <c r="AO9" s="447">
        <f>IF(AH9=0,-($AT$13*VLOOKUP(AF9,Tabla3[[ZfP4b()8G6b·$55Ma-t·%fv-ttyZxR-.R*+Fd]:[N!"kvfjM.%&amp;gk5kfmfvv)/%;V$&amp;VW]],2,FALSE)),AG9*$AT$7+AN9*$AT$8+AL9*$AT$9+AX9-($AT$13*VLOOKUP(AF9,Tabla3[[ZfP4b()8G6b·$55Ma-t·%fv-ttyZxR-.R*+Fd]:[N!"kvfjM.%&amp;gk5kfmfvv)/%;V$&amp;VW]],2,FALSE)/100))</f>
        <v>9040610999.9599991</v>
      </c>
      <c r="AP9" s="449">
        <f>AE9</f>
        <v>1</v>
      </c>
      <c r="AQ9" s="14"/>
      <c r="AR9" s="14">
        <f t="shared" si="7"/>
        <v>9040610999.9599991</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2</v>
      </c>
      <c r="BB9" s="455">
        <f>H7</f>
        <v>2</v>
      </c>
      <c r="BC9" s="455">
        <f>I5</f>
        <v>2</v>
      </c>
      <c r="BD9" s="456">
        <v>0</v>
      </c>
      <c r="BE9" s="453">
        <f>RANK(BF9,BF6:BF9,1)</f>
        <v>1</v>
      </c>
      <c r="BF9" s="453">
        <f>SUM(IF(AND(AG9=AG6,AN9=AN6,AL9=AL6),BG9,0),IF(AND(AG9=AG7,AN9=AN7,AL9=AL7),BH9,0),IF(AND(AG9=AG8,AN9=AN8,AL9=AL8),BI9,0))</f>
        <v>0</v>
      </c>
      <c r="BG9" s="454">
        <f>BA9-BD6</f>
        <v>1</v>
      </c>
      <c r="BH9" s="455">
        <f>BB9-BD7</f>
        <v>2</v>
      </c>
      <c r="BI9" s="455">
        <f>BC9-BD8</f>
        <v>1</v>
      </c>
      <c r="BJ9" s="456">
        <v>0</v>
      </c>
      <c r="BK9" s="410">
        <v>4</v>
      </c>
      <c r="BL9" s="412">
        <f t="shared" si="8"/>
        <v>1</v>
      </c>
      <c r="BM9" s="412" t="s">
        <v>162</v>
      </c>
      <c r="BN9" s="412">
        <f>IF(AH9=0,-($AT$13*VLOOKUP(AF9,Tabla3[[ZfP4b()8G6b·$55Ma-t·%fv-ttyZxR-.R*+Fd]:[N!"kvfjM.%&amp;gk5kfmfvv)/%;V$&amp;VW]],2,FALSE)),AG9*$AT$7+AN9*$AT$8+AL9*$AT$9+AX9-($AT$13*VLOOKUP(AF9,Tabla3[[ZfP4b()8G6b·$55Ma-t·%fv-ttyZxR-.R*+Fd]:[N!"kvfjM.%&amp;gk5kfmfvv)/%;V$&amp;VW]],2,FALSE)/100))</f>
        <v>9040610999.9599991</v>
      </c>
      <c r="BO9" s="412" t="str">
        <f t="shared" si="9"/>
        <v>Arabia Saudí</v>
      </c>
      <c r="BP9" s="412">
        <f t="shared" si="10"/>
        <v>-39789000.020000003</v>
      </c>
      <c r="BQ9" s="410"/>
      <c r="BR9" s="412">
        <v>4</v>
      </c>
      <c r="BS9" s="412" t="str">
        <f t="shared" si="11"/>
        <v>Arabia Saudí</v>
      </c>
      <c r="BT9" s="412">
        <f t="shared" si="12"/>
        <v>0</v>
      </c>
      <c r="BU9" s="444">
        <f t="shared" si="13"/>
        <v>39789000.020000003</v>
      </c>
      <c r="BV9" s="412">
        <f t="shared" si="14"/>
        <v>-4</v>
      </c>
      <c r="BW9" s="412">
        <f t="shared" si="15"/>
        <v>2</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x14ac:dyDescent="0.3">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75" thickBot="1" x14ac:dyDescent="0.3">
      <c r="A11" s="74"/>
      <c r="B11" s="545" t="s">
        <v>1</v>
      </c>
      <c r="C11" s="268">
        <v>43266</v>
      </c>
      <c r="D11" s="269">
        <v>0.83333333333333337</v>
      </c>
      <c r="E11" s="270" t="s">
        <v>207</v>
      </c>
      <c r="F11" s="342" t="s">
        <v>152</v>
      </c>
      <c r="G11" s="245"/>
      <c r="H11" s="478">
        <v>1</v>
      </c>
      <c r="I11" s="478">
        <v>2</v>
      </c>
      <c r="J11" s="221"/>
      <c r="K11" s="367" t="s">
        <v>155</v>
      </c>
      <c r="L11" s="149">
        <f t="shared" si="1"/>
        <v>1</v>
      </c>
      <c r="M11" s="153"/>
      <c r="N11" s="154" t="s">
        <v>32</v>
      </c>
      <c r="O11" s="155"/>
      <c r="P11" s="155"/>
      <c r="Q11" s="155"/>
      <c r="R11" s="155"/>
      <c r="S11" s="155"/>
      <c r="T11" s="155"/>
      <c r="U11" s="155"/>
      <c r="V11" s="155"/>
      <c r="W11" s="156"/>
      <c r="X11" s="28"/>
      <c r="Y11" s="509" t="s">
        <v>218</v>
      </c>
      <c r="Z11" s="509"/>
      <c r="AA11" s="509"/>
      <c r="AB11" s="28"/>
      <c r="AC11" s="413"/>
      <c r="AD11" s="14"/>
      <c r="AE11" s="414" t="s">
        <v>38</v>
      </c>
      <c r="AF11" s="463"/>
      <c r="AG11" s="14"/>
      <c r="AH11" s="14"/>
      <c r="AI11" s="14"/>
      <c r="AJ11" s="464"/>
      <c r="AK11" s="14"/>
      <c r="AL11" s="14"/>
      <c r="AM11" s="14"/>
      <c r="AN11" s="14"/>
      <c r="AO11" s="464"/>
      <c r="AP11" s="415"/>
      <c r="AQ11" s="14"/>
      <c r="AR11" s="14"/>
      <c r="AS11" s="465" t="s">
        <v>180</v>
      </c>
      <c r="AT11" s="466">
        <f>AT12*10</f>
        <v>10000</v>
      </c>
      <c r="AU11" s="14"/>
      <c r="AV11" s="416" t="str">
        <f>CONCATENATE(N11," - GOLAVERAGE")</f>
        <v>Grupo B - GOLAVERAGE</v>
      </c>
      <c r="AW11" s="417"/>
      <c r="AX11" s="417"/>
      <c r="AY11" s="565" t="s">
        <v>49</v>
      </c>
      <c r="AZ11" s="566"/>
      <c r="BA11" s="566"/>
      <c r="BB11" s="566"/>
      <c r="BC11" s="566"/>
      <c r="BD11" s="567"/>
      <c r="BE11" s="565" t="s">
        <v>48</v>
      </c>
      <c r="BF11" s="566"/>
      <c r="BG11" s="566"/>
      <c r="BH11" s="566"/>
      <c r="BI11" s="566"/>
      <c r="BJ11" s="567"/>
      <c r="BK11" s="410"/>
      <c r="BL11" s="410"/>
      <c r="BM11" s="410"/>
      <c r="BN11" s="410"/>
      <c r="BO11" s="410"/>
      <c r="BP11" s="410"/>
      <c r="BQ11" s="410"/>
      <c r="BR11" s="410"/>
      <c r="BS11" s="410"/>
      <c r="BT11" s="410"/>
      <c r="BU11" s="410"/>
      <c r="BV11" s="410"/>
      <c r="BW11" s="410"/>
      <c r="BX11" s="410"/>
      <c r="BY11" s="14"/>
      <c r="BZ11" s="14" t="s">
        <v>216</v>
      </c>
      <c r="CA11" s="418">
        <f>SUM(CA13:CA16)</f>
        <v>0</v>
      </c>
      <c r="CB11" s="418">
        <f t="shared" ref="CB11:CX11" si="16">SUM(CB13:CB16)</f>
        <v>0</v>
      </c>
      <c r="CC11" s="418">
        <f t="shared" si="16"/>
        <v>0</v>
      </c>
      <c r="CD11" s="418">
        <f t="shared" si="16"/>
        <v>2</v>
      </c>
      <c r="CE11" s="418">
        <f t="shared" si="16"/>
        <v>0</v>
      </c>
      <c r="CF11" s="418">
        <f t="shared" si="16"/>
        <v>2</v>
      </c>
      <c r="CG11" s="418">
        <f t="shared" si="16"/>
        <v>2</v>
      </c>
      <c r="CH11" s="418">
        <f t="shared" si="16"/>
        <v>4</v>
      </c>
      <c r="CI11" s="418">
        <f t="shared" si="16"/>
        <v>0</v>
      </c>
      <c r="CJ11" s="418">
        <f t="shared" si="16"/>
        <v>0</v>
      </c>
      <c r="CK11" s="418">
        <f t="shared" si="16"/>
        <v>0</v>
      </c>
      <c r="CL11" s="418">
        <f t="shared" si="16"/>
        <v>1</v>
      </c>
      <c r="CM11" s="418">
        <f t="shared" si="16"/>
        <v>1</v>
      </c>
      <c r="CN11" s="418">
        <f t="shared" si="16"/>
        <v>1</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x14ac:dyDescent="0.25">
      <c r="A12" s="74"/>
      <c r="B12" s="546"/>
      <c r="C12" s="271">
        <v>43266</v>
      </c>
      <c r="D12" s="272">
        <v>0.70833333333333337</v>
      </c>
      <c r="E12" s="273" t="s">
        <v>212</v>
      </c>
      <c r="F12" s="343" t="s">
        <v>170</v>
      </c>
      <c r="G12" s="246"/>
      <c r="H12" s="479">
        <v>1</v>
      </c>
      <c r="I12" s="479">
        <v>2</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09"/>
      <c r="Z12" s="509"/>
      <c r="AA12" s="509"/>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181</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184</v>
      </c>
      <c r="BN12" s="432"/>
      <c r="BO12" s="432" t="s">
        <v>185</v>
      </c>
      <c r="BP12" s="432"/>
      <c r="BQ12" s="410"/>
      <c r="BR12" s="433"/>
      <c r="BS12" s="433" t="s">
        <v>6</v>
      </c>
      <c r="BT12" s="433" t="s">
        <v>17</v>
      </c>
      <c r="BU12" s="433" t="s">
        <v>204</v>
      </c>
      <c r="BV12" s="433" t="s">
        <v>14</v>
      </c>
      <c r="BW12" s="433" t="s">
        <v>205</v>
      </c>
      <c r="BX12" s="410"/>
      <c r="BY12" s="14"/>
      <c r="BZ12" s="14" t="s">
        <v>217</v>
      </c>
      <c r="CA12" s="418" t="s">
        <v>188</v>
      </c>
      <c r="CB12" s="418" t="s">
        <v>197</v>
      </c>
      <c r="CC12" s="418" t="s">
        <v>198</v>
      </c>
      <c r="CD12" s="418" t="s">
        <v>199</v>
      </c>
      <c r="CE12" s="418" t="s">
        <v>200</v>
      </c>
      <c r="CF12" s="418" t="s">
        <v>201</v>
      </c>
      <c r="CG12" s="418" t="s">
        <v>202</v>
      </c>
      <c r="CH12" s="418" t="s">
        <v>203</v>
      </c>
      <c r="CI12" s="418" t="s">
        <v>198</v>
      </c>
      <c r="CJ12" s="418" t="s">
        <v>198</v>
      </c>
      <c r="CK12" s="418" t="s">
        <v>199</v>
      </c>
      <c r="CL12" s="418" t="s">
        <v>202</v>
      </c>
      <c r="CM12" s="418" t="s">
        <v>201</v>
      </c>
      <c r="CN12" s="418" t="s">
        <v>201</v>
      </c>
      <c r="CO12" s="418" t="s">
        <v>200</v>
      </c>
      <c r="CP12" s="418" t="s">
        <v>197</v>
      </c>
      <c r="CQ12" s="418" t="s">
        <v>202</v>
      </c>
      <c r="CR12" s="418" t="s">
        <v>201</v>
      </c>
      <c r="CS12" s="418" t="s">
        <v>199</v>
      </c>
      <c r="CT12" s="418" t="s">
        <v>202</v>
      </c>
      <c r="CU12" s="418" t="s">
        <v>199</v>
      </c>
      <c r="CV12" s="418" t="s">
        <v>201</v>
      </c>
      <c r="CW12" s="418"/>
      <c r="CX12" s="418"/>
      <c r="CY12" s="14"/>
      <c r="CZ12" s="14"/>
      <c r="DA12" s="14"/>
      <c r="DB12" s="14"/>
      <c r="DC12" s="14"/>
      <c r="DD12" s="14"/>
      <c r="DE12" s="14"/>
      <c r="DF12" s="14"/>
      <c r="DG12" s="14"/>
      <c r="DH12" s="14"/>
      <c r="DI12" s="14"/>
      <c r="DJ12" s="14"/>
      <c r="DK12" s="14"/>
      <c r="DL12" s="14"/>
      <c r="DM12" s="14"/>
      <c r="DN12" s="475"/>
    </row>
    <row r="13" spans="1:118" x14ac:dyDescent="0.25">
      <c r="A13" s="74"/>
      <c r="B13" s="546"/>
      <c r="C13" s="271">
        <v>43271</v>
      </c>
      <c r="D13" s="272">
        <v>0.58333333333333337</v>
      </c>
      <c r="E13" s="273" t="s">
        <v>206</v>
      </c>
      <c r="F13" s="344" t="s">
        <v>152</v>
      </c>
      <c r="G13" s="246"/>
      <c r="H13" s="479">
        <v>3</v>
      </c>
      <c r="I13" s="479">
        <v>0</v>
      </c>
      <c r="J13" s="222"/>
      <c r="K13" s="368" t="s">
        <v>170</v>
      </c>
      <c r="L13" s="149">
        <f t="shared" si="1"/>
        <v>1</v>
      </c>
      <c r="M13" s="153"/>
      <c r="N13" s="161">
        <v>1</v>
      </c>
      <c r="O13" s="162" t="str">
        <f>VLOOKUP(N13,$AD$13:$AF$16,3,0)</f>
        <v>España</v>
      </c>
      <c r="P13" s="163">
        <f>VLOOKUP(O13,AF13:AO16,2,FALSE)</f>
        <v>9</v>
      </c>
      <c r="Q13" s="163">
        <f>VLOOKUP(O13,AF13:AO16,3,FALSE)</f>
        <v>3</v>
      </c>
      <c r="R13" s="163">
        <f>VLOOKUP(O13,AF13:AO16,4,FALSE)</f>
        <v>3</v>
      </c>
      <c r="S13" s="163">
        <f>VLOOKUP(O13,AF13:AO16,5,FALSE)</f>
        <v>0</v>
      </c>
      <c r="T13" s="163">
        <f>VLOOKUP(O13,AF13:AO16,6,FALSE)</f>
        <v>0</v>
      </c>
      <c r="U13" s="163">
        <f>VLOOKUP(O13,AF13:AO16,7,FALSE)</f>
        <v>7</v>
      </c>
      <c r="V13" s="163">
        <f>VLOOKUP(O13,AF13:AO16,8,FALSE)</f>
        <v>2</v>
      </c>
      <c r="W13" s="164">
        <f>VLOOKUP(O13,AF13:AO16,9,FALSE)</f>
        <v>5</v>
      </c>
      <c r="X13" s="28">
        <f>IF(SUM($AH$13:$AH$16)=12,MIN(ABS(BP12-BP13),ABS(BP13-BP14)),100)</f>
        <v>3010099999.9899998</v>
      </c>
      <c r="Y13" s="402" t="str">
        <f>IF(AND(X13&gt;=0,X13&lt;90),VLOOKUP(N13,$BL$13:$BM$16,2,0),"")</f>
        <v/>
      </c>
      <c r="Z13" s="406"/>
      <c r="AA13" s="29"/>
      <c r="AB13" s="29"/>
      <c r="AC13" s="413">
        <f>VLOOKUP(O13,$AF$13:$AO$16,10,FALSE)</f>
        <v>9050710999.9799995</v>
      </c>
      <c r="AD13" s="14">
        <f>RANK(AR13,$AR$13:$AR$16)</f>
        <v>2</v>
      </c>
      <c r="AE13" s="434">
        <f>RANK(AO13,$AO$13:$AO$16)</f>
        <v>2</v>
      </c>
      <c r="AF13" s="412" t="s">
        <v>152</v>
      </c>
      <c r="AG13" s="418">
        <f>AI13*3+AJ13*1+AK13*0</f>
        <v>6</v>
      </c>
      <c r="AH13" s="418">
        <f>COUNTIFS($F$11:$F$16,AF13,$H$11:$H$16,"&lt;&gt;",$I$11:$I$16,"&lt;&gt;")+COUNTIFS($K$11:$K$16,AF13,$I$11:$I$16,"&lt;&gt;",$H$11:$H$16,"&lt;&gt;")</f>
        <v>3</v>
      </c>
      <c r="AI13" s="418">
        <f t="array" ref="AI13">SUM((F$11:F$16=AF13)*(H$11:H$16&lt;&gt;"")*(I$11:I$16&lt;&gt;"")*(H$11:H$16&gt;I$11:I$16),(K$11:K$16=AF13)*(H$11:H$16&lt;&gt;"")*(I$11:I$16&lt;&gt;"")*(H$11:H$16&lt;I$11:I$16))</f>
        <v>2</v>
      </c>
      <c r="AJ13" s="418">
        <f t="array" ref="AJ13">SUM((F$11:F$16=AF13)*(H$11:H$16&lt;&gt;"")*(I$11:I$16&lt;&gt;"")*(H$11:H$16=I$11:I$16),(K$11:K$16=AF13)*(I$11:I$16&lt;&gt;"")*(H$11:H$16&lt;&gt;"")*(H$11:H$16=I$11:I$16))</f>
        <v>0</v>
      </c>
      <c r="AK13" s="418">
        <f t="array" ref="AK13">SUM((F$11:F$16=AF13)*(I$11:I$16&lt;&gt;"")*(H$11:H$16&lt;&gt;"")*(H$11:H$16&lt;I$11:I$16),(H$11:H$16&lt;&gt;"")*(K$11:K$16=AF13)*(I$11:I$16&lt;&gt;"")*(H$11:H$16&gt;I$11:I$16))</f>
        <v>1</v>
      </c>
      <c r="AL13" s="418">
        <f t="array" ref="AL13">SUMIFS($H$11:$H$16,$F$11:$F$16,AF13,$H$11:$H$16,"&lt;&gt;",$I$11:$I$16,"&lt;&gt;")+SUMIFS($I$11:$I$16,$K$11:$K$16,AF13,$H$11:$H$16,"&lt;&gt;",$I$11:$I$16,"&lt;&gt;")</f>
        <v>6</v>
      </c>
      <c r="AM13" s="418">
        <f t="array" ref="AM13">SUMIFS($H$11:$H$16,$K$11:$K$16,AF13,$H$11:$H$16,"&lt;&gt;",$I$11:$I$16,"&lt;&gt;")+SUMIFS($I$11:$I$16,$F$11:$F$16,AF13,$H$11:$H$16,"&lt;&gt;",$I$11:$I$16,"&lt;&gt;")</f>
        <v>2</v>
      </c>
      <c r="AN13" s="418">
        <f>AL13-AM13</f>
        <v>4</v>
      </c>
      <c r="AO13" s="418">
        <f>IF(AH13=0,-($AT$13*VLOOKUP(AF13,Tabla3[[ZfP4b()8G6b·$55Ma-t·%fv-ttyZxR-.R*+Fd]:[N!"kvfjM.%&amp;gk5kfmfvv)/%;V$&amp;VW]],2,FALSE)),AG13*$AT$7+AN13*$AT$8+AL13*$AT$9+AX13-($AT$13*VLOOKUP(AF13,Tabla3[[ZfP4b()8G6b·$55Ma-t·%fv-ttyZxR-.R*+Fd]:[N!"kvfjM.%&amp;gk5kfmfvv)/%;V$&amp;VW]],2,FALSE)/100))</f>
        <v>6040610999.9899998</v>
      </c>
      <c r="AP13" s="435">
        <f>AE13</f>
        <v>2</v>
      </c>
      <c r="AQ13" s="14"/>
      <c r="AR13" s="14">
        <f>IFERROR(AO13-VLOOKUP(AF13,$Y$13:$Z$16,2,0),AO13)</f>
        <v>6040610999.9899998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3</v>
      </c>
      <c r="BD13" s="443">
        <f>I15</f>
        <v>2</v>
      </c>
      <c r="BE13" s="440">
        <f>RANK(BF13,BF13:BF16,1)</f>
        <v>1</v>
      </c>
      <c r="BF13" s="440">
        <f>SUM(IF(AND(AG13=AG14,AN13=AN14,AL13=AL14),BH13,0),IF(AND(AG13=AG15,AN13=AN15,AL13=AL15),BI13,0),IF(AND(AG13=AG16,AN13=AN16,AL13=AL16),BJ13,0))</f>
        <v>0</v>
      </c>
      <c r="BG13" s="441">
        <v>0</v>
      </c>
      <c r="BH13" s="442">
        <f>BB13-BA14</f>
        <v>-1</v>
      </c>
      <c r="BI13" s="442">
        <f>BC13-BA15</f>
        <v>3</v>
      </c>
      <c r="BJ13" s="443">
        <f>BD13-BA16</f>
        <v>2</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6040610999.9899998</v>
      </c>
      <c r="BO13" s="412" t="str">
        <f>VLOOKUP(N13,$AE$13:$AF$16,2,0)</f>
        <v>España</v>
      </c>
      <c r="BP13" s="412">
        <f>VLOOKUP($BO13,$AF$13:$AO$16,10,FALSE)</f>
        <v>9050710999.9799995</v>
      </c>
      <c r="BQ13" s="410"/>
      <c r="BR13" s="412">
        <v>1</v>
      </c>
      <c r="BS13" s="412" t="str">
        <f>VLOOKUP(BR13,$AE$13:$AF$16,2,0)</f>
        <v>España</v>
      </c>
      <c r="BT13" s="412">
        <f>VLOOKUP(BS13,$AF$13:$AO$16,2,FALSE)</f>
        <v>9</v>
      </c>
      <c r="BU13" s="444">
        <f>IF(SUM($AH$13:$AH$16)=12,MIN(ABS(BP12-BP13),ABS(BP13-BP14)),100)</f>
        <v>3010099999.9899998</v>
      </c>
      <c r="BV13" s="412">
        <f>VLOOKUP(BS13,$AF$13:$AO$16,9,FALSE)</f>
        <v>5</v>
      </c>
      <c r="BW13" s="412">
        <f>VLOOKUP(BS13,$AF$13:$AO$16,7,FALSE)</f>
        <v>7</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x14ac:dyDescent="0.25">
      <c r="A14" s="74"/>
      <c r="B14" s="546"/>
      <c r="C14" s="271">
        <v>43271</v>
      </c>
      <c r="D14" s="272">
        <v>0.83333333333333337</v>
      </c>
      <c r="E14" s="273" t="s">
        <v>104</v>
      </c>
      <c r="F14" s="343" t="s">
        <v>166</v>
      </c>
      <c r="G14" s="246"/>
      <c r="H14" s="479">
        <v>0</v>
      </c>
      <c r="I14" s="479">
        <v>3</v>
      </c>
      <c r="J14" s="222"/>
      <c r="K14" s="368" t="s">
        <v>155</v>
      </c>
      <c r="L14" s="149">
        <f t="shared" si="1"/>
        <v>1</v>
      </c>
      <c r="M14" s="153"/>
      <c r="N14" s="48">
        <v>2</v>
      </c>
      <c r="O14" s="47" t="str">
        <f>VLOOKUP(N14,$AD$13:$AF$16,3,0)</f>
        <v>Portugal</v>
      </c>
      <c r="P14" s="39">
        <f>VLOOKUP(O14,AF13:AO16,2,FALSE)</f>
        <v>6</v>
      </c>
      <c r="Q14" s="39">
        <f>VLOOKUP(O14,AF13:AO16,3,FALSE)</f>
        <v>3</v>
      </c>
      <c r="R14" s="39">
        <f>VLOOKUP(O14,AF13:AO16,4,FALSE)</f>
        <v>2</v>
      </c>
      <c r="S14" s="39">
        <f>VLOOKUP(O14,AF13:AO16,5,FALSE)</f>
        <v>0</v>
      </c>
      <c r="T14" s="39">
        <f>VLOOKUP(O14,AF13:AO16,6,FALSE)</f>
        <v>1</v>
      </c>
      <c r="U14" s="39">
        <f>VLOOKUP(O14,AF13:AO16,7,FALSE)</f>
        <v>6</v>
      </c>
      <c r="V14" s="39">
        <f>VLOOKUP(O14,AF13:AO16,8,FALSE)</f>
        <v>2</v>
      </c>
      <c r="W14" s="49">
        <f>VLOOKUP(O14,AF13:AO16,9,FALSE)</f>
        <v>4</v>
      </c>
      <c r="X14" s="28">
        <f t="shared" ref="X14:X16" si="20">IF(SUM($AH$13:$AH$16)=12,MIN(ABS(BP13-BP14),ABS(BP14-BP15)),100)</f>
        <v>3010099999.9899998</v>
      </c>
      <c r="Y14" s="402" t="str">
        <f t="shared" ref="Y14:Y16" si="21">IF(AND(X14&gt;=0,X14&lt;90),VLOOKUP(N14,$BL$13:$BM$16,2,0),"")</f>
        <v/>
      </c>
      <c r="Z14" s="406"/>
      <c r="AA14" s="29"/>
      <c r="AB14" s="29"/>
      <c r="AC14" s="413">
        <f t="shared" ref="AC14:AC16" si="22">VLOOKUP(O14,$AF$13:$AO$16,10,FALSE)</f>
        <v>6040610999.9899998</v>
      </c>
      <c r="AD14" s="14">
        <f t="shared" ref="AD14:AD16" si="23">RANK(AR14,$AR$13:$AR$16)</f>
        <v>1</v>
      </c>
      <c r="AE14" s="434">
        <f>RANK(AO14,$AO$13:$AO$16)</f>
        <v>1</v>
      </c>
      <c r="AF14" s="412" t="s">
        <v>155</v>
      </c>
      <c r="AG14" s="418">
        <f>AI14*3+AJ14*1+AK14*0</f>
        <v>9</v>
      </c>
      <c r="AH14" s="418">
        <f t="shared" ref="AH14:AH16" si="24">COUNTIFS($F$11:$F$16,AF14,$H$11:$H$16,"&lt;&gt;",$I$11:$I$16,"&lt;&gt;")+COUNTIFS($K$11:$K$16,AF14,$I$11:$I$16,"&lt;&gt;",$H$11:$H$16,"&lt;&gt;")</f>
        <v>3</v>
      </c>
      <c r="AI14" s="418">
        <f t="array" ref="AI14">SUM((F$11:F$16=AF14)*(H$11:H$16&lt;&gt;"")*(I$11:I$16&lt;&gt;"")*(H$11:H$16&gt;I$11:I$16),(K$11:K$16=AF14)*(H$11:H$16&lt;&gt;"")*(I$11:I$16&lt;&gt;"")*(H$11:H$16&lt;I$11:I$16))</f>
        <v>3</v>
      </c>
      <c r="AJ14" s="418">
        <f t="array" ref="AJ14">SUM((F$11:F$16=AF14)*(H$11:H$16&lt;&gt;"")*(I$11:I$16&lt;&gt;"")*(H$11:H$16=I$11:I$16),(K$11:K$16=AF14)*(I$11:I$16&lt;&gt;"")*(H$11:H$16&lt;&gt;"")*(H$11:H$16=I$11:I$16))</f>
        <v>0</v>
      </c>
      <c r="AK14" s="418">
        <f t="array" ref="AK14">SUM((F$11:F$16=AF14)*(I$11:I$16&lt;&gt;"")*(H$11:H$16&lt;&gt;"")*(H$11:H$16&lt;I$11:I$16),(H$11:H$16&lt;&gt;"")*(K$11:K$16=AF14)*(I$11:I$16&lt;&gt;"")*(H$11:H$16&gt;I$11:I$16))</f>
        <v>0</v>
      </c>
      <c r="AL14" s="418">
        <f t="array" ref="AL14">SUMIFS($H$11:$H$16,$F$11:$F$16,AF14,$H$11:$H$16,"&lt;&gt;",$I$11:$I$16,"&lt;&gt;")+SUMIFS($I$11:$I$16,$K$11:$K$16,AF14,$H$11:$H$16,"&lt;&gt;",$I$11:$I$16,"&lt;&gt;")</f>
        <v>7</v>
      </c>
      <c r="AM14" s="418">
        <f t="array" ref="AM14">SUMIFS($H$11:$H$16,$K$11:$K$16,AF14,$H$11:$H$16,"&lt;&gt;",$I$11:$I$16,"&lt;&gt;")+SUMIFS($I$11:$I$16,$F$11:$F$16,AF14,$H$11:$H$16,"&lt;&gt;",$I$11:$I$16,"&lt;&gt;")</f>
        <v>2</v>
      </c>
      <c r="AN14" s="418">
        <f>AL14-AM14</f>
        <v>5</v>
      </c>
      <c r="AO14" s="418">
        <f>IF(AH14=0,-($AT$13*VLOOKUP(AF14,Tabla3[[ZfP4b()8G6b·$55Ma-t·%fv-ttyZxR-.R*+Fd]:[N!"kvfjM.%&amp;gk5kfmfvv)/%;V$&amp;VW]],2,FALSE)),AG14*$AT$7+AN14*$AT$8+AL14*$AT$9+AX14-($AT$13*VLOOKUP(AF14,Tabla3[[ZfP4b()8G6b·$55Ma-t·%fv-ttyZxR-.R*+Fd]:[N!"kvfjM.%&amp;gk5kfmfvv)/%;V$&amp;VW]],2,FALSE)/100))</f>
        <v>9050710999.9799995</v>
      </c>
      <c r="AP14" s="435">
        <f>AE14</f>
        <v>1</v>
      </c>
      <c r="AQ14" s="14"/>
      <c r="AR14" s="14">
        <f t="shared" ref="AR14:AR16" si="25">IFERROR(AO14-VLOOKUP(AF14,$Y$13:$Z$16,2,0),AO14)</f>
        <v>9050710999.9799995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2</v>
      </c>
      <c r="BB14" s="442">
        <v>0</v>
      </c>
      <c r="BC14" s="442">
        <f>H16</f>
        <v>2</v>
      </c>
      <c r="BD14" s="443">
        <f>I14</f>
        <v>3</v>
      </c>
      <c r="BE14" s="440">
        <f>RANK(BF14,BF13:BF16,1)</f>
        <v>1</v>
      </c>
      <c r="BF14" s="440">
        <f>SUM(IF(AND(AG14=AG15,AN14=AN15,AL14=AL15),BI14,0),IF(AND(AG14=AG16,AN14=AN16,AL14=AL16),BJ14,0),IF(AND(AG14=AG13,AN14=AN13,AL14=AL13),BG14,0))</f>
        <v>0</v>
      </c>
      <c r="BG14" s="441">
        <f>BA14-BB13</f>
        <v>1</v>
      </c>
      <c r="BH14" s="442">
        <v>0</v>
      </c>
      <c r="BI14" s="442">
        <f>BC14-BB15</f>
        <v>1</v>
      </c>
      <c r="BJ14" s="443">
        <f>BD14-BB16</f>
        <v>3</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9050710999.9799995</v>
      </c>
      <c r="BO14" s="412" t="str">
        <f t="shared" ref="BO14:BO16" si="28">VLOOKUP(N14,$AE$13:$AF$16,2,0)</f>
        <v>Portugal</v>
      </c>
      <c r="BP14" s="412">
        <f t="shared" ref="BP14:BP16" si="29">VLOOKUP($BO14,$AF$13:$AO$16,10,FALSE)</f>
        <v>6040610999.9899998</v>
      </c>
      <c r="BQ14" s="410"/>
      <c r="BR14" s="412">
        <v>2</v>
      </c>
      <c r="BS14" s="412" t="str">
        <f t="shared" ref="BS14:BS16" si="30">VLOOKUP(BR14,$AE$13:$AF$16,2,0)</f>
        <v>Portugal</v>
      </c>
      <c r="BT14" s="412">
        <f t="shared" ref="BT14:BT16" si="31">VLOOKUP(BS14,$AF$13:$AO$16,2,FALSE)</f>
        <v>6</v>
      </c>
      <c r="BU14" s="444">
        <f t="shared" ref="BU14:BU16" si="32">IF(SUM($AH$13:$AH$16)=12,MIN(ABS(BP13-BP14),ABS(BP14-BP15)),100)</f>
        <v>3010099999.9899998</v>
      </c>
      <c r="BV14" s="412">
        <f t="shared" ref="BV14:BV16" si="33">VLOOKUP(BS14,$AF$13:$AO$16,9,FALSE)</f>
        <v>4</v>
      </c>
      <c r="BW14" s="412">
        <f t="shared" ref="BW14:BW16" si="34">VLOOKUP(BS14,$AF$13:$AO$16,7,FALSE)</f>
        <v>6</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1</v>
      </c>
      <c r="CH14" s="418">
        <f t="array" ref="CH14">IF(AND($BT$14&lt;&gt;$BT$13,$BT$14&lt;&gt;$BT$15),1,0)</f>
        <v>1</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x14ac:dyDescent="0.25">
      <c r="A15" s="74"/>
      <c r="B15" s="546"/>
      <c r="C15" s="271">
        <v>43276</v>
      </c>
      <c r="D15" s="272">
        <v>0.83333333333333337</v>
      </c>
      <c r="E15" s="273" t="s">
        <v>103</v>
      </c>
      <c r="F15" s="344" t="s">
        <v>166</v>
      </c>
      <c r="G15" s="246"/>
      <c r="H15" s="479">
        <v>0</v>
      </c>
      <c r="I15" s="479">
        <v>2</v>
      </c>
      <c r="J15" s="222"/>
      <c r="K15" s="368" t="s">
        <v>152</v>
      </c>
      <c r="L15" s="149">
        <f t="shared" si="1"/>
        <v>1</v>
      </c>
      <c r="M15" s="153"/>
      <c r="N15" s="40">
        <v>3</v>
      </c>
      <c r="O15" s="38" t="str">
        <f>VLOOKUP(N15,$AD$13:$AF$16,3,0)</f>
        <v>Irán</v>
      </c>
      <c r="P15" s="39">
        <f>VLOOKUP(O15,AF13:AO16,2,FALSE)</f>
        <v>3</v>
      </c>
      <c r="Q15" s="37">
        <f>VLOOKUP(O15,AF13:AO16,3,FALSE)</f>
        <v>3</v>
      </c>
      <c r="R15" s="37">
        <f>VLOOKUP(O15,AF13:AO16,4,FALSE)</f>
        <v>1</v>
      </c>
      <c r="S15" s="37">
        <f>VLOOKUP(O15,AF13:AO16,5,FALSE)</f>
        <v>0</v>
      </c>
      <c r="T15" s="37">
        <f>VLOOKUP(O15,AF13:AO16,6,FALSE)</f>
        <v>2</v>
      </c>
      <c r="U15" s="37">
        <f>VLOOKUP(O15,AF13:AO16,7,FALSE)</f>
        <v>2</v>
      </c>
      <c r="V15" s="37">
        <f>VLOOKUP(O15,AF13:AO16,8,FALSE)</f>
        <v>6</v>
      </c>
      <c r="W15" s="45">
        <f>VLOOKUP(O15,AF13:AO16,9,FALSE)</f>
        <v>-4</v>
      </c>
      <c r="X15" s="28">
        <f t="shared" si="20"/>
        <v>3009999999.9900002</v>
      </c>
      <c r="Y15" s="402" t="str">
        <f t="shared" si="21"/>
        <v/>
      </c>
      <c r="Z15" s="406"/>
      <c r="AA15" s="29"/>
      <c r="AB15" s="29"/>
      <c r="AC15" s="413">
        <f t="shared" si="22"/>
        <v>2960210999.96</v>
      </c>
      <c r="AD15" s="14">
        <f t="shared" si="23"/>
        <v>4</v>
      </c>
      <c r="AE15" s="434">
        <f>RANK(AO15,$AO$13:$AO$16)</f>
        <v>4</v>
      </c>
      <c r="AF15" s="412" t="s">
        <v>170</v>
      </c>
      <c r="AG15" s="418">
        <f>AI15*3+AJ15*1+AK15*0</f>
        <v>0</v>
      </c>
      <c r="AH15" s="418">
        <f t="shared" si="24"/>
        <v>3</v>
      </c>
      <c r="AI15" s="418">
        <f t="array" ref="AI15">SUM((F$11:F$16=AF15)*(H$11:H$16&lt;&gt;"")*(I$11:I$16&lt;&gt;"")*(H$11:H$16&gt;I$11:I$16),(K$11:K$16=AF15)*(H$11:H$16&lt;&gt;"")*(I$11:I$16&lt;&gt;"")*(H$11:H$16&lt;I$11:I$16))</f>
        <v>0</v>
      </c>
      <c r="AJ15" s="418">
        <f t="array" ref="AJ15">SUM((F$11:F$16=AF15)*(H$11:H$16&lt;&gt;"")*(I$11:I$16&lt;&gt;"")*(H$11:H$16=I$11:I$16),(K$11:K$16=AF15)*(I$11:I$16&lt;&gt;"")*(H$11:H$16&lt;&gt;"")*(H$11:H$16=I$11:I$16))</f>
        <v>0</v>
      </c>
      <c r="AK15" s="418">
        <f t="array" ref="AK15">SUM((F$11:F$16=AF15)*(I$11:I$16&lt;&gt;"")*(H$11:H$16&lt;&gt;"")*(H$11:H$16&lt;I$11:I$16),(H$11:H$16&lt;&gt;"")*(K$11:K$16=AF15)*(I$11:I$16&lt;&gt;"")*(H$11:H$16&gt;I$11:I$16))</f>
        <v>3</v>
      </c>
      <c r="AL15" s="418">
        <f t="array" ref="AL15">SUMIFS($H$11:$H$16,$F$11:$F$16,AF15,$H$11:$H$16,"&lt;&gt;",$I$11:$I$16,"&lt;&gt;")+SUMIFS($I$11:$I$16,$K$11:$K$16,AF15,$H$11:$H$16,"&lt;&gt;",$I$11:$I$16,"&lt;&gt;")</f>
        <v>2</v>
      </c>
      <c r="AM15" s="418">
        <f t="array" ref="AM15">SUMIFS($H$11:$H$16,$K$11:$K$16,AF15,$H$11:$H$16,"&lt;&gt;",$I$11:$I$16,"&lt;&gt;")+SUMIFS($I$11:$I$16,$F$11:$F$16,AF15,$H$11:$H$16,"&lt;&gt;",$I$11:$I$16,"&lt;&gt;")</f>
        <v>7</v>
      </c>
      <c r="AN15" s="418">
        <f>AL15-AM15</f>
        <v>-5</v>
      </c>
      <c r="AO15" s="418">
        <f>IF(AH15=0,-($AT$13*VLOOKUP(AF15,Tabla3[[ZfP4b()8G6b·$55Ma-t·%fv-ttyZxR-.R*+Fd]:[N!"kvfjM.%&amp;gk5kfmfvv)/%;V$&amp;VW]],2,FALSE)),AG15*$AT$7+AN15*$AT$8+AL15*$AT$9+AX15-($AT$13*VLOOKUP(AF15,Tabla3[[ZfP4b()8G6b·$55Ma-t·%fv-ttyZxR-.R*+Fd]:[N!"kvfjM.%&amp;gk5kfmfvv)/%;V$&amp;VW]],2,FALSE)/100))</f>
        <v>-49789000.030000001</v>
      </c>
      <c r="AP15" s="435">
        <f>AE15</f>
        <v>4</v>
      </c>
      <c r="AQ15" s="14"/>
      <c r="AR15" s="14">
        <f t="shared" si="25"/>
        <v>-49789000.030000001</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0</v>
      </c>
      <c r="BB15" s="442">
        <f>I16</f>
        <v>1</v>
      </c>
      <c r="BC15" s="442">
        <v>0</v>
      </c>
      <c r="BD15" s="443">
        <f>H12</f>
        <v>1</v>
      </c>
      <c r="BE15" s="440">
        <f>RANK(BF15,BF13:BF16,1)</f>
        <v>1</v>
      </c>
      <c r="BF15" s="440">
        <f>SUM(IF(AND(AG15=AG16,AN15=AN16,AL15=AL16),BJ15,0),IF(AND(AG15=AG13,AN15=AN13,AL15=AL13),BG15,0),IF(AND(AG15=AG14,AN15=AN14,AL15=AL14),BH15,0))</f>
        <v>0</v>
      </c>
      <c r="BG15" s="441">
        <f>BA15-BC13</f>
        <v>-3</v>
      </c>
      <c r="BH15" s="442">
        <f>BB15-BC14</f>
        <v>-1</v>
      </c>
      <c r="BI15" s="442">
        <v>0</v>
      </c>
      <c r="BJ15" s="443">
        <f>BD15-BC16</f>
        <v>-1</v>
      </c>
      <c r="BK15" s="410"/>
      <c r="BL15" s="412">
        <f t="shared" si="27"/>
        <v>4</v>
      </c>
      <c r="BM15" s="412" t="s">
        <v>170</v>
      </c>
      <c r="BN15" s="412">
        <f>IF(AH15=0,-($AT$13*VLOOKUP(AF15,Tabla3[[ZfP4b()8G6b·$55Ma-t·%fv-ttyZxR-.R*+Fd]:[N!"kvfjM.%&amp;gk5kfmfvv)/%;V$&amp;VW]],2,FALSE)),AG15*$AT$7+AN15*$AT$8+AL15*$AT$9+AX15-($AT$13*VLOOKUP(AF15,Tabla3[[ZfP4b()8G6b·$55Ma-t·%fv-ttyZxR-.R*+Fd]:[N!"kvfjM.%&amp;gk5kfmfvv)/%;V$&amp;VW]],2,FALSE)/100))</f>
        <v>-49789000.030000001</v>
      </c>
      <c r="BO15" s="412" t="str">
        <f t="shared" si="28"/>
        <v>Irán</v>
      </c>
      <c r="BP15" s="412">
        <f t="shared" si="29"/>
        <v>2960210999.96</v>
      </c>
      <c r="BQ15" s="410"/>
      <c r="BR15" s="412">
        <v>3</v>
      </c>
      <c r="BS15" s="412" t="str">
        <f t="shared" si="30"/>
        <v>Irán</v>
      </c>
      <c r="BT15" s="412">
        <f t="shared" si="31"/>
        <v>3</v>
      </c>
      <c r="BU15" s="444">
        <f t="shared" si="32"/>
        <v>3009999999.9900002</v>
      </c>
      <c r="BV15" s="412">
        <f t="shared" si="33"/>
        <v>-4</v>
      </c>
      <c r="BW15" s="412">
        <f t="shared" si="34"/>
        <v>2</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1</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75" thickBot="1" x14ac:dyDescent="0.3">
      <c r="A16" s="74"/>
      <c r="B16" s="547"/>
      <c r="C16" s="274">
        <v>43276</v>
      </c>
      <c r="D16" s="275">
        <v>0.83333333333333337</v>
      </c>
      <c r="E16" s="276" t="s">
        <v>208</v>
      </c>
      <c r="F16" s="345" t="s">
        <v>155</v>
      </c>
      <c r="G16" s="247"/>
      <c r="H16" s="480">
        <v>2</v>
      </c>
      <c r="I16" s="479">
        <v>1</v>
      </c>
      <c r="J16" s="223"/>
      <c r="K16" s="369" t="s">
        <v>170</v>
      </c>
      <c r="L16" s="149">
        <f t="shared" si="1"/>
        <v>1</v>
      </c>
      <c r="M16" s="153"/>
      <c r="N16" s="41">
        <v>4</v>
      </c>
      <c r="O16" s="42" t="str">
        <f>VLOOKUP(N16,$AD$13:$AF$16,3,0)</f>
        <v>Marruecos</v>
      </c>
      <c r="P16" s="43">
        <f>VLOOKUP(O16,AF13:AO16,2,FALSE)</f>
        <v>0</v>
      </c>
      <c r="Q16" s="44">
        <f>VLOOKUP(O16,AF13:AO16,3,FALSE)</f>
        <v>3</v>
      </c>
      <c r="R16" s="44">
        <f>VLOOKUP(O16,AF13:AO16,4,FALSE)</f>
        <v>0</v>
      </c>
      <c r="S16" s="44">
        <f>VLOOKUP(O16,AF13:AO16,5,FALSE)</f>
        <v>0</v>
      </c>
      <c r="T16" s="44">
        <f>VLOOKUP(O16,AF13:AO16,6,FALSE)</f>
        <v>3</v>
      </c>
      <c r="U16" s="44">
        <f>VLOOKUP(O16,AF13:AO16,7,FALSE)</f>
        <v>2</v>
      </c>
      <c r="V16" s="44">
        <f>VLOOKUP(O16,AF13:AO16,8,FALSE)</f>
        <v>7</v>
      </c>
      <c r="W16" s="46">
        <f>VLOOKUP(O16,AF13:AO16,9,FALSE)</f>
        <v>-5</v>
      </c>
      <c r="X16" s="28">
        <f t="shared" si="20"/>
        <v>49789000.030000001</v>
      </c>
      <c r="Y16" s="402" t="str">
        <f t="shared" si="21"/>
        <v/>
      </c>
      <c r="Z16" s="405"/>
      <c r="AA16" s="29"/>
      <c r="AB16" s="29"/>
      <c r="AC16" s="413">
        <f t="shared" si="22"/>
        <v>-49789000.030000001</v>
      </c>
      <c r="AD16" s="14">
        <f t="shared" si="23"/>
        <v>3</v>
      </c>
      <c r="AE16" s="445">
        <f>RANK(AO16,$AO$13:$AO$16)</f>
        <v>3</v>
      </c>
      <c r="AF16" s="446" t="s">
        <v>166</v>
      </c>
      <c r="AG16" s="447">
        <f>AI16*3+AJ16*1+AK16*0</f>
        <v>3</v>
      </c>
      <c r="AH16" s="447">
        <f t="shared" si="24"/>
        <v>3</v>
      </c>
      <c r="AI16" s="447">
        <f t="array" ref="AI16">SUM((F$11:F$16=AF16)*(H$11:H$16&lt;&gt;"")*(I$11:I$16&lt;&gt;"")*(H$11:H$16&gt;I$11:I$16),(K$11:K$16=AF16)*(H$11:H$16&lt;&gt;"")*(I$11:I$16&lt;&gt;"")*(H$11:H$16&lt;I$11:I$16))</f>
        <v>1</v>
      </c>
      <c r="AJ16" s="447">
        <f t="array" ref="AJ16">SUM((F$11:F$16=AF16)*(H$11:H$16&lt;&gt;"")*(I$11:I$16&lt;&gt;"")*(H$11:H$16=I$11:I$16),(K$11:K$16=AF16)*(I$11:I$16&lt;&gt;"")*(H$11:H$16&lt;&gt;"")*(H$11:H$16=I$11:I$16))</f>
        <v>0</v>
      </c>
      <c r="AK16" s="447">
        <f t="array" ref="AK16">SUM((F$11:F$16=AF16)*(I$11:I$16&lt;&gt;"")*(H$11:H$16&lt;&gt;"")*(H$11:H$16&lt;I$11:I$16),(H$11:H$16&lt;&gt;"")*(K$11:K$16=AF16)*(I$11:I$16&lt;&gt;"")*(H$11:H$16&gt;I$11:I$16))</f>
        <v>2</v>
      </c>
      <c r="AL16" s="447">
        <f t="array" ref="AL16">SUMIFS($H$11:$H$16,$F$11:$F$16,AF16,$H$11:$H$16,"&lt;&gt;",$I$11:$I$16,"&lt;&gt;")+SUMIFS($I$11:$I$16,$K$11:$K$16,AF16,$H$11:$H$16,"&lt;&gt;",$I$11:$I$16,"&lt;&gt;")</f>
        <v>2</v>
      </c>
      <c r="AM16" s="447">
        <f t="array" ref="AM16">SUMIFS($H$11:$H$16,$K$11:$K$16,AF16,$H$11:$H$16,"&lt;&gt;",$I$11:$I$16,"&lt;&gt;")+SUMIFS($I$11:$I$16,$F$11:$F$16,AF16,$H$11:$H$16,"&lt;&gt;",$I$11:$I$16,"&lt;&gt;")</f>
        <v>6</v>
      </c>
      <c r="AN16" s="447">
        <f>AL16-AM16</f>
        <v>-4</v>
      </c>
      <c r="AO16" s="447">
        <f>IF(AH16=0,-($AT$13*VLOOKUP(AF16,Tabla3[[ZfP4b()8G6b·$55Ma-t·%fv-ttyZxR-.R*+Fd]:[N!"kvfjM.%&amp;gk5kfmfvv)/%;V$&amp;VW]],2,FALSE)),AG16*$AT$7+AN16*$AT$8+AL16*$AT$9+AX16-($AT$13*VLOOKUP(AF16,Tabla3[[ZfP4b()8G6b·$55Ma-t·%fv-ttyZxR-.R*+Fd]:[N!"kvfjM.%&amp;gk5kfmfvv)/%;V$&amp;VW]],2,FALSE)/100))</f>
        <v>2960210999.96</v>
      </c>
      <c r="AP16" s="449">
        <f>AE16</f>
        <v>3</v>
      </c>
      <c r="AQ16" s="14"/>
      <c r="AR16" s="14">
        <f t="shared" si="25"/>
        <v>2960210999.96</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0</v>
      </c>
      <c r="BB16" s="455">
        <f>H14</f>
        <v>0</v>
      </c>
      <c r="BC16" s="455">
        <f>I12</f>
        <v>2</v>
      </c>
      <c r="BD16" s="456">
        <v>0</v>
      </c>
      <c r="BE16" s="453">
        <f>RANK(BF16,BF13:BF16,1)</f>
        <v>1</v>
      </c>
      <c r="BF16" s="453">
        <f>SUM(IF(AND(AG16=AG13,AN16=AN13,AL16=AL13),BG16,0),IF(AND(AG16=AG14,AN16=AN14,AL16=AL14),BH16,0),IF(AND(AG16=AG15,AN16=AN15,AL16=AL15),BI16,0))</f>
        <v>0</v>
      </c>
      <c r="BG16" s="454">
        <f>BA16-BD13</f>
        <v>-2</v>
      </c>
      <c r="BH16" s="455">
        <f>BB16-BD14</f>
        <v>-3</v>
      </c>
      <c r="BI16" s="455">
        <f>BC16-BD15</f>
        <v>1</v>
      </c>
      <c r="BJ16" s="456">
        <v>0</v>
      </c>
      <c r="BK16" s="410"/>
      <c r="BL16" s="412">
        <f t="shared" si="27"/>
        <v>3</v>
      </c>
      <c r="BM16" s="412" t="s">
        <v>166</v>
      </c>
      <c r="BN16" s="412">
        <f>IF(AH16=0,-($AT$13*VLOOKUP(AF16,Tabla3[[ZfP4b()8G6b·$55Ma-t·%fv-ttyZxR-.R*+Fd]:[N!"kvfjM.%&amp;gk5kfmfvv)/%;V$&amp;VW]],2,FALSE)),AG16*$AT$7+AN16*$AT$8+AL16*$AT$9+AX16-($AT$13*VLOOKUP(AF16,Tabla3[[ZfP4b()8G6b·$55Ma-t·%fv-ttyZxR-.R*+Fd]:[N!"kvfjM.%&amp;gk5kfmfvv)/%;V$&amp;VW]],2,FALSE)/100))</f>
        <v>2960210999.96</v>
      </c>
      <c r="BO16" s="412" t="str">
        <f t="shared" si="28"/>
        <v>Marruecos</v>
      </c>
      <c r="BP16" s="412">
        <f t="shared" si="29"/>
        <v>-49789000.030000001</v>
      </c>
      <c r="BQ16" s="410"/>
      <c r="BR16" s="412">
        <v>4</v>
      </c>
      <c r="BS16" s="412" t="str">
        <f t="shared" si="30"/>
        <v>Marruecos</v>
      </c>
      <c r="BT16" s="412">
        <f t="shared" si="31"/>
        <v>0</v>
      </c>
      <c r="BU16" s="444">
        <f t="shared" si="32"/>
        <v>49789000.030000001</v>
      </c>
      <c r="BV16" s="412">
        <f t="shared" si="33"/>
        <v>-5</v>
      </c>
      <c r="BW16" s="412">
        <f t="shared" si="34"/>
        <v>2</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1</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x14ac:dyDescent="0.3">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x14ac:dyDescent="0.3">
      <c r="A18" s="74"/>
      <c r="B18" s="548" t="s">
        <v>2</v>
      </c>
      <c r="C18" s="277">
        <v>43267</v>
      </c>
      <c r="D18" s="278">
        <v>0.5</v>
      </c>
      <c r="E18" s="279" t="s">
        <v>104</v>
      </c>
      <c r="F18" s="346" t="s">
        <v>151</v>
      </c>
      <c r="G18" s="224"/>
      <c r="H18" s="481">
        <v>2</v>
      </c>
      <c r="I18" s="481">
        <v>0</v>
      </c>
      <c r="J18" s="224"/>
      <c r="K18" s="370" t="s">
        <v>173</v>
      </c>
      <c r="L18" s="149">
        <f t="shared" si="1"/>
        <v>1</v>
      </c>
      <c r="M18" s="79"/>
      <c r="N18" s="165" t="s">
        <v>31</v>
      </c>
      <c r="O18" s="166"/>
      <c r="P18" s="166"/>
      <c r="Q18" s="166"/>
      <c r="R18" s="166"/>
      <c r="S18" s="166"/>
      <c r="T18" s="166"/>
      <c r="U18" s="166"/>
      <c r="V18" s="166"/>
      <c r="W18" s="167"/>
      <c r="X18" s="28"/>
      <c r="Y18" s="509" t="s">
        <v>218</v>
      </c>
      <c r="Z18" s="509"/>
      <c r="AA18" s="509"/>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65" t="s">
        <v>49</v>
      </c>
      <c r="AZ18" s="566"/>
      <c r="BA18" s="566"/>
      <c r="BB18" s="566"/>
      <c r="BC18" s="566"/>
      <c r="BD18" s="567"/>
      <c r="BE18" s="565" t="s">
        <v>48</v>
      </c>
      <c r="BF18" s="566"/>
      <c r="BG18" s="566"/>
      <c r="BH18" s="566"/>
      <c r="BI18" s="566"/>
      <c r="BJ18" s="567"/>
      <c r="BK18" s="410"/>
      <c r="BL18" s="410"/>
      <c r="BM18" s="410"/>
      <c r="BN18" s="410"/>
      <c r="BO18" s="410"/>
      <c r="BP18" s="410"/>
      <c r="BQ18" s="410"/>
      <c r="BR18" s="410"/>
      <c r="BS18" s="410"/>
      <c r="BT18" s="410"/>
      <c r="BU18" s="468"/>
      <c r="BV18" s="410"/>
      <c r="BW18" s="410"/>
      <c r="BX18" s="410"/>
      <c r="BY18" s="14"/>
      <c r="BZ18" s="14" t="s">
        <v>216</v>
      </c>
      <c r="CA18" s="418">
        <f>SUM(CA20:CA23)</f>
        <v>0</v>
      </c>
      <c r="CB18" s="418">
        <f t="shared" ref="CB18:CX18" si="35">SUM(CB20:CB23)</f>
        <v>0</v>
      </c>
      <c r="CC18" s="418">
        <f t="shared" si="35"/>
        <v>0</v>
      </c>
      <c r="CD18" s="418">
        <f t="shared" si="35"/>
        <v>1</v>
      </c>
      <c r="CE18" s="418">
        <f t="shared" si="35"/>
        <v>0</v>
      </c>
      <c r="CF18" s="418">
        <f t="shared" si="35"/>
        <v>2</v>
      </c>
      <c r="CG18" s="418">
        <f t="shared" si="35"/>
        <v>1</v>
      </c>
      <c r="CH18" s="418">
        <f t="shared" si="35"/>
        <v>2</v>
      </c>
      <c r="CI18" s="418">
        <f t="shared" si="35"/>
        <v>0</v>
      </c>
      <c r="CJ18" s="418">
        <f t="shared" si="35"/>
        <v>0</v>
      </c>
      <c r="CK18" s="418">
        <f t="shared" si="35"/>
        <v>0</v>
      </c>
      <c r="CL18" s="418">
        <f t="shared" si="35"/>
        <v>1</v>
      </c>
      <c r="CM18" s="418">
        <f t="shared" si="35"/>
        <v>1</v>
      </c>
      <c r="CN18" s="418">
        <f t="shared" si="35"/>
        <v>1</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x14ac:dyDescent="0.25">
      <c r="A19" s="74"/>
      <c r="B19" s="549"/>
      <c r="C19" s="280">
        <v>43267</v>
      </c>
      <c r="D19" s="281">
        <v>0.75</v>
      </c>
      <c r="E19" s="282" t="s">
        <v>103</v>
      </c>
      <c r="F19" s="347" t="s">
        <v>161</v>
      </c>
      <c r="G19" s="225"/>
      <c r="H19" s="481">
        <v>1</v>
      </c>
      <c r="I19" s="481">
        <v>1</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09"/>
      <c r="Z19" s="509"/>
      <c r="AA19" s="509"/>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184</v>
      </c>
      <c r="BN19" s="432"/>
      <c r="BO19" s="432" t="s">
        <v>185</v>
      </c>
      <c r="BP19" s="432"/>
      <c r="BQ19" s="410"/>
      <c r="BR19" s="433"/>
      <c r="BS19" s="433" t="s">
        <v>6</v>
      </c>
      <c r="BT19" s="433" t="s">
        <v>17</v>
      </c>
      <c r="BU19" s="469" t="s">
        <v>204</v>
      </c>
      <c r="BV19" s="433" t="s">
        <v>14</v>
      </c>
      <c r="BW19" s="433" t="s">
        <v>205</v>
      </c>
      <c r="BX19" s="410"/>
      <c r="BY19" s="14"/>
      <c r="BZ19" s="14" t="s">
        <v>217</v>
      </c>
      <c r="CA19" s="418" t="s">
        <v>188</v>
      </c>
      <c r="CB19" s="418" t="s">
        <v>197</v>
      </c>
      <c r="CC19" s="418" t="s">
        <v>198</v>
      </c>
      <c r="CD19" s="418" t="s">
        <v>199</v>
      </c>
      <c r="CE19" s="418" t="s">
        <v>200</v>
      </c>
      <c r="CF19" s="418" t="s">
        <v>201</v>
      </c>
      <c r="CG19" s="418" t="s">
        <v>202</v>
      </c>
      <c r="CH19" s="418" t="s">
        <v>203</v>
      </c>
      <c r="CI19" s="418" t="s">
        <v>198</v>
      </c>
      <c r="CJ19" s="418" t="s">
        <v>198</v>
      </c>
      <c r="CK19" s="418" t="s">
        <v>199</v>
      </c>
      <c r="CL19" s="418" t="s">
        <v>202</v>
      </c>
      <c r="CM19" s="418" t="s">
        <v>201</v>
      </c>
      <c r="CN19" s="418" t="s">
        <v>201</v>
      </c>
      <c r="CO19" s="418" t="s">
        <v>200</v>
      </c>
      <c r="CP19" s="418" t="s">
        <v>197</v>
      </c>
      <c r="CQ19" s="418" t="s">
        <v>202</v>
      </c>
      <c r="CR19" s="418" t="s">
        <v>201</v>
      </c>
      <c r="CS19" s="418" t="s">
        <v>199</v>
      </c>
      <c r="CT19" s="418" t="s">
        <v>202</v>
      </c>
      <c r="CU19" s="418" t="s">
        <v>199</v>
      </c>
      <c r="CV19" s="418" t="s">
        <v>201</v>
      </c>
      <c r="CW19" s="418"/>
      <c r="CX19" s="418"/>
      <c r="CY19" s="14"/>
      <c r="CZ19" s="14"/>
      <c r="DA19" s="14"/>
      <c r="DB19" s="14"/>
      <c r="DC19" s="14"/>
      <c r="DD19" s="14"/>
      <c r="DE19" s="14"/>
      <c r="DF19" s="14"/>
      <c r="DG19" s="14"/>
      <c r="DH19" s="14"/>
      <c r="DI19" s="14"/>
      <c r="DJ19" s="14"/>
      <c r="DK19" s="14"/>
      <c r="DL19" s="14"/>
      <c r="DM19" s="14"/>
      <c r="DN19" s="475"/>
    </row>
    <row r="20" spans="1:342 8834:8837" x14ac:dyDescent="0.25">
      <c r="A20" s="74"/>
      <c r="B20" s="549"/>
      <c r="C20" s="280">
        <v>43272</v>
      </c>
      <c r="D20" s="281">
        <v>0.58333333333333337</v>
      </c>
      <c r="E20" s="282" t="s">
        <v>100</v>
      </c>
      <c r="F20" s="347" t="s">
        <v>151</v>
      </c>
      <c r="G20" s="225"/>
      <c r="H20" s="481">
        <v>3</v>
      </c>
      <c r="I20" s="481">
        <v>1</v>
      </c>
      <c r="J20" s="225"/>
      <c r="K20" s="371" t="s">
        <v>161</v>
      </c>
      <c r="L20" s="149">
        <f t="shared" si="1"/>
        <v>1</v>
      </c>
      <c r="M20" s="79"/>
      <c r="N20" s="48">
        <v>1</v>
      </c>
      <c r="O20" s="47" t="str">
        <f>VLOOKUP(N20,$AD$20:$AF$23,3,0)</f>
        <v>Francia</v>
      </c>
      <c r="P20" s="39">
        <f>VLOOKUP(O20,AF20:AO23,2,FALSE)</f>
        <v>9</v>
      </c>
      <c r="Q20" s="39">
        <f>VLOOKUP(O20,AF20:AO23,3,FALSE)</f>
        <v>3</v>
      </c>
      <c r="R20" s="39">
        <f>VLOOKUP(O20,AF20:AO23,4,FALSE)</f>
        <v>3</v>
      </c>
      <c r="S20" s="39">
        <f>VLOOKUP(O20,AF20:AO23,5,FALSE)</f>
        <v>0</v>
      </c>
      <c r="T20" s="39">
        <f>VLOOKUP(O20,AF20:AO23,6,FALSE)</f>
        <v>0</v>
      </c>
      <c r="U20" s="39">
        <f>VLOOKUP(O20,AF20:AO23,7,FALSE)</f>
        <v>7</v>
      </c>
      <c r="V20" s="39">
        <f>VLOOKUP(O20,AF20:AO23,8,FALSE)</f>
        <v>2</v>
      </c>
      <c r="W20" s="49">
        <f>VLOOKUP(O20,AF20:AO23,9,FALSE)</f>
        <v>5</v>
      </c>
      <c r="X20" s="28">
        <f>IF(SUM($AH$20:$AH$23)=12,MIN(ABS(BP19-BP20),ABS(BP20-BP21)),100)</f>
        <v>5050300000.0299997</v>
      </c>
      <c r="Y20" s="402" t="str">
        <f>IF(AND(X20&gt;=0,X20&lt;90),VLOOKUP(N20,$BL$20:$BM$23,2,0),"")</f>
        <v/>
      </c>
      <c r="Z20" s="406"/>
      <c r="AA20" s="29"/>
      <c r="AB20" s="29"/>
      <c r="AC20" s="413">
        <f>VLOOKUP(O20,$AF$20:$AO$23,10,FALSE)</f>
        <v>9050710999.9899998</v>
      </c>
      <c r="AD20" s="14">
        <f>RANK(AR20,$AR$20:$AR$23)</f>
        <v>1</v>
      </c>
      <c r="AE20" s="434">
        <f>RANK(AO20,$AO$20:$AO$23)</f>
        <v>1</v>
      </c>
      <c r="AF20" s="412" t="s">
        <v>151</v>
      </c>
      <c r="AG20" s="418">
        <f>AI20*3+AJ20*1+AK20*0</f>
        <v>9</v>
      </c>
      <c r="AH20" s="418">
        <f>COUNTIFS($F$18:$F$23,AF20,$H$18:$H$23,"&lt;&gt;",$I$18:$I$23,"&lt;&gt;")+COUNTIFS($K$18:$K$23,AF20,$I$18:$I$23,"&lt;&gt;",$H$18:$H$23,"&lt;&gt;")</f>
        <v>3</v>
      </c>
      <c r="AI20" s="418">
        <f t="array" ref="AI20">SUM((F$18:F$23=AF20)*(H$18:H$23&lt;&gt;"")*(I$18:I$23&lt;&gt;"")*(H$18:H$23&gt;I$18:I$23),(K$18:K$23=AF20)*(H$18:H$23&lt;&gt;"")*(I$18:I$23&lt;&gt;"")*(H$18:H$23&lt;I$18:I$23))</f>
        <v>3</v>
      </c>
      <c r="AJ20" s="418">
        <f t="array" ref="AJ20">SUM((F$18:F$23=AF20)*(H$18:H$23&lt;&gt;"")*(I$18:I$23&lt;&gt;"")*(H$18:H$23=I$18:I$23),(K$18:K$23=AF20)*(H$18:H$23&lt;&gt;"")*(I$18:I$23&lt;&gt;"")*(H$18:H$23=I$18:I$23))</f>
        <v>0</v>
      </c>
      <c r="AK20" s="418">
        <f t="array" ref="AK20">SUM((F$18:F$23=AF20)*(I$18:I$23&lt;&gt;"")*(H$18:H$23&lt;&gt;"")*(H$18:H$23&lt;I$18:I$23),(H$18:H$23&lt;&gt;"")*(K$18:K$23=AF20)*(I$18:I$23&lt;&gt;"")*(H$18:H$23&gt;I$18:I$23))</f>
        <v>0</v>
      </c>
      <c r="AL20" s="418">
        <f t="array" ref="AL20">SUMIFS($H$18:$H$23,$F$18:$F$23,AF20,$H$18:$H$23,"&lt;&gt;",$I$18:$I$23,"&lt;&gt;")+SUMIFS($I$18:$I$23,$K$18:$K$23,AF20,$H$18:$H$23,"&lt;&gt;",$I$18:$I$23,"&lt;&gt;")</f>
        <v>7</v>
      </c>
      <c r="AM20" s="418">
        <f t="array" ref="AM20">SUMIFS($H$18:$H$23,$K$18:$K$23,AF20,$H$18:$H$23,"&lt;&gt;",$I$18:$I$23,"&lt;&gt;")+SUMIFS($I$18:$I$23,$F$18:$F$23,AF20,$H$18:$H$23,"&lt;&gt;",$I$18:$I$23,"&lt;&gt;")</f>
        <v>2</v>
      </c>
      <c r="AN20" s="418">
        <f>AL20-AM20</f>
        <v>5</v>
      </c>
      <c r="AO20" s="418">
        <f>IF(AH20=0,-($AT$13*VLOOKUP(AF20,Tabla3[[ZfP4b()8G6b·$55Ma-t·%fv-ttyZxR-.R*+Fd]:[N!"kvfjM.%&amp;gk5kfmfvv)/%;V$&amp;VW]],2,FALSE)),AG20*$AT$7+AN20*$AT$8+AL20*$AT$9+AX20-($AT$13*VLOOKUP(AF20,Tabla3[[ZfP4b()8G6b·$55Ma-t·%fv-ttyZxR-.R*+Fd]:[N!"kvfjM.%&amp;gk5kfmfvv)/%;V$&amp;VW]],2,FALSE)/100))</f>
        <v>9050710999.9899998</v>
      </c>
      <c r="AP20" s="435">
        <f>AE20</f>
        <v>1</v>
      </c>
      <c r="AQ20" s="14"/>
      <c r="AR20" s="14">
        <f>IFERROR(AO20-VLOOKUP(AF20,$Y$20:$Z$23,2,0),AO20)</f>
        <v>9050710999.9899998</v>
      </c>
      <c r="AS20" s="14"/>
      <c r="AT20" s="14"/>
      <c r="AU20" s="14"/>
      <c r="AV20" s="438" t="str">
        <f>AF20</f>
        <v>Francia</v>
      </c>
      <c r="AW20" s="418">
        <f>COUNTIF(AG20:AG23,AG20)</f>
        <v>1</v>
      </c>
      <c r="AX20" s="439">
        <f>(AY20*$AT$12)+(BE20*$AT$11)</f>
        <v>11000</v>
      </c>
      <c r="AY20" s="440">
        <f>RANK(AZ20,AZ20:AZ23,1)</f>
        <v>1</v>
      </c>
      <c r="AZ20" s="440">
        <f>SUM(IF(AND(AG20=AG21,AN20=AN21,AL20=AL21),BB20,0),IF(AND(AG20=AG22,AN20=AN22,AL20=AL22),BC20,0),IF(AND(AG20=AG23,AN20=AN23,AL20=AL23),BD20,0))</f>
        <v>0</v>
      </c>
      <c r="BA20" s="441">
        <v>0</v>
      </c>
      <c r="BB20" s="442">
        <f>H18</f>
        <v>2</v>
      </c>
      <c r="BC20" s="442">
        <f>H20</f>
        <v>3</v>
      </c>
      <c r="BD20" s="443">
        <f>I22</f>
        <v>2</v>
      </c>
      <c r="BE20" s="440">
        <f>RANK(BF20,BF20:BF23,1)</f>
        <v>1</v>
      </c>
      <c r="BF20" s="440">
        <f>SUM(IF(AND(AG20=AG21,AN20=AN21,AL20=AL21),BH20,0),IF(AND(AG20=AG22,AN20=AN22,AL20=AL22),BI20,0),IF(AND(AG20=AG23,AN20=AN23,AL20=AL23),BJ20,0))</f>
        <v>0</v>
      </c>
      <c r="BG20" s="441">
        <v>0</v>
      </c>
      <c r="BH20" s="442">
        <f>BB20-BA21</f>
        <v>2</v>
      </c>
      <c r="BI20" s="442">
        <f>BC20-BA22</f>
        <v>2</v>
      </c>
      <c r="BJ20" s="443">
        <f>BD20-BA23</f>
        <v>1</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9050710999.9899998</v>
      </c>
      <c r="BO20" s="412" t="str">
        <f>VLOOKUP(N20,$AE$20:$AF$23,2,0)</f>
        <v>Francia</v>
      </c>
      <c r="BP20" s="412">
        <f>VLOOKUP($BO20,$AF$20:$AO$23,10,FALSE)</f>
        <v>9050710999.9899998</v>
      </c>
      <c r="BQ20" s="410"/>
      <c r="BR20" s="412">
        <v>1</v>
      </c>
      <c r="BS20" s="412" t="str">
        <f>VLOOKUP(BR20,$AD$20:$AF$23,3,0)</f>
        <v>Francia</v>
      </c>
      <c r="BT20" s="412">
        <f>VLOOKUP(BS20,$AF$20:$AO$23,2,FALSE)</f>
        <v>9</v>
      </c>
      <c r="BU20" s="444">
        <f>IF(SUM($AH$20:$AH$23)=12,MIN(ABS(BP19-BP20),ABS(BP20-BP21)),100)</f>
        <v>5050300000.0299997</v>
      </c>
      <c r="BV20" s="412">
        <f t="array" ref="BV20">VLOOKUP(BS20,$AF$20:$AO$23,9,FALSE)</f>
        <v>5</v>
      </c>
      <c r="BW20" s="412">
        <f>VLOOKUP(BS20,$AF$20:$AO$23,7,FALSE)</f>
        <v>7</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1</v>
      </c>
      <c r="CG20" s="418">
        <f t="array" ref="CG20">IF(AND($BT$20&lt;&gt;$BT$21,$BT$20&lt;&gt;$BT$23),1,0)</f>
        <v>1</v>
      </c>
      <c r="CH20" s="418">
        <f t="array" ref="CH20">IF(AND($BT$20&lt;&gt;$BT$21,$BT$20&lt;&gt;$BT$23),1,0)</f>
        <v>1</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1</v>
      </c>
      <c r="CM20" s="418">
        <f t="array" ref="CM20">IF(AND($BT$20&lt;&gt;$BT$21,$BT$20&lt;&gt;$BT$22),1,0)</f>
        <v>1</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x14ac:dyDescent="0.25">
      <c r="A21" s="74"/>
      <c r="B21" s="549"/>
      <c r="C21" s="280">
        <v>43272</v>
      </c>
      <c r="D21" s="281">
        <v>0.70833333333333337</v>
      </c>
      <c r="E21" s="282" t="s">
        <v>102</v>
      </c>
      <c r="F21" s="347" t="s">
        <v>168</v>
      </c>
      <c r="G21" s="225"/>
      <c r="H21" s="481">
        <v>2</v>
      </c>
      <c r="I21" s="481">
        <v>1</v>
      </c>
      <c r="J21" s="225"/>
      <c r="K21" s="371" t="s">
        <v>173</v>
      </c>
      <c r="L21" s="149">
        <f t="shared" si="1"/>
        <v>1</v>
      </c>
      <c r="M21" s="79"/>
      <c r="N21" s="48">
        <v>2</v>
      </c>
      <c r="O21" s="47" t="str">
        <f>VLOOKUP(N21,$AD$20:$AF$23,3,0)</f>
        <v>Dinamarca</v>
      </c>
      <c r="P21" s="39">
        <f>VLOOKUP(O21,AF20:AO23,2,FALSE)</f>
        <v>4</v>
      </c>
      <c r="Q21" s="39">
        <f>VLOOKUP(O21,AF20:AO23,3,FALSE)</f>
        <v>3</v>
      </c>
      <c r="R21" s="39">
        <f>VLOOKUP(O21,AF20:AO23,4,FALSE)</f>
        <v>1</v>
      </c>
      <c r="S21" s="39">
        <f>VLOOKUP(O21,AF20:AO23,5,FALSE)</f>
        <v>1</v>
      </c>
      <c r="T21" s="39">
        <f>VLOOKUP(O21,AF20:AO23,6,FALSE)</f>
        <v>1</v>
      </c>
      <c r="U21" s="39">
        <f>VLOOKUP(O21,AF20:AO23,7,FALSE)</f>
        <v>4</v>
      </c>
      <c r="V21" s="39">
        <f>VLOOKUP(O21,AF20:AO23,8,FALSE)</f>
        <v>4</v>
      </c>
      <c r="W21" s="49">
        <f>VLOOKUP(O21,AF20:AO23,9,FALSE)</f>
        <v>0</v>
      </c>
      <c r="X21" s="28">
        <f t="shared" ref="X21:X23" si="39">IF(SUM($AH$20:$AH$23)=12,MIN(ABS(BP20-BP21),ABS(BP21-BP22)),100)</f>
        <v>10099999.990000248</v>
      </c>
      <c r="Y21" s="402" t="str">
        <f t="shared" ref="Y21:Y23" si="40">IF(AND(X21&gt;=0,X21&lt;90),VLOOKUP(N21,$BL$20:$BM$23,2,0),"")</f>
        <v/>
      </c>
      <c r="Z21" s="406"/>
      <c r="AA21" s="29"/>
      <c r="AB21" s="29"/>
      <c r="AC21" s="413">
        <f t="shared" ref="AC21:AC23" si="41">VLOOKUP(O21,$AF$20:$AO$23,10,FALSE)</f>
        <v>4000410999.96</v>
      </c>
      <c r="AD21" s="14">
        <f t="shared" ref="AD21:AD23" si="42">RANK(AR21,$AR$20:$AR$23)</f>
        <v>4</v>
      </c>
      <c r="AE21" s="434">
        <f>RANK(AO21,$AO$20:$AO$23)</f>
        <v>4</v>
      </c>
      <c r="AF21" s="412" t="s">
        <v>173</v>
      </c>
      <c r="AG21" s="418">
        <f>AI21*3+AJ21*1+AK21*0</f>
        <v>0</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0</v>
      </c>
      <c r="AK21" s="418">
        <f t="array" ref="AK21">SUM((F$18:F$23=AF21)*(I$18:I$23&lt;&gt;"")*(H$18:H$23&lt;&gt;"")*(H$18:H$23&lt;I$18:I$23),(H$18:H$23&lt;&gt;"")*(K$18:K$23=AF21)*(I$18:I$23&lt;&gt;"")*(H$18:H$23&gt;I$18:I$23))</f>
        <v>3</v>
      </c>
      <c r="AL21" s="418">
        <f t="array" ref="AL21">SUMIFS($H$18:$H$23,$F$18:$F$23,AF21,$H$18:$H$23,"&lt;&gt;",$I$18:$I$23,"&lt;&gt;")+SUMIFS($I$18:$I$23,$K$18:$K$23,AF21,$H$18:$H$23,"&lt;&gt;",$I$18:$I$23,"&lt;&gt;")</f>
        <v>1</v>
      </c>
      <c r="AM21" s="418">
        <f t="array" ref="AM21">SUMIFS($H$18:$H$23,$K$18:$K$23,AF21,$H$18:$H$23,"&lt;&gt;",$I$18:$I$23,"&lt;&gt;")+SUMIFS($I$18:$I$23,$F$18:$F$23,AF21,$H$18:$H$23,"&lt;&gt;",$I$18:$I$23,"&lt;&gt;")</f>
        <v>5</v>
      </c>
      <c r="AN21" s="418">
        <f>AL21-AM21</f>
        <v>-4</v>
      </c>
      <c r="AO21" s="418">
        <f>IF(AH21=0,-($AT$13*VLOOKUP(AF21,Tabla3[[ZfP4b()8G6b·$55Ma-t·%fv-ttyZxR-.R*+Fd]:[N!"kvfjM.%&amp;gk5kfmfvv)/%;V$&amp;VW]],2,FALSE)),AG21*$AT$7+AN21*$AT$8+AL21*$AT$9+AX21-($AT$13*VLOOKUP(AF21,Tabla3[[ZfP4b()8G6b·$55Ma-t·%fv-ttyZxR-.R*+Fd]:[N!"kvfjM.%&amp;gk5kfmfvv)/%;V$&amp;VW]],2,FALSE)/100))</f>
        <v>-39889000.020000003</v>
      </c>
      <c r="AP21" s="435">
        <f>AE21</f>
        <v>4</v>
      </c>
      <c r="AQ21" s="14"/>
      <c r="AR21" s="14">
        <f t="shared" ref="AR21:AR23" si="44">IFERROR(AO21-VLOOKUP(AF21,$Y$20:$Z$23,2,0),AO21)</f>
        <v>-39889000.020000003</v>
      </c>
      <c r="AS21" s="14"/>
      <c r="AT21" s="14"/>
      <c r="AU21" s="14"/>
      <c r="AV21" s="438" t="str">
        <f>AF21</f>
        <v>Australia</v>
      </c>
      <c r="AW21" s="418">
        <f>COUNTIF(AG20:AG23,AG21)</f>
        <v>1</v>
      </c>
      <c r="AX21" s="439">
        <f>(AY21*$AT$12)+(BE21*$AT$11)</f>
        <v>11000</v>
      </c>
      <c r="AY21" s="440">
        <f>RANK(AZ21,AZ20:AZ23,1)</f>
        <v>1</v>
      </c>
      <c r="AZ21" s="440">
        <f>SUM(IF(AND(AG21=AG22,AN21=AN22,AL21=AL22),BC21,0),IF(AND(AG21=AG23,AN21=AN23,AL21=AL23),BD21,0),IF(AND(AG21=AG20,AN21=AN20,AL21=AL20),BA21,0))</f>
        <v>0</v>
      </c>
      <c r="BA21" s="441">
        <f>I18</f>
        <v>0</v>
      </c>
      <c r="BB21" s="442">
        <v>0</v>
      </c>
      <c r="BC21" s="442">
        <f>H23</f>
        <v>0</v>
      </c>
      <c r="BD21" s="443">
        <f>I21</f>
        <v>1</v>
      </c>
      <c r="BE21" s="440">
        <f>RANK(BF21,BF20:BF23,1)</f>
        <v>1</v>
      </c>
      <c r="BF21" s="440">
        <f>SUM(IF(AND(AG21=AG22,AN21=AN22,AL21=AL22),BI21,0),IF(AND(AG21=AG23,AN21=AN23,AL21=AL23),BJ21,0),IF(AND(AG21=AG20,AN21=AN20,AL21=AL20),BG21,0))</f>
        <v>0</v>
      </c>
      <c r="BG21" s="441">
        <f>BA21-BB20</f>
        <v>-2</v>
      </c>
      <c r="BH21" s="442">
        <v>0</v>
      </c>
      <c r="BI21" s="442">
        <f>BC21-BB22</f>
        <v>-1</v>
      </c>
      <c r="BJ21" s="443">
        <f>BD21-BB23</f>
        <v>-1</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-39889000.020000003</v>
      </c>
      <c r="BO21" s="412" t="str">
        <f t="shared" ref="BO21:BO23" si="46">VLOOKUP(N21,$AE$20:$AF$23,2,0)</f>
        <v>Dinamarca</v>
      </c>
      <c r="BP21" s="412">
        <f t="shared" ref="BP21:BP23" si="47">VLOOKUP($BO21,$AF$20:$AO$23,10,FALSE)</f>
        <v>4000410999.96</v>
      </c>
      <c r="BQ21" s="410"/>
      <c r="BR21" s="412">
        <v>2</v>
      </c>
      <c r="BS21" s="412" t="str">
        <f t="shared" ref="BS21:BS23" si="48">VLOOKUP(BR21,$AD$20:$AF$23,3,0)</f>
        <v>Dinamarca</v>
      </c>
      <c r="BT21" s="412">
        <f t="shared" ref="BT21:BT23" si="49">VLOOKUP(BS21,$AF$20:$AO$23,2,FALSE)</f>
        <v>4</v>
      </c>
      <c r="BU21" s="444">
        <f t="shared" ref="BU21:BU23" si="50">IF(SUM($AH$20:$AH$23)=12,MIN(ABS(BP20-BP21),ABS(BP21-BP22)),100)</f>
        <v>10099999.990000248</v>
      </c>
      <c r="BV21" s="412">
        <f t="array" ref="BV21">VLOOKUP(BS21,$AF$20:$AO$23,9,FALSE)</f>
        <v>0</v>
      </c>
      <c r="BW21" s="412">
        <f t="shared" ref="BW21:BW23" si="51">VLOOKUP(BS21,$AF$20:$AO$23,7,FALSE)</f>
        <v>4</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0</v>
      </c>
      <c r="CH21" s="418">
        <f t="array" ref="CH21">IF(AND($BT$21&lt;&gt;$BT$20,$BT$21&lt;&gt;$BT$22),1,0)</f>
        <v>0</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x14ac:dyDescent="0.25">
      <c r="A22" s="74"/>
      <c r="B22" s="549"/>
      <c r="C22" s="280">
        <v>43277</v>
      </c>
      <c r="D22" s="281">
        <v>0.66666666666666663</v>
      </c>
      <c r="E22" s="282" t="s">
        <v>206</v>
      </c>
      <c r="F22" s="347" t="s">
        <v>168</v>
      </c>
      <c r="G22" s="225"/>
      <c r="H22" s="481">
        <v>1</v>
      </c>
      <c r="I22" s="481">
        <v>2</v>
      </c>
      <c r="J22" s="225"/>
      <c r="K22" s="371" t="s">
        <v>151</v>
      </c>
      <c r="L22" s="149">
        <f t="shared" si="1"/>
        <v>1</v>
      </c>
      <c r="M22" s="79"/>
      <c r="N22" s="40">
        <v>3</v>
      </c>
      <c r="O22" s="38" t="str">
        <f>VLOOKUP(N22,$AD$20:$AF$23,3,0)</f>
        <v>Perú</v>
      </c>
      <c r="P22" s="39">
        <f>VLOOKUP(O22,AF20:AO23,2,FALSE)</f>
        <v>4</v>
      </c>
      <c r="Q22" s="37">
        <f>VLOOKUP(O22,AF20:AO23,3,FALSE)</f>
        <v>3</v>
      </c>
      <c r="R22" s="37">
        <f>VLOOKUP(O22,AF20:AO23,4,FALSE)</f>
        <v>1</v>
      </c>
      <c r="S22" s="37">
        <f>VLOOKUP(O22,AF20:AO23,5,FALSE)</f>
        <v>1</v>
      </c>
      <c r="T22" s="37">
        <f>VLOOKUP(O22,AF20:AO23,6,FALSE)</f>
        <v>1</v>
      </c>
      <c r="U22" s="37">
        <f>VLOOKUP(O22,AF20:AO23,7,FALSE)</f>
        <v>3</v>
      </c>
      <c r="V22" s="37">
        <f>VLOOKUP(O22,AF20:AO23,8,FALSE)</f>
        <v>4</v>
      </c>
      <c r="W22" s="45">
        <f>VLOOKUP(O22,AF20:AO23,9,FALSE)</f>
        <v>-1</v>
      </c>
      <c r="X22" s="28">
        <f t="shared" si="39"/>
        <v>10099999.990000248</v>
      </c>
      <c r="Y22" s="402" t="str">
        <f t="shared" si="40"/>
        <v/>
      </c>
      <c r="Z22" s="406"/>
      <c r="AA22" s="29"/>
      <c r="AB22" s="29"/>
      <c r="AC22" s="413">
        <f t="shared" si="41"/>
        <v>3990310999.9699998</v>
      </c>
      <c r="AD22" s="14">
        <f t="shared" si="42"/>
        <v>3</v>
      </c>
      <c r="AE22" s="434">
        <f>RANK(AO22,$AO$20:$AO$23)</f>
        <v>3</v>
      </c>
      <c r="AF22" s="412" t="s">
        <v>161</v>
      </c>
      <c r="AG22" s="418">
        <f>AI22*3+AJ22*1+AK22*0</f>
        <v>4</v>
      </c>
      <c r="AH22" s="418">
        <f t="shared" si="43"/>
        <v>3</v>
      </c>
      <c r="AI22" s="418">
        <f t="array" ref="AI22">SUM((F$18:F$23=AF22)*(H$18:H$23&lt;&gt;"")*(I$18:I$23&lt;&gt;"")*(H$18:H$23&gt;I$18:I$23),(K$18:K$23=AF22)*(H$18:H$23&lt;&gt;"")*(I$18:I$23&lt;&gt;"")*(H$18:H$23&lt;I$18:I$23))</f>
        <v>1</v>
      </c>
      <c r="AJ22" s="418">
        <f t="array" ref="AJ22">SUM((F$18:F$23=AF22)*(H$18:H$23&lt;&gt;"")*(I$18:I$23&lt;&gt;"")*(H$18:H$23=I$18:I$23),(K$18:K$23=AF22)*(H$18:H$23&lt;&gt;"")*(I$18:I$23&lt;&gt;"")*(H$18:H$23=I$18:I$23))</f>
        <v>1</v>
      </c>
      <c r="AK22" s="418">
        <f t="array" ref="AK22">SUM((F$18:F$23=AF22)*(I$18:I$23&lt;&gt;"")*(H$18:H$23&lt;&gt;"")*(H$18:H$23&lt;I$18:I$23),(H$18:H$23&lt;&gt;"")*(K$18:K$23=AF22)*(I$18:I$23&lt;&gt;"")*(H$18:H$23&gt;I$18:I$23))</f>
        <v>1</v>
      </c>
      <c r="AL22" s="418">
        <f t="array" ref="AL22">SUMIFS($H$18:$H$23,$F$18:$F$23,AF22,$H$18:$H$23,"&lt;&gt;",$I$18:$I$23,"&lt;&gt;")+SUMIFS($I$18:$I$23,$K$18:$K$23,AF22,$H$18:$H$23,"&lt;&gt;",$I$18:$I$23,"&lt;&gt;")</f>
        <v>3</v>
      </c>
      <c r="AM22" s="418">
        <f t="array" ref="AM22">SUMIFS($H$18:$H$23,$K$18:$K$23,AF22,$H$18:$H$23,"&lt;&gt;",$I$18:$I$23,"&lt;&gt;")+SUMIFS($I$18:$I$23,$F$18:$F$23,AF22,$H$18:$H$23,"&lt;&gt;",$I$18:$I$23,"&lt;&gt;")</f>
        <v>4</v>
      </c>
      <c r="AN22" s="418">
        <f>AL22-AM22</f>
        <v>-1</v>
      </c>
      <c r="AO22" s="418">
        <f>IF(AH22=0,-($AT$13*VLOOKUP(AF22,Tabla3[[ZfP4b()8G6b·$55Ma-t·%fv-ttyZxR-.R*+Fd]:[N!"kvfjM.%&amp;gk5kfmfvv)/%;V$&amp;VW]],2,FALSE)),AG22*$AT$7+AN22*$AT$8+AL22*$AT$9+AX22-($AT$13*VLOOKUP(AF22,Tabla3[[ZfP4b()8G6b·$55Ma-t·%fv-ttyZxR-.R*+Fd]:[N!"kvfjM.%&amp;gk5kfmfvv)/%;V$&amp;VW]],2,FALSE)/100))</f>
        <v>3990310999.9699998</v>
      </c>
      <c r="AP22" s="435">
        <f>AE22</f>
        <v>3</v>
      </c>
      <c r="AQ22" s="14"/>
      <c r="AR22" s="14">
        <f t="shared" si="44"/>
        <v>3990310999.9699998</v>
      </c>
      <c r="AS22" s="14"/>
      <c r="AT22" s="14"/>
      <c r="AU22" s="14"/>
      <c r="AV22" s="438" t="str">
        <f>AF22</f>
        <v>Perú</v>
      </c>
      <c r="AW22" s="418">
        <f>COUNTIF(AG20:AG23,AG22)</f>
        <v>2</v>
      </c>
      <c r="AX22" s="439">
        <f>(AY22*$AT$12)+(BE22*$AT$11)</f>
        <v>11000</v>
      </c>
      <c r="AY22" s="440">
        <f>RANK(AZ22,AZ20:AZ23,1)</f>
        <v>1</v>
      </c>
      <c r="AZ22" s="440">
        <f>SUM(IF(AND(AG22=AG23,AN22=AN23,AL22=AL23),BD22,0),IF(AND(AG22=AG20,AN22=AN20,AL22=AL20),BA22,0),IF(AND(AG22=AG21,AN22=AN21,AL22=AL21),BB22,0))</f>
        <v>0</v>
      </c>
      <c r="BA22" s="441">
        <f>I20</f>
        <v>1</v>
      </c>
      <c r="BB22" s="442">
        <f>I23</f>
        <v>1</v>
      </c>
      <c r="BC22" s="442">
        <v>0</v>
      </c>
      <c r="BD22" s="443">
        <f>H19</f>
        <v>1</v>
      </c>
      <c r="BE22" s="440">
        <f>RANK(BF22,BF20:BF23,1)</f>
        <v>1</v>
      </c>
      <c r="BF22" s="440">
        <f>SUM(IF(AND(AG22=AG23,AN22=AN23,AL22=AL23),BJ22,0),IF(AND(AG22=AG20,AN22=AN20,AL22=AL20),BG22,0),IF(AND(AG22=AG21,AN22=AN21,AL22=AL21),BH22,0))</f>
        <v>0</v>
      </c>
      <c r="BG22" s="441">
        <f>BA22-BC20</f>
        <v>-2</v>
      </c>
      <c r="BH22" s="442">
        <f>BB22-BC21</f>
        <v>1</v>
      </c>
      <c r="BI22" s="442">
        <v>0</v>
      </c>
      <c r="BJ22" s="443">
        <f>BD22-BC23</f>
        <v>0</v>
      </c>
      <c r="BK22" s="410"/>
      <c r="BL22" s="412">
        <f t="shared" si="45"/>
        <v>3</v>
      </c>
      <c r="BM22" s="412" t="s">
        <v>161</v>
      </c>
      <c r="BN22" s="412">
        <f>IF(AH22=0,-($AT$13*VLOOKUP(AF22,Tabla3[[ZfP4b()8G6b·$55Ma-t·%fv-ttyZxR-.R*+Fd]:[N!"kvfjM.%&amp;gk5kfmfvv)/%;V$&amp;VW]],2,FALSE)),AG22*$AT$7+AN22*$AT$8+AL22*$AT$9+AX22-($AT$13*VLOOKUP(AF22,Tabla3[[ZfP4b()8G6b·$55Ma-t·%fv-ttyZxR-.R*+Fd]:[N!"kvfjM.%&amp;gk5kfmfvv)/%;V$&amp;VW]],2,FALSE)/100))</f>
        <v>3990310999.9699998</v>
      </c>
      <c r="BO22" s="412" t="str">
        <f t="shared" si="46"/>
        <v>Perú</v>
      </c>
      <c r="BP22" s="412">
        <f t="shared" si="47"/>
        <v>3990310999.9699998</v>
      </c>
      <c r="BQ22" s="410"/>
      <c r="BR22" s="412">
        <v>3</v>
      </c>
      <c r="BS22" s="412" t="str">
        <f t="shared" si="48"/>
        <v>Perú</v>
      </c>
      <c r="BT22" s="412">
        <f t="shared" si="49"/>
        <v>4</v>
      </c>
      <c r="BU22" s="444">
        <f t="shared" si="50"/>
        <v>10099999.990000248</v>
      </c>
      <c r="BV22" s="412">
        <f t="array" ref="BV22">VLOOKUP(BS22,$AF$20:$AO$23,9,FALSE)</f>
        <v>-1</v>
      </c>
      <c r="BW22" s="412">
        <f t="shared" si="51"/>
        <v>3</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0</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0</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75" thickBot="1" x14ac:dyDescent="0.3">
      <c r="A23" s="74"/>
      <c r="B23" s="550"/>
      <c r="C23" s="283">
        <v>43277</v>
      </c>
      <c r="D23" s="284">
        <v>0.66666666666666663</v>
      </c>
      <c r="E23" s="285" t="s">
        <v>207</v>
      </c>
      <c r="F23" s="348" t="s">
        <v>173</v>
      </c>
      <c r="G23" s="226"/>
      <c r="H23" s="481">
        <v>0</v>
      </c>
      <c r="I23" s="481">
        <v>1</v>
      </c>
      <c r="J23" s="226"/>
      <c r="K23" s="372" t="s">
        <v>161</v>
      </c>
      <c r="L23" s="149">
        <f t="shared" si="1"/>
        <v>1</v>
      </c>
      <c r="M23" s="79"/>
      <c r="N23" s="41">
        <v>4</v>
      </c>
      <c r="O23" s="42" t="str">
        <f>VLOOKUP(N23,$AD$20:$AF$23,3,0)</f>
        <v>Australia</v>
      </c>
      <c r="P23" s="43">
        <f>VLOOKUP(O23,AF20:AO23,2,FALSE)</f>
        <v>0</v>
      </c>
      <c r="Q23" s="44">
        <f>VLOOKUP(O23,AF20:AO23,3,FALSE)</f>
        <v>3</v>
      </c>
      <c r="R23" s="44">
        <f>VLOOKUP(O23,AF20:AO23,4,FALSE)</f>
        <v>0</v>
      </c>
      <c r="S23" s="44">
        <f>VLOOKUP(O23,AF20:AO23,5,FALSE)</f>
        <v>0</v>
      </c>
      <c r="T23" s="44">
        <f>VLOOKUP(O23,AF20:AO23,6,FALSE)</f>
        <v>3</v>
      </c>
      <c r="U23" s="44">
        <f>VLOOKUP(O23,AF20:AO23,7,FALSE)</f>
        <v>1</v>
      </c>
      <c r="V23" s="44">
        <f>VLOOKUP(O23,AF20:AO23,8,FALSE)</f>
        <v>5</v>
      </c>
      <c r="W23" s="46">
        <f>VLOOKUP(O23,AF20:AO23,9,FALSE)</f>
        <v>-4</v>
      </c>
      <c r="X23" s="28">
        <f t="shared" si="39"/>
        <v>39889000.020000003</v>
      </c>
      <c r="Y23" s="402" t="str">
        <f t="shared" si="40"/>
        <v/>
      </c>
      <c r="Z23" s="406"/>
      <c r="AA23" s="29"/>
      <c r="AB23" s="29"/>
      <c r="AC23" s="413">
        <f t="shared" si="41"/>
        <v>-39889000.020000003</v>
      </c>
      <c r="AD23" s="14">
        <f t="shared" si="42"/>
        <v>2</v>
      </c>
      <c r="AE23" s="445">
        <f>RANK(AO23,$AO$20:$AO$23)</f>
        <v>2</v>
      </c>
      <c r="AF23" s="446" t="s">
        <v>168</v>
      </c>
      <c r="AG23" s="447">
        <f>AI23*3+AJ23*1+AK23*0</f>
        <v>4</v>
      </c>
      <c r="AH23" s="447">
        <f t="shared" si="43"/>
        <v>3</v>
      </c>
      <c r="AI23" s="447">
        <f t="array" ref="AI23">SUM((F$18:F$23=AF23)*(H$18:H$23&lt;&gt;"")*(I$18:I$23&lt;&gt;"")*(H$18:H$23&gt;I$18:I$23),(K$18:K$23=AF23)*(H$18:H$23&lt;&gt;"")*(I$18:I$23&lt;&gt;"")*(H$18:H$23&lt;I$18:I$23))</f>
        <v>1</v>
      </c>
      <c r="AJ23" s="447">
        <f t="array" ref="AJ23">SUM((F$18:F$23=AF23)*(H$18:H$23&lt;&gt;"")*(I$18:I$23&lt;&gt;"")*(H$18:H$23=I$18:I$23),(K$18:K$23=AF23)*(H$18:H$23&lt;&gt;"")*(I$18:I$23&lt;&gt;"")*(H$18:H$23=I$18:I$23))</f>
        <v>1</v>
      </c>
      <c r="AK23" s="447">
        <f t="array" ref="AK23">SUM((F$18:F$23=AF23)*(I$18:I$23&lt;&gt;"")*(H$18:H$23&lt;&gt;"")*(H$18:H$23&lt;I$18:I$23),(H$18:H$23&lt;&gt;"")*(K$18:K$23=AF23)*(I$18:I$23&lt;&gt;"")*(H$18:H$23&gt;I$18:I$23))</f>
        <v>1</v>
      </c>
      <c r="AL23" s="448">
        <f t="array" ref="AL23">SUMIFS($H$18:$H$23,$F$18:$F$23,AF23,$H$18:$H$23,"&lt;&gt;",$I$18:$I$23,"&lt;&gt;")+SUMIFS($I$18:$I$23,$K$18:$K$23,AF23,$H$18:$H$23,"&lt;&gt;",$I$18:$I$23,"&lt;&gt;")</f>
        <v>4</v>
      </c>
      <c r="AM23" s="448">
        <f t="array" ref="AM23">SUMIFS($H$18:$H$23,$K$18:$K$23,AF23,$H$18:$H$23,"&lt;&gt;",$I$18:$I$23,"&lt;&gt;")+SUMIFS($I$18:$I$23,$F$18:$F$23,AF23,$H$18:$H$23,"&lt;&gt;",$I$18:$I$23,"&lt;&gt;")</f>
        <v>4</v>
      </c>
      <c r="AN23" s="447">
        <f>AL23-AM23</f>
        <v>0</v>
      </c>
      <c r="AO23" s="447">
        <f>IF(AH23=0,-($AT$13*VLOOKUP(AF23,Tabla3[[ZfP4b()8G6b·$55Ma-t·%fv-ttyZxR-.R*+Fd]:[N!"kvfjM.%&amp;gk5kfmfvv)/%;V$&amp;VW]],2,FALSE)),AG23*$AT$7+AN23*$AT$8+AL23*$AT$9+AX23-($AT$13*VLOOKUP(AF23,Tabla3[[ZfP4b()8G6b·$55Ma-t·%fv-ttyZxR-.R*+Fd]:[N!"kvfjM.%&amp;gk5kfmfvv)/%;V$&amp;VW]],2,FALSE)/100))</f>
        <v>4000410999.96</v>
      </c>
      <c r="AP23" s="449">
        <f>AE23</f>
        <v>2</v>
      </c>
      <c r="AQ23" s="14"/>
      <c r="AR23" s="14">
        <f t="shared" si="44"/>
        <v>4000410999.96</v>
      </c>
      <c r="AS23" s="14"/>
      <c r="AT23" s="14"/>
      <c r="AU23" s="14"/>
      <c r="AV23" s="450" t="str">
        <f>AF23</f>
        <v>Dinamarca</v>
      </c>
      <c r="AW23" s="451">
        <f>COUNTIF(AG20:AG23,AG23)</f>
        <v>2</v>
      </c>
      <c r="AX23" s="452">
        <f>(AY23*$AT$12)+(BE23*$AT$11)</f>
        <v>11000</v>
      </c>
      <c r="AY23" s="453">
        <f>RANK(AZ23,AZ20:AZ23,1)</f>
        <v>1</v>
      </c>
      <c r="AZ23" s="453">
        <f>SUM(IF(AND(AG23=AG20,AN23=AN20,AL23=AL20),BA23,0),IF(AND(AG23=AG21,AN23=AN21,AL23=AL21),BB23,0),IF(AND(AG23=AG22,AN23=AN22,AL23=AL22),BC23,0))</f>
        <v>0</v>
      </c>
      <c r="BA23" s="454">
        <f>H22</f>
        <v>1</v>
      </c>
      <c r="BB23" s="455">
        <f>H21</f>
        <v>2</v>
      </c>
      <c r="BC23" s="455">
        <f>I19</f>
        <v>1</v>
      </c>
      <c r="BD23" s="456">
        <v>0</v>
      </c>
      <c r="BE23" s="453">
        <f>RANK(BF23,BF20:BF23,1)</f>
        <v>1</v>
      </c>
      <c r="BF23" s="453">
        <f>SUM(IF(AND(AG23=AG20,AN23=AN20,AL23=AL20),BG23,0),IF(AND(AG23=AG21,AN23=AN21,AL23=AL21),BH23,0),IF(AND(AG23=AG22,AN23=AN22,AL23=AL22),BI23,0))</f>
        <v>0</v>
      </c>
      <c r="BG23" s="454">
        <f>BA23-BD20</f>
        <v>-1</v>
      </c>
      <c r="BH23" s="455">
        <f>BB23-BD21</f>
        <v>1</v>
      </c>
      <c r="BI23" s="455">
        <f>BC23-BD22</f>
        <v>0</v>
      </c>
      <c r="BJ23" s="456">
        <v>0</v>
      </c>
      <c r="BK23" s="410"/>
      <c r="BL23" s="412">
        <f t="shared" si="45"/>
        <v>2</v>
      </c>
      <c r="BM23" s="412" t="s">
        <v>168</v>
      </c>
      <c r="BN23" s="412">
        <f>IF(AH23=0,-($AT$13*VLOOKUP(AF23,Tabla3[[ZfP4b()8G6b·$55Ma-t·%fv-ttyZxR-.R*+Fd]:[N!"kvfjM.%&amp;gk5kfmfvv)/%;V$&amp;VW]],2,FALSE)),AG23*$AT$7+AN23*$AT$8+AL23*$AT$9+AX23-($AT$13*VLOOKUP(AF23,Tabla3[[ZfP4b()8G6b·$55Ma-t·%fv-ttyZxR-.R*+Fd]:[N!"kvfjM.%&amp;gk5kfmfvv)/%;V$&amp;VW]],2,FALSE)/100))</f>
        <v>4000410999.96</v>
      </c>
      <c r="BO23" s="412" t="str">
        <f t="shared" si="46"/>
        <v>Australia</v>
      </c>
      <c r="BP23" s="412">
        <f t="shared" si="47"/>
        <v>-39889000.020000003</v>
      </c>
      <c r="BQ23" s="410"/>
      <c r="BR23" s="412">
        <v>4</v>
      </c>
      <c r="BS23" s="412" t="str">
        <f t="shared" si="48"/>
        <v>Australia</v>
      </c>
      <c r="BT23" s="412">
        <f t="shared" si="49"/>
        <v>0</v>
      </c>
      <c r="BU23" s="444">
        <f t="shared" si="50"/>
        <v>39889000.020000003</v>
      </c>
      <c r="BV23" s="412">
        <f t="array" ref="BV23">VLOOKUP(BS23,$AF$20:$AO$23,9,FALSE)</f>
        <v>-4</v>
      </c>
      <c r="BW23" s="412">
        <f t="shared" si="51"/>
        <v>1</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1</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x14ac:dyDescent="0.3">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x14ac:dyDescent="0.3">
      <c r="A25" s="74"/>
      <c r="B25" s="551" t="s">
        <v>3</v>
      </c>
      <c r="C25" s="286">
        <v>43267</v>
      </c>
      <c r="D25" s="287">
        <v>0.625</v>
      </c>
      <c r="E25" s="288" t="s">
        <v>209</v>
      </c>
      <c r="F25" s="349" t="s">
        <v>153</v>
      </c>
      <c r="G25" s="248"/>
      <c r="H25" s="482">
        <v>1</v>
      </c>
      <c r="I25" s="482">
        <v>0</v>
      </c>
      <c r="J25" s="227"/>
      <c r="K25" s="373" t="s">
        <v>20</v>
      </c>
      <c r="L25" s="149">
        <f t="shared" si="1"/>
        <v>1</v>
      </c>
      <c r="M25" s="79"/>
      <c r="N25" s="172" t="s">
        <v>30</v>
      </c>
      <c r="O25" s="173"/>
      <c r="P25" s="173"/>
      <c r="Q25" s="173"/>
      <c r="R25" s="173"/>
      <c r="S25" s="173"/>
      <c r="T25" s="173"/>
      <c r="U25" s="173"/>
      <c r="V25" s="173"/>
      <c r="W25" s="174"/>
      <c r="X25" s="28"/>
      <c r="Y25" s="509" t="s">
        <v>218</v>
      </c>
      <c r="Z25" s="509"/>
      <c r="AA25" s="509"/>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65" t="s">
        <v>49</v>
      </c>
      <c r="AZ25" s="566"/>
      <c r="BA25" s="566"/>
      <c r="BB25" s="566"/>
      <c r="BC25" s="566"/>
      <c r="BD25" s="567"/>
      <c r="BE25" s="565" t="s">
        <v>48</v>
      </c>
      <c r="BF25" s="566"/>
      <c r="BG25" s="566"/>
      <c r="BH25" s="566"/>
      <c r="BI25" s="566"/>
      <c r="BJ25" s="567"/>
      <c r="BK25" s="410"/>
      <c r="BL25" s="410"/>
      <c r="BM25" s="410"/>
      <c r="BN25" s="410"/>
      <c r="BO25" s="410"/>
      <c r="BP25" s="410"/>
      <c r="BQ25" s="410"/>
      <c r="BR25" s="410"/>
      <c r="BS25" s="410"/>
      <c r="BT25" s="410"/>
      <c r="BU25" s="468"/>
      <c r="BV25" s="410"/>
      <c r="BW25" s="410"/>
      <c r="BX25" s="410"/>
      <c r="BY25" s="14"/>
      <c r="BZ25" s="14" t="s">
        <v>216</v>
      </c>
      <c r="CA25" s="418">
        <f>SUM(CA27:CA30)</f>
        <v>0</v>
      </c>
      <c r="CB25" s="418">
        <f t="shared" ref="CB25:CX25" si="52">SUM(CB27:CB30)</f>
        <v>0</v>
      </c>
      <c r="CC25" s="418">
        <f t="shared" si="52"/>
        <v>0</v>
      </c>
      <c r="CD25" s="418">
        <f t="shared" si="52"/>
        <v>2</v>
      </c>
      <c r="CE25" s="418">
        <f t="shared" si="52"/>
        <v>0</v>
      </c>
      <c r="CF25" s="418">
        <f t="shared" si="52"/>
        <v>2</v>
      </c>
      <c r="CG25" s="418">
        <f t="shared" si="52"/>
        <v>2</v>
      </c>
      <c r="CH25" s="418">
        <f t="shared" si="52"/>
        <v>4</v>
      </c>
      <c r="CI25" s="418">
        <f t="shared" si="52"/>
        <v>0</v>
      </c>
      <c r="CJ25" s="418">
        <f t="shared" si="52"/>
        <v>0</v>
      </c>
      <c r="CK25" s="418">
        <f t="shared" si="52"/>
        <v>0</v>
      </c>
      <c r="CL25" s="418">
        <f t="shared" si="52"/>
        <v>1</v>
      </c>
      <c r="CM25" s="418">
        <f t="shared" si="52"/>
        <v>1</v>
      </c>
      <c r="CN25" s="418">
        <f t="shared" si="52"/>
        <v>1</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x14ac:dyDescent="0.25">
      <c r="A26" s="74"/>
      <c r="B26" s="552"/>
      <c r="C26" s="289">
        <v>43267</v>
      </c>
      <c r="D26" s="290">
        <v>0.875</v>
      </c>
      <c r="E26" s="291" t="s">
        <v>208</v>
      </c>
      <c r="F26" s="350" t="s">
        <v>157</v>
      </c>
      <c r="G26" s="249"/>
      <c r="H26" s="482">
        <v>2</v>
      </c>
      <c r="I26" s="482">
        <v>1</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09"/>
      <c r="Z26" s="509"/>
      <c r="AA26" s="509"/>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184</v>
      </c>
      <c r="BN26" s="432"/>
      <c r="BO26" s="432" t="s">
        <v>185</v>
      </c>
      <c r="BP26" s="432"/>
      <c r="BQ26" s="410"/>
      <c r="BR26" s="433"/>
      <c r="BS26" s="433" t="s">
        <v>6</v>
      </c>
      <c r="BT26" s="433" t="s">
        <v>17</v>
      </c>
      <c r="BU26" s="469" t="s">
        <v>204</v>
      </c>
      <c r="BV26" s="433" t="s">
        <v>14</v>
      </c>
      <c r="BW26" s="433" t="s">
        <v>205</v>
      </c>
      <c r="BX26" s="410"/>
      <c r="BY26" s="14"/>
      <c r="BZ26" s="14" t="s">
        <v>217</v>
      </c>
      <c r="CA26" s="418" t="s">
        <v>188</v>
      </c>
      <c r="CB26" s="418" t="s">
        <v>197</v>
      </c>
      <c r="CC26" s="418" t="s">
        <v>198</v>
      </c>
      <c r="CD26" s="418" t="s">
        <v>199</v>
      </c>
      <c r="CE26" s="418" t="s">
        <v>200</v>
      </c>
      <c r="CF26" s="418" t="s">
        <v>201</v>
      </c>
      <c r="CG26" s="418" t="s">
        <v>202</v>
      </c>
      <c r="CH26" s="418" t="s">
        <v>203</v>
      </c>
      <c r="CI26" s="418" t="s">
        <v>198</v>
      </c>
      <c r="CJ26" s="418" t="s">
        <v>198</v>
      </c>
      <c r="CK26" s="418" t="s">
        <v>199</v>
      </c>
      <c r="CL26" s="418" t="s">
        <v>202</v>
      </c>
      <c r="CM26" s="418" t="s">
        <v>201</v>
      </c>
      <c r="CN26" s="418" t="s">
        <v>201</v>
      </c>
      <c r="CO26" s="418" t="s">
        <v>200</v>
      </c>
      <c r="CP26" s="418" t="s">
        <v>197</v>
      </c>
      <c r="CQ26" s="418" t="s">
        <v>202</v>
      </c>
      <c r="CR26" s="418" t="s">
        <v>201</v>
      </c>
      <c r="CS26" s="418" t="s">
        <v>199</v>
      </c>
      <c r="CT26" s="418" t="s">
        <v>202</v>
      </c>
      <c r="CU26" s="418" t="s">
        <v>199</v>
      </c>
      <c r="CV26" s="418" t="s">
        <v>201</v>
      </c>
      <c r="CW26" s="418"/>
      <c r="CX26" s="418"/>
      <c r="CY26" s="14"/>
      <c r="CZ26" s="14"/>
      <c r="DA26" s="14"/>
      <c r="DB26" s="14"/>
      <c r="DC26" s="14"/>
      <c r="DD26" s="14"/>
      <c r="DE26" s="14"/>
      <c r="DF26" s="14"/>
      <c r="DG26" s="14"/>
      <c r="DH26" s="14"/>
      <c r="DI26" s="14"/>
      <c r="DJ26" s="14"/>
      <c r="DK26" s="14"/>
      <c r="DL26" s="14"/>
      <c r="DM26" s="14"/>
      <c r="DN26" s="475"/>
    </row>
    <row r="27" spans="1:342 8834:8837" x14ac:dyDescent="0.25">
      <c r="A27" s="74"/>
      <c r="B27" s="552"/>
      <c r="C27" s="289">
        <v>43272</v>
      </c>
      <c r="D27" s="290">
        <v>0.83333333333333337</v>
      </c>
      <c r="E27" s="291" t="s">
        <v>210</v>
      </c>
      <c r="F27" s="350" t="s">
        <v>153</v>
      </c>
      <c r="G27" s="249"/>
      <c r="H27" s="482">
        <v>2</v>
      </c>
      <c r="I27" s="482">
        <v>1</v>
      </c>
      <c r="J27" s="228"/>
      <c r="K27" s="374" t="s">
        <v>157</v>
      </c>
      <c r="L27" s="149">
        <f t="shared" si="1"/>
        <v>1</v>
      </c>
      <c r="M27" s="79"/>
      <c r="N27" s="161">
        <v>1</v>
      </c>
      <c r="O27" s="162" t="str">
        <f>VLOOKUP(N27,$AD$27:$AF$30,3,0)</f>
        <v>Argentina</v>
      </c>
      <c r="P27" s="163">
        <f>VLOOKUP(O27,AF27:AO30,2,FALSE)</f>
        <v>9</v>
      </c>
      <c r="Q27" s="163">
        <f>VLOOKUP(O27,AF27:AO30,3,FALSE)</f>
        <v>3</v>
      </c>
      <c r="R27" s="163">
        <f>VLOOKUP(O27,AF27:AO30,4,FALSE)</f>
        <v>3</v>
      </c>
      <c r="S27" s="163">
        <f>VLOOKUP(O27,AF27:AO30,5,FALSE)</f>
        <v>0</v>
      </c>
      <c r="T27" s="163">
        <f>VLOOKUP(O27,AF27:AO30,6,FALSE)</f>
        <v>0</v>
      </c>
      <c r="U27" s="163">
        <f>VLOOKUP(O27,AF27:AO30,7,FALSE)</f>
        <v>5</v>
      </c>
      <c r="V27" s="163">
        <f>VLOOKUP(O27,AF27:AO30,8,FALSE)</f>
        <v>2</v>
      </c>
      <c r="W27" s="164">
        <f>VLOOKUP(O27,AF27:AO30,9,FALSE)</f>
        <v>3</v>
      </c>
      <c r="X27" s="28">
        <f>IF(SUM($AH$27:$AH$30)=12,MIN(ABS(BP26-BP27),ABS(BP27-BP28)),100)</f>
        <v>3020000000.0199995</v>
      </c>
      <c r="Y27" s="402" t="str">
        <f>IF(AND(X27&gt;=0,X27&lt;90),VLOOKUP(N27,$BL$27:$BM$30,2,0),"")</f>
        <v/>
      </c>
      <c r="Z27" s="406">
        <v>2</v>
      </c>
      <c r="AA27" s="29"/>
      <c r="AB27" s="29"/>
      <c r="AC27" s="413">
        <f>VLOOKUP(O27,$AF$27:$AO$30,10,FALSE)</f>
        <v>9030510999.9899998</v>
      </c>
      <c r="AD27" s="14">
        <f>RANK(AR27,$AR$27:$AR$30)</f>
        <v>1</v>
      </c>
      <c r="AE27" s="434">
        <f>RANK(AO27,$AO$27:$AO$30)</f>
        <v>1</v>
      </c>
      <c r="AF27" s="412" t="s">
        <v>153</v>
      </c>
      <c r="AG27" s="418">
        <f>AI27*3+AJ27*1+AK27*0</f>
        <v>9</v>
      </c>
      <c r="AH27" s="418">
        <f>COUNTIFS($F$25:$F$30,AF27,$H$25:$H$30,"&lt;&gt;",$I$25:$I$30,"&lt;&gt;")+COUNTIFS($K$25:$K$30,AF27,$I$25:$I$30,"&lt;&gt;",$H$25:$H$30,"&lt;&gt;")</f>
        <v>3</v>
      </c>
      <c r="AI27" s="418">
        <f t="array" ref="AI27">SUM((F$25:F$30=AF27)*(H$25:H$30&lt;&gt;"")*(I$25:I$30&lt;&gt;"")*(H$25:H$30&gt;I$25:I$30),(K$25:K$30=AF27)*(H$25:H$30&lt;&gt;"")*(I$25:I$30&lt;&gt;"")*(H$25:H$30&lt;I$25:I$30))</f>
        <v>3</v>
      </c>
      <c r="AJ27" s="418">
        <f t="array" ref="AJ27">SUM((F$25:F$30=AF27)*(H$25:H$30&lt;&gt;"")*(I$25:I$30&lt;&gt;"")*(H$25:H$30=I$25:I$30),(K$25:K$30=AF27)*(H$25:H$30&lt;&gt;"")*(I$25:I$30&lt;&gt;"")*(H$25:H$30=I$25:I$30))</f>
        <v>0</v>
      </c>
      <c r="AK27" s="418">
        <f t="array" ref="AK27">SUM((F$25:F$30=AF27)*(I$25:I$30&lt;&gt;"")*(H$25:H$30&lt;&gt;"")*(H$25:H$30&lt;I$25:I$30),(H$25:H$30&lt;&gt;"")*(K$25:K$30=AF27)*(I$25:I$30&lt;&gt;"")*(H$25:H$30&gt;I$25:I$30))</f>
        <v>0</v>
      </c>
      <c r="AL27" s="418">
        <f t="array" ref="AL27">SUMIFS($H$25:$H$30,$F$25:$F$30,AF27,$H$25:$H$30,"&lt;&gt;",$I$25:$I$30,"&lt;&gt;")+SUMIFS($I$25:$I$30,$K$25:$K$30,AF27,$H$25:$H$30,"&lt;&gt;",$I$25:$I$30,"&lt;&gt;")</f>
        <v>5</v>
      </c>
      <c r="AM27" s="418">
        <f t="array" ref="AM27">SUMIFS($H$25:$H$30,$K$25:$K$30,AF27,$H$25:$H$30,"&lt;&gt;",$I$25:$I$30,"&lt;&gt;")+SUMIFS($I$25:$I$30,$F$25:$F$30,AF27,$H$25:$H$30,"&lt;&gt;",$I$25:$I$30,"&lt;&gt;")</f>
        <v>2</v>
      </c>
      <c r="AN27" s="418">
        <f>AL27-AM27</f>
        <v>3</v>
      </c>
      <c r="AO27" s="418">
        <f>IF(AH27=0,-($AT$13*VLOOKUP(AF27,Tabla3[[ZfP4b()8G6b·$55Ma-t·%fv-ttyZxR-.R*+Fd]:[N!"kvfjM.%&amp;gk5kfmfvv)/%;V$&amp;VW]],2,FALSE)),AG27*$AT$7+AN27*$AT$8+AL27*$AT$9+AX27-($AT$13*VLOOKUP(AF27,Tabla3[[ZfP4b()8G6b·$55Ma-t·%fv-ttyZxR-.R*+Fd]:[N!"kvfjM.%&amp;gk5kfmfvv)/%;V$&amp;VW]],2,FALSE)/100))</f>
        <v>9030510999.9899998</v>
      </c>
      <c r="AP27" s="435">
        <f>AE27</f>
        <v>1</v>
      </c>
      <c r="AQ27" s="14"/>
      <c r="AR27" s="14">
        <f>IFERROR(AO27-VLOOKUP(AF27,$Y$27:$Z$30,2,0),AO27)</f>
        <v>9030510999.9899998</v>
      </c>
      <c r="AS27" s="14"/>
      <c r="AT27" s="14"/>
      <c r="AU27" s="14"/>
      <c r="AV27" s="438" t="str">
        <f>AF27</f>
        <v>Argentina</v>
      </c>
      <c r="AW27" s="418">
        <f>COUNTIF(AG27:AG30,AG27)</f>
        <v>1</v>
      </c>
      <c r="AX27" s="439">
        <f>(AY27*$AT$12)+(BE27*$AT$11)</f>
        <v>11000</v>
      </c>
      <c r="AY27" s="440">
        <f>RANK(AZ27,AZ27:AZ30,1)</f>
        <v>1</v>
      </c>
      <c r="AZ27" s="440">
        <f>SUM(IF(AND(AG27=AG28,AN27=AN28,AL27=AL28),BB27,0),IF(AND(AG27=AG29,AN27=AN29,AL27=AL29),BC27,0),IF(AND(AG27=AG30,AN27=AN30,AL27=AL30),BD27,0))</f>
        <v>0</v>
      </c>
      <c r="BA27" s="441">
        <v>0</v>
      </c>
      <c r="BB27" s="442">
        <f>H25</f>
        <v>1</v>
      </c>
      <c r="BC27" s="442">
        <f>H27</f>
        <v>2</v>
      </c>
      <c r="BD27" s="443">
        <f>I29</f>
        <v>2</v>
      </c>
      <c r="BE27" s="440">
        <f>RANK(BF27,BF27:BF30,1)</f>
        <v>1</v>
      </c>
      <c r="BF27" s="440">
        <f>SUM(IF(AND(AG27=AG28,AN27=AN28,AL27=AL28),BH27,0),IF(AND(AG27=AG29,AN27=AN29,AL27=AL29),BI27,0),IF(AND(AG27=AG30,AN27=AN30,AL27=AL30),BJ27,0))</f>
        <v>0</v>
      </c>
      <c r="BG27" s="441">
        <v>0</v>
      </c>
      <c r="BH27" s="442">
        <f>BB27-BA28</f>
        <v>1</v>
      </c>
      <c r="BI27" s="442">
        <f>BC27-BA29</f>
        <v>1</v>
      </c>
      <c r="BJ27" s="443">
        <f>BD27-BA30</f>
        <v>1</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9030510999.9899998</v>
      </c>
      <c r="BO27" s="412" t="str">
        <f>VLOOKUP(N27,$AE$27:$AF$30,2,0)</f>
        <v>Argentina</v>
      </c>
      <c r="BP27" s="412">
        <f>VLOOKUP($BO27,$AF$27:$AO$30,10,FALSE)</f>
        <v>9030510999.9899998</v>
      </c>
      <c r="BQ27" s="410"/>
      <c r="BR27" s="412">
        <v>1</v>
      </c>
      <c r="BS27" s="412" t="str">
        <f>VLOOKUP(BR27,$AD$27:$AF$30,3,0)</f>
        <v>Argentina</v>
      </c>
      <c r="BT27" s="412">
        <f>VLOOKUP(BS27,$AF$27:$AO$30,2,FALSE)</f>
        <v>9</v>
      </c>
      <c r="BU27" s="444">
        <f>IF(SUM($AH$27:$AH$30)=12,MIN(ABS(BP26-BP27),ABS(BP27-BP28)),100)</f>
        <v>3020000000.0199995</v>
      </c>
      <c r="BV27" s="412">
        <f>VLOOKUP(BS27,$AF$27:$AO$30,9,FALSE)</f>
        <v>3</v>
      </c>
      <c r="BW27" s="412">
        <f>VLOOKUP(BS27,$AF$27:$AO$30,7,FALSE)</f>
        <v>5</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1</v>
      </c>
      <c r="CG27" s="418">
        <f t="array" ref="CG27">IF(AND($BT$27&lt;&gt;$BT$28,$BT$27&lt;&gt;$BT$30),1,0)</f>
        <v>1</v>
      </c>
      <c r="CH27" s="418">
        <f t="array" ref="CH27">IF(AND($BT$27&lt;&gt;$BT$28,$BT$27&lt;&gt;$BT$30),1,0)</f>
        <v>1</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1</v>
      </c>
      <c r="CM27" s="418">
        <f t="array" ref="CM27">IF(AND($BT$27&lt;&gt;$BT$28,$BT$27&lt;&gt;$BT$29),1,0)</f>
        <v>1</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x14ac:dyDescent="0.25">
      <c r="A28" s="74"/>
      <c r="B28" s="552"/>
      <c r="C28" s="289">
        <v>43273</v>
      </c>
      <c r="D28" s="290">
        <v>0.70833333333333337</v>
      </c>
      <c r="E28" s="291" t="s">
        <v>220</v>
      </c>
      <c r="F28" s="350" t="s">
        <v>171</v>
      </c>
      <c r="G28" s="249"/>
      <c r="H28" s="482">
        <v>2</v>
      </c>
      <c r="I28" s="482">
        <v>0</v>
      </c>
      <c r="J28" s="228"/>
      <c r="K28" s="374" t="s">
        <v>20</v>
      </c>
      <c r="L28" s="149">
        <f t="shared" si="1"/>
        <v>1</v>
      </c>
      <c r="M28" s="79"/>
      <c r="N28" s="48">
        <v>2</v>
      </c>
      <c r="O28" s="47" t="str">
        <f>VLOOKUP(N28,$AD$27:$AF$30,3,0)</f>
        <v>Croacia</v>
      </c>
      <c r="P28" s="39">
        <f>VLOOKUP(O28,AF27:AO30,2,FALSE)</f>
        <v>6</v>
      </c>
      <c r="Q28" s="39">
        <f>VLOOKUP(O28,AF27:AO30,3,FALSE)</f>
        <v>3</v>
      </c>
      <c r="R28" s="39">
        <f>VLOOKUP(O28,AF27:AO30,4,FALSE)</f>
        <v>2</v>
      </c>
      <c r="S28" s="39">
        <f>VLOOKUP(O28,AF27:AO30,5,FALSE)</f>
        <v>0</v>
      </c>
      <c r="T28" s="39">
        <f>VLOOKUP(O28,AF27:AO30,6,FALSE)</f>
        <v>1</v>
      </c>
      <c r="U28" s="39">
        <f>VLOOKUP(O28,AF27:AO30,7,FALSE)</f>
        <v>5</v>
      </c>
      <c r="V28" s="39">
        <f>VLOOKUP(O28,AF27:AO30,8,FALSE)</f>
        <v>4</v>
      </c>
      <c r="W28" s="49">
        <f>VLOOKUP(O28,AF27:AO30,9,FALSE)</f>
        <v>1</v>
      </c>
      <c r="X28" s="28">
        <f t="shared" ref="X28:X30" si="56">IF(SUM($AH$27:$AH$30)=12,MIN(ABS(BP27-BP28),ABS(BP28-BP29)),100)</f>
        <v>3010100000.0100002</v>
      </c>
      <c r="Y28" s="402" t="str">
        <f t="shared" ref="Y28:Y30" si="57">IF(AND(X28&gt;=0,X28&lt;90),VLOOKUP(N28,$BL$27:$BM$30,2,0),"")</f>
        <v/>
      </c>
      <c r="Z28" s="406">
        <v>3</v>
      </c>
      <c r="AA28" s="29"/>
      <c r="AB28" s="29"/>
      <c r="AC28" s="413">
        <f t="shared" ref="AC28:AC30" si="58">VLOOKUP(O28,$AF$27:$AO$30,10,FALSE)</f>
        <v>6010510999.9700003</v>
      </c>
      <c r="AD28" s="14">
        <f t="shared" ref="AD28:AD30" si="59">RANK(AR28,$AR$27:$AR$30)</f>
        <v>4</v>
      </c>
      <c r="AE28" s="434">
        <f>RANK(AO28,$AO$27:$AO$30)</f>
        <v>4</v>
      </c>
      <c r="AF28" s="412" t="s">
        <v>20</v>
      </c>
      <c r="AG28" s="418">
        <f t="shared" ref="AG28:AG30" si="60">AI28*3+AJ28*1+AK28*0</f>
        <v>0</v>
      </c>
      <c r="AH28" s="418">
        <f t="shared" ref="AH28:AH30" si="61">COUNTIFS($F$25:$F$30,AF28,$H$25:$H$30,"&lt;&gt;",$I$25:$I$30,"&lt;&gt;")+COUNTIFS($K$25:$K$30,AF28,$I$25:$I$30,"&lt;&gt;",$H$25:$H$30,"&lt;&gt;")</f>
        <v>3</v>
      </c>
      <c r="AI28" s="418">
        <f t="array" ref="AI28">SUM((F$25:F$30=AF28)*(H$25:H$30&lt;&gt;"")*(I$25:I$30&lt;&gt;"")*(H$25:H$30&gt;I$25:I$30),(K$25:K$30=AF28)*(H$25:H$30&lt;&gt;"")*(I$25:I$30&lt;&gt;"")*(H$25:H$30&lt;I$25:I$30))</f>
        <v>0</v>
      </c>
      <c r="AJ28" s="418">
        <f t="array" ref="AJ28">SUM((F$25:F$30=AF28)*(H$25:H$30&lt;&gt;"")*(I$25:I$30&lt;&gt;"")*(H$25:H$30=I$25:I$30),(K$25:K$30=AF28)*(H$25:H$30&lt;&gt;"")*(I$25:I$30&lt;&gt;"")*(H$25:H$30=I$25:I$30))</f>
        <v>0</v>
      </c>
      <c r="AK28" s="418">
        <f t="array" ref="AK28">SUM((F$25:F$30=AF28)*(I$25:I$30&lt;&gt;"")*(H$25:H$30&lt;&gt;"")*(H$25:H$30&lt;I$25:I$30),(H$25:H$30&lt;&gt;"")*(K$25:K$30=AF28)*(I$25:I$30&lt;&gt;"")*(H$25:H$30&gt;I$25:I$30))</f>
        <v>3</v>
      </c>
      <c r="AL28" s="418">
        <f t="array" ref="AL28">SUMIFS($H$25:$H$30,$F$25:$F$30,AF28,$H$25:$H$30,"&lt;&gt;",$I$25:$I$30,"&lt;&gt;")+SUMIFS($I$25:$I$30,$K$25:$K$30,AF28,$H$25:$H$30,"&lt;&gt;",$I$25:$I$30,"&lt;&gt;")</f>
        <v>1</v>
      </c>
      <c r="AM28" s="418">
        <f t="array" ref="AM28">SUMIFS($H$25:$H$30,$K$25:$K$30,AF28,$H$25:$H$30,"&lt;&gt;",$I$25:$I$30,"&lt;&gt;")+SUMIFS($I$25:$I$30,$F$25:$F$30,AF28,$H$25:$H$30,"&lt;&gt;",$I$25:$I$30,"&lt;&gt;")</f>
        <v>5</v>
      </c>
      <c r="AN28" s="418">
        <f t="shared" ref="AN28:AN30" si="62">AL28-AM28</f>
        <v>-4</v>
      </c>
      <c r="AO28" s="418">
        <f>IF(AH28=0,-($AT$13*VLOOKUP(AF28,Tabla3[[ZfP4b()8G6b·$55Ma-t·%fv-ttyZxR-.R*+Fd]:[N!"kvfjM.%&amp;gk5kfmfvv)/%;V$&amp;VW]],2,FALSE)),AG28*$AT$7+AN28*$AT$8+AL28*$AT$9+AX28-($AT$13*VLOOKUP(AF28,Tabla3[[ZfP4b()8G6b·$55Ma-t·%fv-ttyZxR-.R*+Fd]:[N!"kvfjM.%&amp;gk5kfmfvv)/%;V$&amp;VW]],2,FALSE)/100))</f>
        <v>-39889000.020000003</v>
      </c>
      <c r="AP28" s="435">
        <f>AE28</f>
        <v>4</v>
      </c>
      <c r="AQ28" s="14"/>
      <c r="AR28" s="14">
        <f t="shared" ref="AR28:AR30" si="63">IFERROR(AO28-VLOOKUP(AF28,$Y$27:$Z$30,2,0),AO28)</f>
        <v>-39889000.020000003</v>
      </c>
      <c r="AS28" s="14"/>
      <c r="AT28" s="14"/>
      <c r="AU28" s="14"/>
      <c r="AV28" s="438" t="str">
        <f>AF28</f>
        <v>Islandia</v>
      </c>
      <c r="AW28" s="418">
        <f>COUNTIF(AG27:AG30,AG28)</f>
        <v>1</v>
      </c>
      <c r="AX28" s="439">
        <f>(AY28*$AT$12)+(BE28*$AT$11)</f>
        <v>11000</v>
      </c>
      <c r="AY28" s="440">
        <f>RANK(AZ28,AZ27:AZ30,1)</f>
        <v>1</v>
      </c>
      <c r="AZ28" s="440">
        <f>SUM(IF(AND(AG28=AG29,AN28=AN29,AL28=AL29),BC28,0),IF(AND(AG28=AG30,AN28=AN30,AL28=AL30),BD28,0),IF(AND(AG28=AG27,AN28=AN27,AL28=AL27),BA28,0))</f>
        <v>0</v>
      </c>
      <c r="BA28" s="441">
        <f>I25</f>
        <v>0</v>
      </c>
      <c r="BB28" s="442">
        <v>0</v>
      </c>
      <c r="BC28" s="442">
        <f>H30</f>
        <v>1</v>
      </c>
      <c r="BD28" s="443">
        <f>I28</f>
        <v>0</v>
      </c>
      <c r="BE28" s="440">
        <f>RANK(BF28,BF27:BF30,1)</f>
        <v>1</v>
      </c>
      <c r="BF28" s="440">
        <f>SUM(IF(AND(AG28=AG29,AN28=AN29,AL28=AL29),BI28,0),IF(AND(AG28=AG30,AN28=AN30,AL28=AL30),BJ28,0),IF(AND(AG28=AG27,AN28=AN27,AL28=AL27),BG28,0))</f>
        <v>0</v>
      </c>
      <c r="BG28" s="441">
        <f>BA28-BB27</f>
        <v>-1</v>
      </c>
      <c r="BH28" s="442">
        <v>0</v>
      </c>
      <c r="BI28" s="442">
        <f>BC28-BB29</f>
        <v>-1</v>
      </c>
      <c r="BJ28" s="443">
        <f>BD28-BB30</f>
        <v>-2</v>
      </c>
      <c r="BK28" s="410"/>
      <c r="BL28" s="412">
        <f t="shared" ref="BL28:BL30" si="64">RANK(BN28,$BN$27:$BN$30)</f>
        <v>4</v>
      </c>
      <c r="BM28" s="412" t="s">
        <v>20</v>
      </c>
      <c r="BN28" s="412">
        <f>IF(AH28=0,-($AT$13*VLOOKUP(AF28,Tabla3[[ZfP4b()8G6b·$55Ma-t·%fv-ttyZxR-.R*+Fd]:[N!"kvfjM.%&amp;gk5kfmfvv)/%;V$&amp;VW]],2,FALSE)),AG28*$AT$7+AN28*$AT$8+AL28*$AT$9+AX28-($AT$13*VLOOKUP(AF28,Tabla3[[ZfP4b()8G6b·$55Ma-t·%fv-ttyZxR-.R*+Fd]:[N!"kvfjM.%&amp;gk5kfmfvv)/%;V$&amp;VW]],2,FALSE)/100))</f>
        <v>-39889000.020000003</v>
      </c>
      <c r="BO28" s="412" t="str">
        <f t="shared" ref="BO28:BO30" si="65">VLOOKUP(N28,$AE$27:$AF$30,2,0)</f>
        <v>Croacia</v>
      </c>
      <c r="BP28" s="412">
        <f t="shared" ref="BP28:BP30" si="66">VLOOKUP($BO28,$AF$27:$AO$30,10,FALSE)</f>
        <v>6010510999.9700003</v>
      </c>
      <c r="BQ28" s="410"/>
      <c r="BR28" s="412">
        <v>2</v>
      </c>
      <c r="BS28" s="412" t="str">
        <f t="shared" ref="BS28:BS30" si="67">VLOOKUP(BR28,$AD$27:$AF$30,3,0)</f>
        <v>Croacia</v>
      </c>
      <c r="BT28" s="412">
        <f t="shared" ref="BT28:BT30" si="68">VLOOKUP(BS28,$AF$27:$AO$30,2,FALSE)</f>
        <v>6</v>
      </c>
      <c r="BU28" s="444">
        <f t="shared" ref="BU28:BU30" si="69">IF(SUM($AH$27:$AH$30)=12,MIN(ABS(BP27-BP28),ABS(BP28-BP29)),100)</f>
        <v>3010100000.0100002</v>
      </c>
      <c r="BV28" s="412">
        <f t="shared" ref="BV28:BV30" si="70">VLOOKUP(BS28,$AF$27:$AO$30,9,FALSE)</f>
        <v>1</v>
      </c>
      <c r="BW28" s="412">
        <f t="shared" ref="BW28:BW30" si="71">VLOOKUP(BS28,$AF$27:$AO$30,7,FALSE)</f>
        <v>5</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1</v>
      </c>
      <c r="CH28" s="418">
        <f t="array" ref="CH28">IF(AND($BT$28&lt;&gt;$BT$27,$BT$28&lt;&gt;$BT$29),1,0)</f>
        <v>1</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x14ac:dyDescent="0.25">
      <c r="A29" s="74"/>
      <c r="B29" s="552"/>
      <c r="C29" s="289">
        <v>43277</v>
      </c>
      <c r="D29" s="290">
        <v>0.83333333333333337</v>
      </c>
      <c r="E29" s="291" t="s">
        <v>212</v>
      </c>
      <c r="F29" s="350" t="s">
        <v>171</v>
      </c>
      <c r="G29" s="249"/>
      <c r="H29" s="482">
        <v>1</v>
      </c>
      <c r="I29" s="482">
        <v>2</v>
      </c>
      <c r="J29" s="228"/>
      <c r="K29" s="374" t="s">
        <v>153</v>
      </c>
      <c r="L29" s="149">
        <f t="shared" si="1"/>
        <v>1</v>
      </c>
      <c r="M29" s="79"/>
      <c r="N29" s="40">
        <v>3</v>
      </c>
      <c r="O29" s="38" t="str">
        <f>VLOOKUP(N29,$AD$27:$AF$30,3,0)</f>
        <v>Nigeria</v>
      </c>
      <c r="P29" s="39">
        <f>VLOOKUP(O29,AF27:AO30,2,FALSE)</f>
        <v>3</v>
      </c>
      <c r="Q29" s="37">
        <f>VLOOKUP(O29,AF27:AO30,3,FALSE)</f>
        <v>3</v>
      </c>
      <c r="R29" s="37">
        <f>VLOOKUP(O29,AF27:AO30,4,FALSE)</f>
        <v>1</v>
      </c>
      <c r="S29" s="37">
        <f>VLOOKUP(O29,AF27:AO30,5,FALSE)</f>
        <v>0</v>
      </c>
      <c r="T29" s="37">
        <f>VLOOKUP(O29,AF27:AO30,6,FALSE)</f>
        <v>2</v>
      </c>
      <c r="U29" s="37">
        <f>VLOOKUP(O29,AF27:AO30,7,FALSE)</f>
        <v>4</v>
      </c>
      <c r="V29" s="37">
        <f>VLOOKUP(O29,AF27:AO30,8,FALSE)</f>
        <v>4</v>
      </c>
      <c r="W29" s="45">
        <f>VLOOKUP(O29,AF27:AO30,9,FALSE)</f>
        <v>0</v>
      </c>
      <c r="X29" s="28">
        <f t="shared" si="56"/>
        <v>3010100000.0100002</v>
      </c>
      <c r="Y29" s="402" t="str">
        <f t="shared" si="57"/>
        <v/>
      </c>
      <c r="Z29" s="406">
        <v>1</v>
      </c>
      <c r="AA29" s="29"/>
      <c r="AB29" s="29"/>
      <c r="AC29" s="413">
        <f t="shared" si="58"/>
        <v>3000410999.96</v>
      </c>
      <c r="AD29" s="14">
        <f t="shared" si="59"/>
        <v>2</v>
      </c>
      <c r="AE29" s="434">
        <f>RANK(AO29,$AO$27:$AO$30)</f>
        <v>2</v>
      </c>
      <c r="AF29" s="412" t="s">
        <v>157</v>
      </c>
      <c r="AG29" s="418">
        <f t="shared" si="60"/>
        <v>6</v>
      </c>
      <c r="AH29" s="418">
        <f t="shared" si="61"/>
        <v>3</v>
      </c>
      <c r="AI29" s="418">
        <f t="array" ref="AI29">SUM((F$25:F$30=AF29)*(H$25:H$30&lt;&gt;"")*(I$25:I$30&lt;&gt;"")*(H$25:H$30&gt;I$25:I$30),(K$25:K$30=AF29)*(H$25:H$30&lt;&gt;"")*(I$25:I$30&lt;&gt;"")*(H$25:H$30&lt;I$25:I$30))</f>
        <v>2</v>
      </c>
      <c r="AJ29" s="418">
        <f t="array" ref="AJ29">SUM((F$25:F$30=AF29)*(H$25:H$30&lt;&gt;"")*(I$25:I$30&lt;&gt;"")*(H$25:H$30=I$25:I$30),(K$25:K$30=AF29)*(H$25:H$30&lt;&gt;"")*(I$25:I$30&lt;&gt;"")*(H$25:H$30=I$25:I$30))</f>
        <v>0</v>
      </c>
      <c r="AK29" s="418">
        <f t="array" ref="AK29">SUM((F$25:F$30=AF29)*(I$25:I$30&lt;&gt;"")*(H$25:H$30&lt;&gt;"")*(H$25:H$30&lt;I$25:I$30),(H$25:H$30&lt;&gt;"")*(K$25:K$30=AF29)*(I$25:I$30&lt;&gt;"")*(H$25:H$30&gt;I$25:I$30))</f>
        <v>1</v>
      </c>
      <c r="AL29" s="418">
        <f t="array" ref="AL29">SUMIFS($H$25:$H$30,$F$25:$F$30,AF29,$H$25:$H$30,"&lt;&gt;",$I$25:$I$30,"&lt;&gt;")+SUMIFS($I$25:$I$30,$K$25:$K$30,AF29,$H$25:$H$30,"&lt;&gt;",$I$25:$I$30,"&lt;&gt;")</f>
        <v>5</v>
      </c>
      <c r="AM29" s="418">
        <f t="array" ref="AM29">SUMIFS($H$25:$H$30,$K$25:$K$30,AF29,$H$25:$H$30,"&lt;&gt;",$I$25:$I$30,"&lt;&gt;")+SUMIFS($I$25:$I$30,$F$25:$F$30,AF29,$H$25:$H$30,"&lt;&gt;",$I$25:$I$30,"&lt;&gt;")</f>
        <v>4</v>
      </c>
      <c r="AN29" s="418">
        <f t="shared" si="62"/>
        <v>1</v>
      </c>
      <c r="AO29" s="418">
        <f>IF(AH29=0,-($AT$13*VLOOKUP(AF29,Tabla3[[ZfP4b()8G6b·$55Ma-t·%fv-ttyZxR-.R*+Fd]:[N!"kvfjM.%&amp;gk5kfmfvv)/%;V$&amp;VW]],2,FALSE)),AG29*$AT$7+AN29*$AT$8+AL29*$AT$9+AX29-($AT$13*VLOOKUP(AF29,Tabla3[[ZfP4b()8G6b·$55Ma-t·%fv-ttyZxR-.R*+Fd]:[N!"kvfjM.%&amp;gk5kfmfvv)/%;V$&amp;VW]],2,FALSE)/100))</f>
        <v>6010510999.9700003</v>
      </c>
      <c r="AP29" s="435">
        <f>AE29</f>
        <v>2</v>
      </c>
      <c r="AQ29" s="14"/>
      <c r="AR29" s="14">
        <f t="shared" si="63"/>
        <v>6010510999.9700003</v>
      </c>
      <c r="AS29" s="14"/>
      <c r="AT29" s="14"/>
      <c r="AU29" s="14"/>
      <c r="AV29" s="438" t="str">
        <f>AF29</f>
        <v>Croacia</v>
      </c>
      <c r="AW29" s="418">
        <f>COUNTIF(AG27:AG30,AG29)</f>
        <v>1</v>
      </c>
      <c r="AX29" s="439">
        <f>(AY29*$AT$12)+(BE29*$AT$11)</f>
        <v>11000</v>
      </c>
      <c r="AY29" s="440">
        <f>RANK(AZ29,AZ27:AZ30,1)</f>
        <v>1</v>
      </c>
      <c r="AZ29" s="440">
        <f>SUM(IF(AND(AG29=AG30,AN29=AN30,AL29=AL30),BD29,0),IF(AND(AG29=AG27,AN29=AN27,AL29=AL27),BA29,0),IF(AND(AG29=AG28,AN29=AN28,AL29=AL28),BB29,0))</f>
        <v>0</v>
      </c>
      <c r="BA29" s="441">
        <f>I27</f>
        <v>1</v>
      </c>
      <c r="BB29" s="442">
        <f>I30</f>
        <v>2</v>
      </c>
      <c r="BC29" s="442">
        <v>0</v>
      </c>
      <c r="BD29" s="443">
        <f>H26</f>
        <v>2</v>
      </c>
      <c r="BE29" s="440">
        <f>RANK(BF29,BF27:BF30,1)</f>
        <v>1</v>
      </c>
      <c r="BF29" s="440">
        <f>SUM(IF(AND(AG29=AG30,AN29=AN30,AL29=AL30),BJ29,0),IF(AND(AG29=AG27,AN29=AN27,AL29=AL27),BG29,0),IF(AND(AG29=AG28,AN29=AN28,AL29=AL28),BH29,0))</f>
        <v>0</v>
      </c>
      <c r="BG29" s="441">
        <f>BA29-BC27</f>
        <v>-1</v>
      </c>
      <c r="BH29" s="442">
        <f>BB29-BC28</f>
        <v>1</v>
      </c>
      <c r="BI29" s="442">
        <v>0</v>
      </c>
      <c r="BJ29" s="443">
        <f>BD29-BC30</f>
        <v>1</v>
      </c>
      <c r="BK29" s="410"/>
      <c r="BL29" s="412">
        <f t="shared" si="64"/>
        <v>2</v>
      </c>
      <c r="BM29" s="412" t="s">
        <v>157</v>
      </c>
      <c r="BN29" s="412">
        <f>IF(AH29=0,-($AT$13*VLOOKUP(AF29,Tabla3[[ZfP4b()8G6b·$55Ma-t·%fv-ttyZxR-.R*+Fd]:[N!"kvfjM.%&amp;gk5kfmfvv)/%;V$&amp;VW]],2,FALSE)),AG29*$AT$7+AN29*$AT$8+AL29*$AT$9+AX29-($AT$13*VLOOKUP(AF29,Tabla3[[ZfP4b()8G6b·$55Ma-t·%fv-ttyZxR-.R*+Fd]:[N!"kvfjM.%&amp;gk5kfmfvv)/%;V$&amp;VW]],2,FALSE)/100))</f>
        <v>6010510999.9700003</v>
      </c>
      <c r="BO29" s="412" t="str">
        <f t="shared" si="65"/>
        <v>Nigeria</v>
      </c>
      <c r="BP29" s="412">
        <f t="shared" si="66"/>
        <v>3000410999.96</v>
      </c>
      <c r="BQ29" s="410"/>
      <c r="BR29" s="412">
        <v>3</v>
      </c>
      <c r="BS29" s="412" t="str">
        <f t="shared" si="67"/>
        <v>Nigeria</v>
      </c>
      <c r="BT29" s="412">
        <f t="shared" si="68"/>
        <v>3</v>
      </c>
      <c r="BU29" s="444">
        <f t="shared" si="69"/>
        <v>3010100000.0100002</v>
      </c>
      <c r="BV29" s="412">
        <f t="shared" si="70"/>
        <v>0</v>
      </c>
      <c r="BW29" s="412">
        <f t="shared" si="71"/>
        <v>4</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1</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219</v>
      </c>
    </row>
    <row r="30" spans="1:342 8834:8837" ht="15.75" thickBot="1" x14ac:dyDescent="0.3">
      <c r="A30" s="74"/>
      <c r="B30" s="553"/>
      <c r="C30" s="292">
        <v>43277</v>
      </c>
      <c r="D30" s="293">
        <v>0.83333333333333337</v>
      </c>
      <c r="E30" s="294" t="s">
        <v>101</v>
      </c>
      <c r="F30" s="351" t="s">
        <v>20</v>
      </c>
      <c r="G30" s="250"/>
      <c r="H30" s="482">
        <v>1</v>
      </c>
      <c r="I30" s="482">
        <v>2</v>
      </c>
      <c r="J30" s="229"/>
      <c r="K30" s="375" t="s">
        <v>157</v>
      </c>
      <c r="L30" s="149">
        <f t="shared" si="1"/>
        <v>1</v>
      </c>
      <c r="M30" s="79"/>
      <c r="N30" s="41">
        <v>4</v>
      </c>
      <c r="O30" s="42" t="str">
        <f>VLOOKUP(N30,$AD$27:$AF$30,3,0)</f>
        <v>Islandia</v>
      </c>
      <c r="P30" s="43">
        <f>VLOOKUP(O30,AF27:AO30,2,FALSE)</f>
        <v>0</v>
      </c>
      <c r="Q30" s="44">
        <f>VLOOKUP(O30,AF27:AO30,3,FALSE)</f>
        <v>3</v>
      </c>
      <c r="R30" s="44">
        <f>VLOOKUP(O30,AF27:AO30,4,FALSE)</f>
        <v>0</v>
      </c>
      <c r="S30" s="44">
        <f>VLOOKUP(O30,AF27:AO30,5,FALSE)</f>
        <v>0</v>
      </c>
      <c r="T30" s="44">
        <f>VLOOKUP(O30,AF27:AO30,6,FALSE)</f>
        <v>3</v>
      </c>
      <c r="U30" s="44">
        <f>VLOOKUP(O30,AF27:AO30,7,FALSE)</f>
        <v>1</v>
      </c>
      <c r="V30" s="44">
        <f>VLOOKUP(O30,AF27:AO30,8,FALSE)</f>
        <v>5</v>
      </c>
      <c r="W30" s="46">
        <f>VLOOKUP(O30,AF27:AO30,9,FALSE)</f>
        <v>-4</v>
      </c>
      <c r="X30" s="28">
        <f t="shared" si="56"/>
        <v>39889000.020000003</v>
      </c>
      <c r="Y30" s="402" t="str">
        <f t="shared" si="57"/>
        <v/>
      </c>
      <c r="Z30" s="406"/>
      <c r="AA30" s="29"/>
      <c r="AB30" s="29"/>
      <c r="AC30" s="413">
        <f t="shared" si="58"/>
        <v>-39889000.020000003</v>
      </c>
      <c r="AD30" s="14">
        <f t="shared" si="59"/>
        <v>3</v>
      </c>
      <c r="AE30" s="445">
        <f>RANK(AO30,$AO$27:$AO$30)</f>
        <v>3</v>
      </c>
      <c r="AF30" s="446" t="s">
        <v>171</v>
      </c>
      <c r="AG30" s="447">
        <f t="shared" si="60"/>
        <v>3</v>
      </c>
      <c r="AH30" s="447">
        <f t="shared" si="61"/>
        <v>3</v>
      </c>
      <c r="AI30" s="447">
        <f t="array" ref="AI30">SUM((F$25:F$30=AF30)*(H$25:H$30&lt;&gt;"")*(I$25:I$30&lt;&gt;"")*(H$25:H$30&gt;I$25:I$30),(K$25:K$30=AF30)*(H$25:H$30&lt;&gt;"")*(I$25:I$30&lt;&gt;"")*(H$25:H$30&lt;I$25:I$30))</f>
        <v>1</v>
      </c>
      <c r="AJ30" s="447">
        <f t="array" ref="AJ30">SUM((F$25:F$30=AF30)*(H$25:H$30&lt;&gt;"")*(I$25:I$30&lt;&gt;"")*(H$25:H$30=I$25:I$30),(K$25:K$30=AF30)*(H$25:H$30&lt;&gt;"")*(I$25:I$30&lt;&gt;"")*(H$25:H$30=I$25:I$30))</f>
        <v>0</v>
      </c>
      <c r="AK30" s="447">
        <f t="array" ref="AK30">SUM((F$25:F$30=AF30)*(I$25:I$30&lt;&gt;"")*(H$25:H$30&lt;&gt;"")*(H$25:H$30&lt;I$25:I$30),(H$25:H$30&lt;&gt;"")*(K$25:K$30=AF30)*(I$25:I$30&lt;&gt;"")*(H$25:H$30&gt;I$25:I$30))</f>
        <v>2</v>
      </c>
      <c r="AL30" s="447">
        <f t="array" ref="AL30">SUMIFS($H$25:$H$30,$F$25:$F$30,AF30,$H$25:$H$30,"&lt;&gt;",$I$25:$I$30,"&lt;&gt;")+SUMIFS($I$25:$I$30,$K$25:$K$30,AF30,$H$25:$H$30,"&lt;&gt;",$I$25:$I$30,"&lt;&gt;")</f>
        <v>4</v>
      </c>
      <c r="AM30" s="448">
        <f t="array" ref="AM30">SUMIFS($H$25:$H$30,$K$25:$K$30,AF30,$H$25:$H$30,"&lt;&gt;",$I$25:$I$30,"&lt;&gt;")+SUMIFS($I$25:$I$30,$F$25:$F$30,AF30,$H$25:$H$30,"&lt;&gt;",$I$25:$I$30,"&lt;&gt;")</f>
        <v>4</v>
      </c>
      <c r="AN30" s="447">
        <f t="shared" si="62"/>
        <v>0</v>
      </c>
      <c r="AO30" s="447">
        <f>IF(AH30=0,-($AT$13*VLOOKUP(AF30,Tabla3[[ZfP4b()8G6b·$55Ma-t·%fv-ttyZxR-.R*+Fd]:[N!"kvfjM.%&amp;gk5kfmfvv)/%;V$&amp;VW]],2,FALSE)),AG30*$AT$7+AN30*$AT$8+AL30*$AT$9+AX30-($AT$13*VLOOKUP(AF30,Tabla3[[ZfP4b()8G6b·$55Ma-t·%fv-ttyZxR-.R*+Fd]:[N!"kvfjM.%&amp;gk5kfmfvv)/%;V$&amp;VW]],2,FALSE)/100))</f>
        <v>3000410999.96</v>
      </c>
      <c r="AP30" s="449">
        <f>AE30</f>
        <v>3</v>
      </c>
      <c r="AQ30" s="14"/>
      <c r="AR30" s="14">
        <f t="shared" si="63"/>
        <v>3000410999.96</v>
      </c>
      <c r="AS30" s="14"/>
      <c r="AT30" s="14"/>
      <c r="AU30" s="14"/>
      <c r="AV30" s="450" t="str">
        <f>AF30</f>
        <v>Nigeria</v>
      </c>
      <c r="AW30" s="451">
        <f>COUNTIF(AG27:AG30,AG30)</f>
        <v>1</v>
      </c>
      <c r="AX30" s="452">
        <f>(AY30*$AT$12)+(BE30*$AT$11)</f>
        <v>11000</v>
      </c>
      <c r="AY30" s="453">
        <f>RANK(AZ30,AZ27:AZ30,1)</f>
        <v>1</v>
      </c>
      <c r="AZ30" s="453">
        <f>SUM(IF(AND(AG30=AG27,AN30=AN27,AL30=AL27),BA30,0),IF(AND(AG30=AG28,AN30=AN28,AL30=AL28),BB30,0),IF(AND(AG30=AG29,AN30=AN29,AL30=AL29),BC30,0))</f>
        <v>0</v>
      </c>
      <c r="BA30" s="454">
        <f>H29</f>
        <v>1</v>
      </c>
      <c r="BB30" s="455">
        <f>H28</f>
        <v>2</v>
      </c>
      <c r="BC30" s="455">
        <f>I26</f>
        <v>1</v>
      </c>
      <c r="BD30" s="456">
        <v>0</v>
      </c>
      <c r="BE30" s="453">
        <f>RANK(BF30,BF27:BF30,1)</f>
        <v>1</v>
      </c>
      <c r="BF30" s="453">
        <f>SUM(IF(AND(AG30=AG27,AN30=AN27,AL30=AL27),BG30,0),IF(AND(AG30=AG28,AN30=AN28,AL30=AL28),BH30,0),IF(AND(AG30=AG29,AN30=AN29,AL30=AL29),BI30,0))</f>
        <v>0</v>
      </c>
      <c r="BG30" s="454">
        <f>BA30-BD27</f>
        <v>-1</v>
      </c>
      <c r="BH30" s="455">
        <f>BB30-BD28</f>
        <v>2</v>
      </c>
      <c r="BI30" s="455">
        <f>BC30-BD29</f>
        <v>-1</v>
      </c>
      <c r="BJ30" s="456">
        <v>0</v>
      </c>
      <c r="BK30" s="410"/>
      <c r="BL30" s="412">
        <f t="shared" si="64"/>
        <v>3</v>
      </c>
      <c r="BM30" s="412" t="s">
        <v>171</v>
      </c>
      <c r="BN30" s="412">
        <f>IF(AH30=0,-($AT$13*VLOOKUP(AF30,Tabla3[[ZfP4b()8G6b·$55Ma-t·%fv-ttyZxR-.R*+Fd]:[N!"kvfjM.%&amp;gk5kfmfvv)/%;V$&amp;VW]],2,FALSE)),AG30*$AT$7+AN30*$AT$8+AL30*$AT$9+AX30-($AT$13*VLOOKUP(AF30,Tabla3[[ZfP4b()8G6b·$55Ma-t·%fv-ttyZxR-.R*+Fd]:[N!"kvfjM.%&amp;gk5kfmfvv)/%;V$&amp;VW]],2,FALSE)/100))</f>
        <v>3000410999.96</v>
      </c>
      <c r="BO30" s="412" t="str">
        <f t="shared" si="65"/>
        <v>Islandia</v>
      </c>
      <c r="BP30" s="412">
        <f t="shared" si="66"/>
        <v>-39889000.020000003</v>
      </c>
      <c r="BQ30" s="410"/>
      <c r="BR30" s="412">
        <v>4</v>
      </c>
      <c r="BS30" s="412" t="str">
        <f t="shared" si="67"/>
        <v>Islandia</v>
      </c>
      <c r="BT30" s="412">
        <f t="shared" si="68"/>
        <v>0</v>
      </c>
      <c r="BU30" s="444">
        <f t="shared" si="69"/>
        <v>39889000.020000003</v>
      </c>
      <c r="BV30" s="412">
        <f t="shared" si="70"/>
        <v>-4</v>
      </c>
      <c r="BW30" s="412">
        <f t="shared" si="71"/>
        <v>1</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1</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x14ac:dyDescent="0.3">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x14ac:dyDescent="0.3">
      <c r="A32" s="74"/>
      <c r="B32" s="554" t="s">
        <v>4</v>
      </c>
      <c r="C32" s="295">
        <v>43268</v>
      </c>
      <c r="D32" s="296">
        <v>0.83333333333333337</v>
      </c>
      <c r="E32" s="297" t="s">
        <v>101</v>
      </c>
      <c r="F32" s="352" t="s">
        <v>154</v>
      </c>
      <c r="G32" s="251"/>
      <c r="H32" s="55">
        <v>2</v>
      </c>
      <c r="I32" s="55">
        <v>1</v>
      </c>
      <c r="J32" s="230"/>
      <c r="K32" s="376" t="s">
        <v>156</v>
      </c>
      <c r="L32" s="149">
        <f t="shared" si="1"/>
        <v>1</v>
      </c>
      <c r="M32" s="153"/>
      <c r="N32" s="179" t="s">
        <v>29</v>
      </c>
      <c r="O32" s="180"/>
      <c r="P32" s="180"/>
      <c r="Q32" s="180"/>
      <c r="R32" s="180"/>
      <c r="S32" s="180"/>
      <c r="T32" s="180"/>
      <c r="U32" s="180"/>
      <c r="V32" s="180"/>
      <c r="W32" s="181"/>
      <c r="X32" s="28"/>
      <c r="Y32" s="509" t="s">
        <v>218</v>
      </c>
      <c r="Z32" s="509"/>
      <c r="AA32" s="509"/>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65" t="s">
        <v>49</v>
      </c>
      <c r="AZ32" s="566"/>
      <c r="BA32" s="566"/>
      <c r="BB32" s="566"/>
      <c r="BC32" s="566"/>
      <c r="BD32" s="567"/>
      <c r="BE32" s="565" t="s">
        <v>48</v>
      </c>
      <c r="BF32" s="566"/>
      <c r="BG32" s="566"/>
      <c r="BH32" s="566"/>
      <c r="BI32" s="566"/>
      <c r="BJ32" s="567"/>
      <c r="BK32" s="410"/>
      <c r="BL32" s="410"/>
      <c r="BM32" s="463"/>
      <c r="BN32" s="410"/>
      <c r="BO32" s="410"/>
      <c r="BP32" s="410"/>
      <c r="BQ32" s="410"/>
      <c r="BR32" s="410"/>
      <c r="BS32" s="410"/>
      <c r="BT32" s="410"/>
      <c r="BU32" s="468"/>
      <c r="BV32" s="410"/>
      <c r="BW32" s="410"/>
      <c r="BX32" s="410"/>
      <c r="BY32" s="14"/>
      <c r="BZ32" s="14" t="s">
        <v>216</v>
      </c>
      <c r="CA32" s="418">
        <f>SUM(CA34:CA37)</f>
        <v>0</v>
      </c>
      <c r="CB32" s="418">
        <f t="shared" ref="CB32:CX32" si="72">SUM(CB34:CB37)</f>
        <v>0</v>
      </c>
      <c r="CC32" s="418">
        <f t="shared" si="72"/>
        <v>0</v>
      </c>
      <c r="CD32" s="418">
        <f t="shared" si="72"/>
        <v>1</v>
      </c>
      <c r="CE32" s="418">
        <f t="shared" si="72"/>
        <v>0</v>
      </c>
      <c r="CF32" s="418">
        <f t="shared" si="72"/>
        <v>4</v>
      </c>
      <c r="CG32" s="418">
        <f t="shared" si="72"/>
        <v>1</v>
      </c>
      <c r="CH32" s="418">
        <f t="shared" si="72"/>
        <v>2</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x14ac:dyDescent="0.25">
      <c r="A33" s="74"/>
      <c r="B33" s="555"/>
      <c r="C33" s="298">
        <v>43268</v>
      </c>
      <c r="D33" s="299">
        <v>0.58333333333333337</v>
      </c>
      <c r="E33" s="300" t="s">
        <v>102</v>
      </c>
      <c r="F33" s="353" t="s">
        <v>169</v>
      </c>
      <c r="G33" s="252"/>
      <c r="H33" s="55">
        <v>1</v>
      </c>
      <c r="I33" s="55">
        <v>2</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2</v>
      </c>
      <c r="Y33" s="509"/>
      <c r="Z33" s="509"/>
      <c r="AA33" s="509"/>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184</v>
      </c>
      <c r="BN33" s="432"/>
      <c r="BO33" s="432" t="s">
        <v>185</v>
      </c>
      <c r="BP33" s="432"/>
      <c r="BQ33" s="410"/>
      <c r="BR33" s="433"/>
      <c r="BS33" s="433" t="s">
        <v>6</v>
      </c>
      <c r="BT33" s="433" t="s">
        <v>17</v>
      </c>
      <c r="BU33" s="469" t="s">
        <v>204</v>
      </c>
      <c r="BV33" s="433" t="s">
        <v>14</v>
      </c>
      <c r="BW33" s="433" t="s">
        <v>205</v>
      </c>
      <c r="BX33" s="410"/>
      <c r="BY33" s="14"/>
      <c r="BZ33" s="14" t="s">
        <v>217</v>
      </c>
      <c r="CA33" s="418" t="s">
        <v>188</v>
      </c>
      <c r="CB33" s="418" t="s">
        <v>197</v>
      </c>
      <c r="CC33" s="418" t="s">
        <v>198</v>
      </c>
      <c r="CD33" s="418" t="s">
        <v>199</v>
      </c>
      <c r="CE33" s="418" t="s">
        <v>200</v>
      </c>
      <c r="CF33" s="418" t="s">
        <v>201</v>
      </c>
      <c r="CG33" s="418" t="s">
        <v>202</v>
      </c>
      <c r="CH33" s="418" t="s">
        <v>203</v>
      </c>
      <c r="CI33" s="418" t="s">
        <v>198</v>
      </c>
      <c r="CJ33" s="418" t="s">
        <v>198</v>
      </c>
      <c r="CK33" s="418" t="s">
        <v>199</v>
      </c>
      <c r="CL33" s="418" t="s">
        <v>202</v>
      </c>
      <c r="CM33" s="418" t="s">
        <v>201</v>
      </c>
      <c r="CN33" s="418" t="s">
        <v>201</v>
      </c>
      <c r="CO33" s="418" t="s">
        <v>200</v>
      </c>
      <c r="CP33" s="418" t="s">
        <v>197</v>
      </c>
      <c r="CQ33" s="418" t="s">
        <v>202</v>
      </c>
      <c r="CR33" s="418" t="s">
        <v>201</v>
      </c>
      <c r="CS33" s="418" t="s">
        <v>199</v>
      </c>
      <c r="CT33" s="418" t="s">
        <v>202</v>
      </c>
      <c r="CU33" s="418" t="s">
        <v>199</v>
      </c>
      <c r="CV33" s="418" t="s">
        <v>201</v>
      </c>
      <c r="CW33" s="418"/>
      <c r="CX33" s="418"/>
      <c r="CY33" s="14"/>
      <c r="CZ33" s="14"/>
      <c r="DA33" s="14"/>
      <c r="DB33" s="14"/>
      <c r="DC33" s="14"/>
      <c r="DD33" s="14"/>
      <c r="DE33" s="14"/>
      <c r="DF33" s="14"/>
      <c r="DG33" s="14"/>
      <c r="DH33" s="14"/>
      <c r="DI33" s="14"/>
      <c r="DJ33" s="14"/>
      <c r="DK33" s="14"/>
      <c r="DL33" s="14"/>
      <c r="DM33" s="14"/>
      <c r="DN33" s="475"/>
      <c r="SAQ33" s="14" t="s">
        <v>95</v>
      </c>
    </row>
    <row r="34" spans="1:118 12887:12887" x14ac:dyDescent="0.25">
      <c r="A34" s="74"/>
      <c r="B34" s="555"/>
      <c r="C34" s="298">
        <v>43273</v>
      </c>
      <c r="D34" s="299">
        <v>0.58333333333333337</v>
      </c>
      <c r="E34" s="300" t="s">
        <v>212</v>
      </c>
      <c r="F34" s="353" t="s">
        <v>154</v>
      </c>
      <c r="G34" s="252"/>
      <c r="H34" s="55">
        <v>2</v>
      </c>
      <c r="I34" s="55">
        <v>0</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6</v>
      </c>
      <c r="V34" s="39">
        <f>VLOOKUP(O34,AF34:AO37,8,FALSE)</f>
        <v>2</v>
      </c>
      <c r="W34" s="49">
        <f>VLOOKUP(O34,AF34:AO37,9,FALSE)</f>
        <v>4</v>
      </c>
      <c r="X34" s="28">
        <f>IF(SUM($AH$34:$AH$37)=12,MIN(ABS(BP33-BP34),ABS(BP34-BP35)),100)</f>
        <v>5040198000.0100002</v>
      </c>
      <c r="Y34" s="402" t="str">
        <f>IF(AND(X34&gt;=0,X34&lt;90),VLOOKUP(N34,$BL$34:$BM$37,2,0),"")</f>
        <v/>
      </c>
      <c r="Z34" s="406"/>
      <c r="AA34" s="29"/>
      <c r="AB34" s="29"/>
      <c r="AC34" s="413">
        <f>VLOOKUP(O34,$AF$34:$AO$37,10,FALSE)</f>
        <v>9040610999.9899998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6</v>
      </c>
      <c r="AM34" s="418">
        <f t="array" ref="AM34">SUMIFS($H$32:$H$37,$K$32:$K$37,AF34,$H$32:$H$37,"&lt;&gt;",$I$32:$I$37,"&lt;&gt;")+SUMIFS($I$32:$I$37,$F$32:$F$37,AF34,$H$32:$H$37,"&lt;&gt;",$I$32:$I$37,"&lt;&gt;")</f>
        <v>2</v>
      </c>
      <c r="AN34" s="418">
        <f>AL34-AM34</f>
        <v>4</v>
      </c>
      <c r="AO34" s="418">
        <f>IF(AH34=0,-($AT$13*VLOOKUP(AF34,Tabla3[[ZfP4b()8G6b·$55Ma-t·%fv-ttyZxR-.R*+Fd]:[N!"kvfjM.%&amp;gk5kfmfvv)/%;V$&amp;VW]],2,FALSE)),AG34*$AT$7+AN34*$AT$8+AL34*$AT$9+AX34-($AT$13*VLOOKUP(AF34,Tabla3[[ZfP4b()8G6b·$55Ma-t·%fv-ttyZxR-.R*+Fd]:[N!"kvfjM.%&amp;gk5kfmfvv)/%;V$&amp;VW]],2,FALSE)/100))</f>
        <v>9040610999.9899998</v>
      </c>
      <c r="AP34" s="435">
        <f>AE34</f>
        <v>1</v>
      </c>
      <c r="AQ34" s="14"/>
      <c r="AR34" s="14">
        <f>IFERROR(AO34-VLOOKUP(AF34,$Y$34:$Z$37,2,0),AO34)</f>
        <v>9040610999.9899998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2</v>
      </c>
      <c r="BC34" s="442">
        <f>H34</f>
        <v>2</v>
      </c>
      <c r="BD34" s="443">
        <f>I36</f>
        <v>2</v>
      </c>
      <c r="BE34" s="440">
        <f>RANK(BF34,BF34:BF37,1)</f>
        <v>1</v>
      </c>
      <c r="BF34" s="440">
        <f>SUM(IF(AND(AG34=AG35,AN34=AN35,AL34=AL35),BH34,0),IF(AND(AG34=AG36,AN34=AN36,AL34=AL36),BI34,0),IF(AND(AG34=AG37,AN34=AN37,AL34=AL37),BJ34,0))</f>
        <v>0</v>
      </c>
      <c r="BG34" s="441">
        <v>0</v>
      </c>
      <c r="BH34" s="442">
        <f>BB34-BA35</f>
        <v>1</v>
      </c>
      <c r="BI34" s="442">
        <f>BC34-BA36</f>
        <v>2</v>
      </c>
      <c r="BJ34" s="443">
        <f>BD34-BA37</f>
        <v>1</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9040610999.9899998</v>
      </c>
      <c r="BO34" s="412" t="str">
        <f>VLOOKUP(N34,$AE$34:$AF$37,2,0)</f>
        <v>Brasil</v>
      </c>
      <c r="BP34" s="412">
        <f>VLOOKUP($BO34,$AF$34:$AO$37,10,FALSE)</f>
        <v>9040610999.9899998</v>
      </c>
      <c r="BQ34" s="410"/>
      <c r="BR34" s="412">
        <v>1</v>
      </c>
      <c r="BS34" s="412" t="str">
        <f>VLOOKUP(BR34,$AD$34:$AF$37,3,0)</f>
        <v>Brasil</v>
      </c>
      <c r="BT34" s="412">
        <f>VLOOKUP(BS34,$AF$34:$AO$37,2,FALSE)</f>
        <v>9</v>
      </c>
      <c r="BU34" s="444">
        <f>IF(SUM($AH$34:$AH$37)=12,MIN(ABS(BP33-BP34),ABS(BP34-BP35)),100)</f>
        <v>5040198000.0100002</v>
      </c>
      <c r="BV34" s="412">
        <f>VLOOKUP(BS34,$AF$34:$AO$37,9,FALSE)</f>
        <v>4</v>
      </c>
      <c r="BW34" s="412">
        <f>VLOOKUP(BS34,$AF$34:$AO$37,7,FALSE)</f>
        <v>6</v>
      </c>
      <c r="BX34" s="410">
        <f>IF($BY$34=$CA$33,$DC$5:$DC$8,IF($BY$34=$CB$33,$DD$5:$DD$7,IF(OR($BY$34=$CC$33,$BY$34=$CD$33),$DE$5:$DE$6,$DI$5)))</f>
        <v>1</v>
      </c>
      <c r="BY34" s="418" t="str">
        <f>IFERROR(HLOOKUP(4,CA32:CX33,2,0),CH33)</f>
        <v>COM_6</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x14ac:dyDescent="0.25">
      <c r="A35" s="74"/>
      <c r="B35" s="555"/>
      <c r="C35" s="298">
        <v>43273</v>
      </c>
      <c r="D35" s="299">
        <v>0.83333333333333337</v>
      </c>
      <c r="E35" s="300" t="s">
        <v>208</v>
      </c>
      <c r="F35" s="353" t="s">
        <v>175</v>
      </c>
      <c r="G35" s="252"/>
      <c r="H35" s="55">
        <v>1</v>
      </c>
      <c r="I35" s="55">
        <v>1</v>
      </c>
      <c r="J35" s="231"/>
      <c r="K35" s="377" t="s">
        <v>156</v>
      </c>
      <c r="L35" s="149">
        <f t="shared" si="1"/>
        <v>1</v>
      </c>
      <c r="M35" s="153"/>
      <c r="N35" s="48">
        <v>2</v>
      </c>
      <c r="O35" s="47" t="str">
        <f>VLOOKUP(N35,$AD$34:$AF$37,3,0)</f>
        <v>Suiza</v>
      </c>
      <c r="P35" s="39">
        <f>VLOOKUP(O35,AF34:AO37,2,FALSE)</f>
        <v>4</v>
      </c>
      <c r="Q35" s="39">
        <f>VLOOKUP(O35,AF34:AO37,3,FALSE)</f>
        <v>3</v>
      </c>
      <c r="R35" s="39">
        <f>VLOOKUP(O35,AF34:AO37,4,FALSE)</f>
        <v>1</v>
      </c>
      <c r="S35" s="39">
        <f>VLOOKUP(O35,AF34:AO37,5,FALSE)</f>
        <v>1</v>
      </c>
      <c r="T35" s="39">
        <f>VLOOKUP(O35,AF34:AO37,6,FALSE)</f>
        <v>1</v>
      </c>
      <c r="U35" s="39">
        <f>VLOOKUP(O35,AF34:AO37,7,FALSE)</f>
        <v>4</v>
      </c>
      <c r="V35" s="39">
        <f>VLOOKUP(O35,AF34:AO37,8,FALSE)</f>
        <v>4</v>
      </c>
      <c r="W35" s="49">
        <f>VLOOKUP(O35,AF34:AO37,9,FALSE)</f>
        <v>0</v>
      </c>
      <c r="X35" s="28">
        <f t="shared" ref="X35:X37" si="76">IF(SUM($AH$34:$AH$37)=12,MIN(ABS(BP34-BP35),ABS(BP35-BP36)),100)</f>
        <v>1.9999980926513672E-2</v>
      </c>
      <c r="Y35" s="402" t="str">
        <f t="shared" ref="Y35:Y37" si="77">IF(AND(X35&gt;=0,X35&lt;90),VLOOKUP(N35,$BL$34:$BM$37,2,0),"")</f>
        <v>Suiza</v>
      </c>
      <c r="Z35" s="406">
        <v>2</v>
      </c>
      <c r="AA35" s="29"/>
      <c r="AB35" s="29"/>
      <c r="AC35" s="413">
        <f t="shared" ref="AC35:AC37" si="78">VLOOKUP(O35,$AF$34:$AO$37,10,FALSE)</f>
        <v>4000412999.98</v>
      </c>
      <c r="AD35" s="14">
        <f t="shared" ref="AD35:AD37" si="79">RANK(AR35,$AR$34:$AR$37)</f>
        <v>2</v>
      </c>
      <c r="AE35" s="434">
        <f>RANK(AO35,AO34:AO39)</f>
        <v>2</v>
      </c>
      <c r="AF35" s="412" t="s">
        <v>156</v>
      </c>
      <c r="AG35" s="418">
        <f t="shared" ref="AG35:AG37" si="80">AI35*3+AJ35*1+AK35*0</f>
        <v>4</v>
      </c>
      <c r="AH35" s="418">
        <f t="shared" ref="AH35:AH37" si="81">COUNTIFS($F$32:$F$37,AF35,$H$32:$H$37,"&lt;&gt;",$I$32:$I$37,"&lt;&gt;")+COUNTIFS($K$32:$K$37,AF35,$I$32:$I$37,"&lt;&gt;",$H$32:$H$37,"&lt;&gt;")</f>
        <v>3</v>
      </c>
      <c r="AI35" s="418">
        <f t="array" ref="AI35">SUM((F$32:F$37=AF35)*(H$32:H$37&lt;&gt;"")*(I$32:I$37&lt;&gt;"")*(H$32:H$37&gt;I$32:I$37),(K$32:K$37=AF35)*(H$32:H$37&lt;&gt;"")*(I$32:I$37&lt;&gt;"")*(H$32:H$37&lt;I$32:I$37))</f>
        <v>1</v>
      </c>
      <c r="AJ35" s="418">
        <f t="array" ref="AJ35">SUM((F$32:F$37=AF35)*(H$32:H$37&lt;&gt;"")*(I$32:I$37&lt;&gt;"")*(H$32:H$37=I$32:I$37),(K$32:K$37=AF35)*(H$32:H$37&lt;&gt;"")*(I$32:I$37&lt;&gt;"")*(H$32:H$37=I$32:I$37))</f>
        <v>1</v>
      </c>
      <c r="AK35" s="418">
        <f t="array" ref="AK35">SUM((F$32:F$37=AF35)*(I$32:I$37&lt;&gt;"")*(H$32:H$37&lt;&gt;"")*(H$32:H$37&lt;I$32:I$37),(H$32:H$37&lt;&gt;"")*(K$32:K$37=AF35)*(I$32:I$37&lt;&gt;"")*(H$32:H$37&gt;I$32:I$37))</f>
        <v>1</v>
      </c>
      <c r="AL35" s="418">
        <f t="array" ref="AL35">SUMIFS($H$32:$H$37,$F$32:$F$37,AF35,$H$32:$H$37,"&lt;&gt;",$I$32:$I$37,"&lt;&gt;")+SUMIFS($I$32:$I$37,$K$32:$K$37,AF35,$H$32:$H$37,"&lt;&gt;",$I$32:$I$37,"&lt;&gt;")</f>
        <v>4</v>
      </c>
      <c r="AM35" s="418">
        <f t="array" ref="AM35">SUMIFS($H$32:$H$37,$K$32:$K$37,AF35,$H$32:$H$37,"&lt;&gt;",$I$32:$I$37,"&lt;&gt;")+SUMIFS($I$32:$I$37,$F$32:$F$37,AF35,$H$32:$H$37,"&lt;&gt;",$I$32:$I$37,"&lt;&gt;")</f>
        <v>4</v>
      </c>
      <c r="AN35" s="418">
        <f t="shared" ref="AN35:AN37" si="82">AL35-AM35</f>
        <v>0</v>
      </c>
      <c r="AO35" s="418">
        <f>IF(AH35=0,-($AT$13*VLOOKUP(AF35,Tabla3[[ZfP4b()8G6b·$55Ma-t·%fv-ttyZxR-.R*+Fd]:[N!"kvfjM.%&amp;gk5kfmfvv)/%;V$&amp;VW]],2,FALSE)),AG35*$AT$7+AN35*$AT$8+AL35*$AT$9+AX35-($AT$13*VLOOKUP(AF35,Tabla3[[ZfP4b()8G6b·$55Ma-t·%fv-ttyZxR-.R*+Fd]:[N!"kvfjM.%&amp;gk5kfmfvv)/%;V$&amp;VW]],2,FALSE)/100))</f>
        <v>4000412999.98</v>
      </c>
      <c r="AP35" s="435">
        <f>AE35</f>
        <v>2</v>
      </c>
      <c r="AQ35" s="14"/>
      <c r="AR35" s="14">
        <f t="shared" ref="AR35:AR37" si="83">IFERROR(AO35-VLOOKUP(AF35,$Y$34:$Z$37,2,0),AO35)</f>
        <v>4000412997.98</v>
      </c>
      <c r="AS35" s="14"/>
      <c r="AT35" s="14"/>
      <c r="AU35" s="14"/>
      <c r="AV35" s="438" t="str">
        <f>AF35</f>
        <v>Suiza</v>
      </c>
      <c r="AW35" s="418">
        <f>COUNTIF(AG34:AG37,AG35)</f>
        <v>2</v>
      </c>
      <c r="AX35" s="439">
        <f>(AY35*$AT$12)+(BE35*$AT$11)</f>
        <v>13000</v>
      </c>
      <c r="AY35" s="440">
        <f>RANK(AZ35,AZ34:AZ37,1)</f>
        <v>3</v>
      </c>
      <c r="AZ35" s="440">
        <f>SUM(IF(AND(AG35=AG36,AN35=AN36,AL35=AL36),BC35,0),IF(AND(AG35=AG37,AN35=AN37,AL35=AL37),BD35,0),IF(AND(AG35=AG34,AN35=AN34,AL35=AL34),BA35,0))</f>
        <v>1</v>
      </c>
      <c r="BA35" s="441">
        <f>I32</f>
        <v>1</v>
      </c>
      <c r="BB35" s="442">
        <v>0</v>
      </c>
      <c r="BC35" s="442">
        <f>H37</f>
        <v>2</v>
      </c>
      <c r="BD35" s="443">
        <f>I35</f>
        <v>1</v>
      </c>
      <c r="BE35" s="440">
        <f>RANK(BF35,BF34:BF37,1)</f>
        <v>1</v>
      </c>
      <c r="BF35" s="440">
        <f>SUM(IF(AND(AG35=AG36,AN35=AN36,AL35=AL36),BI35,0),IF(AND(AG35=AG37,AN35=AN37,AL35=AL37),BJ35,0),IF(AND(AG35=AG34,AN35=AN34,AL35=AL34),BG35,0))</f>
        <v>0</v>
      </c>
      <c r="BG35" s="441">
        <f>BA35-BB34</f>
        <v>-1</v>
      </c>
      <c r="BH35" s="442">
        <v>0</v>
      </c>
      <c r="BI35" s="442">
        <f>BC35-BB36</f>
        <v>1</v>
      </c>
      <c r="BJ35" s="443">
        <f>BD35-BB37</f>
        <v>0</v>
      </c>
      <c r="BK35" s="410"/>
      <c r="BL35" s="412">
        <f t="shared" ref="BL35:BL37" si="84">RANK(BN35,$BN$34:$BN$37)</f>
        <v>2</v>
      </c>
      <c r="BM35" s="412" t="s">
        <v>156</v>
      </c>
      <c r="BN35" s="412">
        <f>IF(AH35=0,-($AT$13*VLOOKUP(AF35,Tabla3[[ZfP4b()8G6b·$55Ma-t·%fv-ttyZxR-.R*+Fd]:[N!"kvfjM.%&amp;gk5kfmfvv)/%;V$&amp;VW]],2,FALSE)),AG35*$AT$7+AN35*$AT$8+AL35*$AT$9+AX35-($AT$13*VLOOKUP(AF35,Tabla3[[ZfP4b()8G6b·$55Ma-t·%fv-ttyZxR-.R*+Fd]:[N!"kvfjM.%&amp;gk5kfmfvv)/%;V$&amp;VW]],2,FALSE)/100))</f>
        <v>4000412999.98</v>
      </c>
      <c r="BO35" s="412" t="str">
        <f t="shared" ref="BO35:BO37" si="85">VLOOKUP(N35,$AE$34:$AF$37,2,0)</f>
        <v>Suiza</v>
      </c>
      <c r="BP35" s="412">
        <f t="shared" ref="BP35:BP37" si="86">VLOOKUP($BO35,$AF$34:$AO$37,10,FALSE)</f>
        <v>4000412999.98</v>
      </c>
      <c r="BQ35" s="410"/>
      <c r="BR35" s="412">
        <v>2</v>
      </c>
      <c r="BS35" s="412" t="str">
        <f t="shared" ref="BS35:BS37" si="87">VLOOKUP(BR35,$AD$34:$AF$37,3,0)</f>
        <v>Suiza</v>
      </c>
      <c r="BT35" s="412">
        <f t="shared" ref="BT35:BT37" si="88">VLOOKUP(BS35,$AF$34:$AO$37,2,FALSE)</f>
        <v>4</v>
      </c>
      <c r="BU35" s="444">
        <f t="shared" ref="BU35:BU37" si="89">IF(SUM($AH$34:$AH$37)=12,MIN(ABS(BP34-BP35),ABS(BP35-BP36)),100)</f>
        <v>1.9999980926513672E-2</v>
      </c>
      <c r="BV35" s="412">
        <f t="shared" ref="BV35:BV37" si="90">VLOOKUP(BS35,$AF$34:$AO$37,9,FALSE)</f>
        <v>0</v>
      </c>
      <c r="BW35" s="412">
        <f t="shared" ref="BW35:BW37" si="91">VLOOKUP(BS35,$AF$34:$AO$37,7,FALSE)</f>
        <v>4</v>
      </c>
      <c r="BX35" s="410" t="e">
        <f>IF($BY$34=$CA$33,$DC$5:$DC$8,IF($BY$34=$CB$33,$DD$5:$DD$7,IF(OR($BY$34=$CC$33,$BY$34=$CD$33),$DE$5:$DE$6,IF($BY$34=$CE$33,$DF$5:$DF$7,(IF($BY$34=$CF$33,$DH$5:$DH$6,$DJ$5))))))</f>
        <v>#VALUE!</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1</v>
      </c>
      <c r="CG35" s="418">
        <f t="array" ref="CG35">IF(AND($BT$35&lt;&gt;$BT$34,$BT$35&lt;&gt;$BT$36),1,0)</f>
        <v>0</v>
      </c>
      <c r="CH35" s="418">
        <f t="array" ref="CH35">IF(AND($BT$35&lt;&gt;$BT$34,$BT$35&lt;&gt;$BT$36),1,0)</f>
        <v>0</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x14ac:dyDescent="0.25">
      <c r="A36" s="74"/>
      <c r="B36" s="555"/>
      <c r="C36" s="298">
        <v>43278</v>
      </c>
      <c r="D36" s="299">
        <v>0.83333333333333337</v>
      </c>
      <c r="E36" s="300" t="s">
        <v>209</v>
      </c>
      <c r="F36" s="353" t="s">
        <v>175</v>
      </c>
      <c r="G36" s="252"/>
      <c r="H36" s="55">
        <v>1</v>
      </c>
      <c r="I36" s="55">
        <v>2</v>
      </c>
      <c r="J36" s="231"/>
      <c r="K36" s="377" t="s">
        <v>154</v>
      </c>
      <c r="L36" s="149">
        <f t="shared" si="1"/>
        <v>1</v>
      </c>
      <c r="M36" s="153"/>
      <c r="N36" s="40">
        <v>3</v>
      </c>
      <c r="O36" s="38" t="str">
        <f>VLOOKUP(N36,$AD$34:$AF$37,3,0)</f>
        <v>Serbia</v>
      </c>
      <c r="P36" s="39">
        <f>VLOOKUP(O36,AF34:AO37,2,FALSE)</f>
        <v>4</v>
      </c>
      <c r="Q36" s="37">
        <f>VLOOKUP(O36,AF34:AO37,3,FALSE)</f>
        <v>3</v>
      </c>
      <c r="R36" s="37">
        <f>VLOOKUP(O36,AF34:AO37,4,FALSE)</f>
        <v>1</v>
      </c>
      <c r="S36" s="37">
        <f>VLOOKUP(O36,AF34:AO37,5,FALSE)</f>
        <v>1</v>
      </c>
      <c r="T36" s="37">
        <f>VLOOKUP(O36,AF34:AO37,6,FALSE)</f>
        <v>1</v>
      </c>
      <c r="U36" s="37">
        <f>VLOOKUP(O36,AF34:AO37,7,FALSE)</f>
        <v>4</v>
      </c>
      <c r="V36" s="37">
        <f>VLOOKUP(O36,AF34:AO37,8,FALSE)</f>
        <v>4</v>
      </c>
      <c r="W36" s="45">
        <f>VLOOKUP(O36,AF34:AO37,9,FALSE)</f>
        <v>0</v>
      </c>
      <c r="X36" s="28">
        <f t="shared" si="76"/>
        <v>1.9999980926513672E-2</v>
      </c>
      <c r="Y36" s="402" t="str">
        <f t="shared" si="77"/>
        <v>Serbia</v>
      </c>
      <c r="Z36" s="406">
        <v>3</v>
      </c>
      <c r="AA36" s="29"/>
      <c r="AB36" s="29"/>
      <c r="AC36" s="413">
        <f t="shared" si="78"/>
        <v>4000412999.96</v>
      </c>
      <c r="AD36" s="14">
        <f t="shared" si="79"/>
        <v>4</v>
      </c>
      <c r="AE36" s="434">
        <f>RANK(AO36,AO34:AO39)</f>
        <v>4</v>
      </c>
      <c r="AF36" s="412" t="s">
        <v>169</v>
      </c>
      <c r="AG36" s="418">
        <f t="shared" si="80"/>
        <v>0</v>
      </c>
      <c r="AH36" s="418">
        <f t="shared" si="81"/>
        <v>3</v>
      </c>
      <c r="AI36" s="418">
        <f t="array" ref="AI36">SUM((F$32:F$37=AF36)*(H$32:H$37&lt;&gt;"")*(I$32:I$37&lt;&gt;"")*(H$32:H$37&gt;I$32:I$37),(K$32:K$37=AF36)*(H$32:H$37&lt;&gt;"")*(I$32:I$37&lt;&gt;"")*(H$32:H$37&lt;I$32:I$37))</f>
        <v>0</v>
      </c>
      <c r="AJ36" s="418">
        <f t="array" ref="AJ36">SUM((F$32:F$37=AF36)*(H$32:H$37&lt;&gt;"")*(I$32:I$37&lt;&gt;"")*(H$32:H$37=I$32:I$37),(K$32:K$37=AF36)*(H$32:H$37&lt;&gt;"")*(I$32:I$37&lt;&gt;"")*(H$32:H$37=I$32:I$37))</f>
        <v>0</v>
      </c>
      <c r="AK36" s="418">
        <f t="array" ref="AK36">SUM((F$32:F$37=AF36)*(I$32:I$37&lt;&gt;"")*(H$32:H$37&lt;&gt;"")*(H$32:H$37&lt;I$32:I$37),(H$32:H$37&lt;&gt;"")*(K$32:K$37=AF36)*(I$32:I$37&lt;&gt;"")*(H$32:H$37&gt;I$32:I$37))</f>
        <v>3</v>
      </c>
      <c r="AL36" s="418">
        <f t="array" ref="AL36">SUMIFS($H$32:$H$37,$F$32:$F$37,AF36,$H$32:$H$37,"&lt;&gt;",$I$32:$I$37,"&lt;&gt;")+SUMIFS($I$32:$I$37,$K$32:$K$37,AF36,$H$32:$H$37,"&lt;&gt;",$I$32:$I$37,"&lt;&gt;")</f>
        <v>2</v>
      </c>
      <c r="AM36" s="418">
        <f t="array" ref="AM36">SUMIFS($H$32:$H$37,$K$32:$K$37,AF36,$H$32:$H$37,"&lt;&gt;",$I$32:$I$37,"&lt;&gt;")+SUMIFS($I$32:$I$37,$F$32:$F$37,AF36,$H$32:$H$37,"&lt;&gt;",$I$32:$I$37,"&lt;&gt;")</f>
        <v>6</v>
      </c>
      <c r="AN36" s="418">
        <f t="shared" si="82"/>
        <v>-4</v>
      </c>
      <c r="AO36" s="418">
        <f>IF(AH36=0,-($AT$13*VLOOKUP(AF36,Tabla3[[ZfP4b()8G6b·$55Ma-t·%fv-ttyZxR-.R*+Fd]:[N!"kvfjM.%&amp;gk5kfmfvv)/%;V$&amp;VW]],2,FALSE)),AG36*$AT$7+AN36*$AT$8+AL36*$AT$9+AX36-($AT$13*VLOOKUP(AF36,Tabla3[[ZfP4b()8G6b·$55Ma-t·%fv-ttyZxR-.R*+Fd]:[N!"kvfjM.%&amp;gk5kfmfvv)/%;V$&amp;VW]],2,FALSE)/100))</f>
        <v>-39789000.030000001</v>
      </c>
      <c r="AP36" s="435">
        <f>AE36</f>
        <v>4</v>
      </c>
      <c r="AQ36" s="14"/>
      <c r="AR36" s="14">
        <f t="shared" si="83"/>
        <v>-39789000.030000001</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0</v>
      </c>
      <c r="BB36" s="442">
        <f>I37</f>
        <v>1</v>
      </c>
      <c r="BC36" s="442">
        <v>0</v>
      </c>
      <c r="BD36" s="443">
        <f>H33</f>
        <v>1</v>
      </c>
      <c r="BE36" s="440">
        <f>RANK(BF36,BF34:BF37,1)</f>
        <v>1</v>
      </c>
      <c r="BF36" s="440">
        <f>SUM(IF(AND(AG36=AG37,AN36=AN37,AL36=AL37),BJ36,0),IF(AND(AG36=AG34,AN36=AN34,AL36=AL34),BG36,0),IF(AND(AG36=AG35,AN36=AN35,AL36=AL35),BH36,0))</f>
        <v>0</v>
      </c>
      <c r="BG36" s="441">
        <f>BA36-BC34</f>
        <v>-2</v>
      </c>
      <c r="BH36" s="442">
        <f>BB36-BC35</f>
        <v>-1</v>
      </c>
      <c r="BI36" s="442">
        <v>0</v>
      </c>
      <c r="BJ36" s="443">
        <f>BD36-BC37</f>
        <v>-1</v>
      </c>
      <c r="BK36" s="410"/>
      <c r="BL36" s="412">
        <f t="shared" si="84"/>
        <v>4</v>
      </c>
      <c r="BM36" s="412" t="s">
        <v>169</v>
      </c>
      <c r="BN36" s="412">
        <f>IF(AH36=0,-($AT$13*VLOOKUP(AF36,Tabla3[[ZfP4b()8G6b·$55Ma-t·%fv-ttyZxR-.R*+Fd]:[N!"kvfjM.%&amp;gk5kfmfvv)/%;V$&amp;VW]],2,FALSE)),AG36*$AT$7+AN36*$AT$8+AL36*$AT$9+AX36-($AT$13*VLOOKUP(AF36,Tabla3[[ZfP4b()8G6b·$55Ma-t·%fv-ttyZxR-.R*+Fd]:[N!"kvfjM.%&amp;gk5kfmfvv)/%;V$&amp;VW]],2,FALSE)/100))</f>
        <v>-39789000.030000001</v>
      </c>
      <c r="BO36" s="412" t="str">
        <f t="shared" si="85"/>
        <v>Serbia</v>
      </c>
      <c r="BP36" s="412">
        <f t="shared" si="86"/>
        <v>4000412999.96</v>
      </c>
      <c r="BQ36" s="410"/>
      <c r="BR36" s="412">
        <v>3</v>
      </c>
      <c r="BS36" s="412" t="str">
        <f t="shared" si="87"/>
        <v>Serbia</v>
      </c>
      <c r="BT36" s="412">
        <f t="shared" si="88"/>
        <v>4</v>
      </c>
      <c r="BU36" s="444">
        <f t="shared" si="89"/>
        <v>1.9999980926513672E-2</v>
      </c>
      <c r="BV36" s="412">
        <f t="shared" si="90"/>
        <v>0</v>
      </c>
      <c r="BW36" s="412">
        <f t="shared" si="91"/>
        <v>4</v>
      </c>
      <c r="BX36" s="410" t="e">
        <f>IF($BY$34=$CA$33,$DC$5:$DC$8,IF($BY$34=$CB$33,$DD$5:$DD$7,IF(OR($BY$34=$CC$33,$BY$34=$CG$33),$DG$5:$DG$6,IF($BY$34=$CE$33,$DF$5:$DF$7,(IF($BY$34=$CF$33,$DH$5:$DH$6,$DK$5))))))</f>
        <v>#VALUE!</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0</v>
      </c>
      <c r="CE36" s="418">
        <f t="array" ref="CE36">IF(AND($BT$35:$BT$37=$BT$35,$BU$35:$BU$37&lt;370,$BT$34&lt;&gt;$BT$36),1,0)</f>
        <v>0</v>
      </c>
      <c r="CF36" s="418">
        <f t="array" ref="CF36">IF(AND($BT$35:$BT$36=$BT$36,$BU$35:$BU$36&lt;370,$BT$36&lt;&gt;$BT$34,$BT$36&lt;&gt;$BT$37),1,0)</f>
        <v>1</v>
      </c>
      <c r="CG36" s="418">
        <f t="array" ref="CG36">IF(AND($BT$36:$BT$37=$BT$36,$BU$36:$BU$37&lt;370,$BT$36&lt;&gt;$BT$35),1,0)</f>
        <v>0</v>
      </c>
      <c r="CH36" s="418">
        <f t="array" ref="CH36">IF(AND($BT$36&lt;&gt;$BT$35,$BT$36&lt;&gt;$BT$37),1,0)</f>
        <v>0</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75" thickBot="1" x14ac:dyDescent="0.3">
      <c r="A37" s="74"/>
      <c r="B37" s="556"/>
      <c r="C37" s="301">
        <v>43278</v>
      </c>
      <c r="D37" s="302">
        <v>0.83333333333333337</v>
      </c>
      <c r="E37" s="303" t="s">
        <v>210</v>
      </c>
      <c r="F37" s="354" t="s">
        <v>156</v>
      </c>
      <c r="G37" s="253"/>
      <c r="H37" s="55">
        <v>2</v>
      </c>
      <c r="I37" s="55">
        <v>1</v>
      </c>
      <c r="J37" s="232"/>
      <c r="K37" s="378" t="s">
        <v>169</v>
      </c>
      <c r="L37" s="149">
        <f t="shared" si="1"/>
        <v>1</v>
      </c>
      <c r="M37" s="153"/>
      <c r="N37" s="41">
        <v>4</v>
      </c>
      <c r="O37" s="42" t="str">
        <f>VLOOKUP(N37,$AD$34:$AF$37,3,0)</f>
        <v>Costa Rica</v>
      </c>
      <c r="P37" s="43">
        <f>VLOOKUP(O37,AF34:AO37,2,FALSE)</f>
        <v>0</v>
      </c>
      <c r="Q37" s="44">
        <f>VLOOKUP(O37,AF34:AO37,3,FALSE)</f>
        <v>3</v>
      </c>
      <c r="R37" s="44">
        <f>VLOOKUP(O37,AF34:AO37,4,FALSE)</f>
        <v>0</v>
      </c>
      <c r="S37" s="44">
        <f>VLOOKUP(O37,AF34:AO37,5,FALSE)</f>
        <v>0</v>
      </c>
      <c r="T37" s="44">
        <f>VLOOKUP(O37,AF34:AO37,6,FALSE)</f>
        <v>3</v>
      </c>
      <c r="U37" s="44">
        <f>VLOOKUP(O37,AF34:AO37,7,FALSE)</f>
        <v>2</v>
      </c>
      <c r="V37" s="44">
        <f>VLOOKUP(O37,AF34:AO37,8,FALSE)</f>
        <v>6</v>
      </c>
      <c r="W37" s="46">
        <f>VLOOKUP(O37,AF34:AO37,9,FALSE)</f>
        <v>-4</v>
      </c>
      <c r="X37" s="28">
        <f t="shared" si="76"/>
        <v>39789000.030000001</v>
      </c>
      <c r="Y37" s="402" t="str">
        <f t="shared" si="77"/>
        <v/>
      </c>
      <c r="Z37" s="406"/>
      <c r="AA37" s="29"/>
      <c r="AB37" s="29"/>
      <c r="AC37" s="413">
        <f t="shared" si="78"/>
        <v>-39789000.030000001</v>
      </c>
      <c r="AD37" s="14">
        <f t="shared" si="79"/>
        <v>3</v>
      </c>
      <c r="AE37" s="445">
        <f>RANK(AO37,AO34:AO39)</f>
        <v>3</v>
      </c>
      <c r="AF37" s="446" t="s">
        <v>175</v>
      </c>
      <c r="AG37" s="447">
        <f t="shared" si="80"/>
        <v>4</v>
      </c>
      <c r="AH37" s="447">
        <f t="shared" si="81"/>
        <v>3</v>
      </c>
      <c r="AI37" s="447">
        <f t="array" ref="AI37">SUM((F$32:F$37=AF37)*(H$32:H$37&lt;&gt;"")*(I$32:I$37&lt;&gt;"")*(H$32:H$37&gt;I$32:I$37),(K$32:K$37=AF37)*(H$32:H$37&lt;&gt;"")*(I$32:I$37&lt;&gt;"")*(H$32:H$37&lt;I$32:I$37))</f>
        <v>1</v>
      </c>
      <c r="AJ37" s="447">
        <f t="array" ref="AJ37">SUM((F$32:F$37=AF37)*(H$32:H$37&lt;&gt;"")*(I$32:I$37&lt;&gt;"")*(H$32:H$37=I$32:I$37),(K$32:K$37=AF37)*(H$32:H$37&lt;&gt;"")*(I$32:I$37&lt;&gt;"")*(H$32:H$37=I$32:I$37))</f>
        <v>1</v>
      </c>
      <c r="AK37" s="447">
        <f t="array" ref="AK37">SUM((F$32:F$37=AF37)*(I$32:I$37&lt;&gt;"")*(H$32:H$37&lt;&gt;"")*(H$32:H$37&lt;I$32:I$37),(H$32:H$37&lt;&gt;"")*(K$32:K$37=AF37)*(I$32:I$37&lt;&gt;"")*(H$32:H$37&gt;I$32:I$37))</f>
        <v>1</v>
      </c>
      <c r="AL37" s="448">
        <f t="array" ref="AL37">SUMIFS($H$32:$H$37,$F$32:$F$37,AF37,$H$32:$H$37,"&lt;&gt;",$I$32:$I$37,"&lt;&gt;")+SUMIFS($I$32:$I$37,$K$32:$K$37,AF37,$H$32:$H$37,"&lt;&gt;",$I$32:$I$37,"&lt;&gt;")</f>
        <v>4</v>
      </c>
      <c r="AM37" s="448">
        <f t="array" ref="AM37">SUMIFS($H$32:$H$37,$K$32:$K$37,AF37,$H$32:$H$37,"&lt;&gt;",$I$32:$I$37,"&lt;&gt;")+SUMIFS($I$32:$I$37,$F$32:$F$37,AF37,$H$32:$H$37,"&lt;&gt;",$I$32:$I$37,"&lt;&gt;")</f>
        <v>4</v>
      </c>
      <c r="AN37" s="447">
        <f t="shared" si="82"/>
        <v>0</v>
      </c>
      <c r="AO37" s="447">
        <f>IF(AH37=0,-($AT$13*VLOOKUP(AF37,Tabla3[[ZfP4b()8G6b·$55Ma-t·%fv-ttyZxR-.R*+Fd]:[N!"kvfjM.%&amp;gk5kfmfvv)/%;V$&amp;VW]],2,FALSE)),AG37*$AT$7+AN37*$AT$8+AL37*$AT$9+AX37-($AT$13*VLOOKUP(AF37,Tabla3[[ZfP4b()8G6b·$55Ma-t·%fv-ttyZxR-.R*+Fd]:[N!"kvfjM.%&amp;gk5kfmfvv)/%;V$&amp;VW]],2,FALSE)/100))</f>
        <v>4000412999.96</v>
      </c>
      <c r="AP37" s="449">
        <f>AE37</f>
        <v>3</v>
      </c>
      <c r="AQ37" s="14"/>
      <c r="AR37" s="14">
        <f t="shared" si="83"/>
        <v>4000412996.96</v>
      </c>
      <c r="AS37" s="14"/>
      <c r="AT37" s="14"/>
      <c r="AU37" s="14"/>
      <c r="AV37" s="450" t="str">
        <f>AF37</f>
        <v>Serbia</v>
      </c>
      <c r="AW37" s="451">
        <f>COUNTIF(AG34:AG37,AG37)</f>
        <v>2</v>
      </c>
      <c r="AX37" s="452">
        <f>(AY37*$AT$12)+(BE37*$AT$11)</f>
        <v>13000</v>
      </c>
      <c r="AY37" s="453">
        <f>RANK(AZ37,AZ34:AZ37,1)</f>
        <v>3</v>
      </c>
      <c r="AZ37" s="453">
        <f>SUM(IF(AND(AG37=AG34,AN37=AN34,AL37=AL34),BA37,0),IF(AND(AG37=AG35,AN37=AN35,AL37=AL35),BB37,0),IF(AND(AG37=AG36,AN37=AN36,AL37=AL36),BC37,0))</f>
        <v>1</v>
      </c>
      <c r="BA37" s="454">
        <f>H36</f>
        <v>1</v>
      </c>
      <c r="BB37" s="455">
        <f>H35</f>
        <v>1</v>
      </c>
      <c r="BC37" s="455">
        <f>I33</f>
        <v>2</v>
      </c>
      <c r="BD37" s="456">
        <v>0</v>
      </c>
      <c r="BE37" s="453">
        <f>RANK(BF37,BF34:BF37,1)</f>
        <v>1</v>
      </c>
      <c r="BF37" s="453">
        <f>SUM(IF(AND(AG37=AG34,AN37=AN34,AL37=AL34),BG37,0),IF(AND(AG37=AG35,AN37=AN35,AL37=AL35),BH37,0),IF(AND(AG37=AG36,AN37=AN36,AL37=AL36),BI37,0))</f>
        <v>0</v>
      </c>
      <c r="BG37" s="454">
        <f>BA37-BD34</f>
        <v>-1</v>
      </c>
      <c r="BH37" s="455">
        <f>BB37-BD35</f>
        <v>0</v>
      </c>
      <c r="BI37" s="455">
        <f>BC37-BD36</f>
        <v>1</v>
      </c>
      <c r="BJ37" s="456">
        <v>0</v>
      </c>
      <c r="BK37" s="410"/>
      <c r="BL37" s="412">
        <f t="shared" si="84"/>
        <v>3</v>
      </c>
      <c r="BM37" s="412" t="s">
        <v>175</v>
      </c>
      <c r="BN37" s="412">
        <f>IF(AH37=0,-($AT$13*VLOOKUP(AF37,Tabla3[[ZfP4b()8G6b·$55Ma-t·%fv-ttyZxR-.R*+Fd]:[N!"kvfjM.%&amp;gk5kfmfvv)/%;V$&amp;VW]],2,FALSE)),AG37*$AT$7+AN37*$AT$8+AL37*$AT$9+AX37-($AT$13*VLOOKUP(AF37,Tabla3[[ZfP4b()8G6b·$55Ma-t·%fv-ttyZxR-.R*+Fd]:[N!"kvfjM.%&amp;gk5kfmfvv)/%;V$&amp;VW]],2,FALSE)/100))</f>
        <v>4000412999.96</v>
      </c>
      <c r="BO37" s="412" t="str">
        <f t="shared" si="85"/>
        <v>Costa Rica</v>
      </c>
      <c r="BP37" s="412">
        <f t="shared" si="86"/>
        <v>-39789000.030000001</v>
      </c>
      <c r="BQ37" s="410"/>
      <c r="BR37" s="412">
        <v>4</v>
      </c>
      <c r="BS37" s="412" t="str">
        <f t="shared" si="87"/>
        <v>Costa Rica</v>
      </c>
      <c r="BT37" s="412">
        <f t="shared" si="88"/>
        <v>0</v>
      </c>
      <c r="BU37" s="444">
        <f t="shared" si="89"/>
        <v>39789000.030000001</v>
      </c>
      <c r="BV37" s="412">
        <f t="shared" si="90"/>
        <v>-4</v>
      </c>
      <c r="BW37" s="412">
        <f t="shared" si="91"/>
        <v>2</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x14ac:dyDescent="0.3">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x14ac:dyDescent="0.3">
      <c r="A39" s="74"/>
      <c r="B39" s="557" t="s">
        <v>5</v>
      </c>
      <c r="C39" s="304">
        <v>43268</v>
      </c>
      <c r="D39" s="305">
        <v>0.70833333333333337</v>
      </c>
      <c r="E39" s="306" t="s">
        <v>206</v>
      </c>
      <c r="F39" s="355" t="s">
        <v>148</v>
      </c>
      <c r="G39" s="233"/>
      <c r="H39" s="56">
        <v>3</v>
      </c>
      <c r="I39" s="56">
        <v>1</v>
      </c>
      <c r="J39" s="233"/>
      <c r="K39" s="379" t="s">
        <v>159</v>
      </c>
      <c r="L39" s="149">
        <f t="shared" si="1"/>
        <v>1</v>
      </c>
      <c r="M39" s="79"/>
      <c r="N39" s="186" t="s">
        <v>28</v>
      </c>
      <c r="O39" s="187"/>
      <c r="P39" s="187"/>
      <c r="Q39" s="187"/>
      <c r="R39" s="187"/>
      <c r="S39" s="187"/>
      <c r="T39" s="187"/>
      <c r="U39" s="187"/>
      <c r="V39" s="187"/>
      <c r="W39" s="188"/>
      <c r="X39" s="28"/>
      <c r="Y39" s="509" t="s">
        <v>218</v>
      </c>
      <c r="Z39" s="509"/>
      <c r="AA39" s="509"/>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65" t="s">
        <v>49</v>
      </c>
      <c r="AZ39" s="566"/>
      <c r="BA39" s="566"/>
      <c r="BB39" s="566"/>
      <c r="BC39" s="566"/>
      <c r="BD39" s="567"/>
      <c r="BE39" s="565" t="s">
        <v>48</v>
      </c>
      <c r="BF39" s="566"/>
      <c r="BG39" s="566"/>
      <c r="BH39" s="566"/>
      <c r="BI39" s="566"/>
      <c r="BJ39" s="567"/>
      <c r="BK39" s="410"/>
      <c r="BL39" s="410"/>
      <c r="BM39" s="463"/>
      <c r="BN39" s="410"/>
      <c r="BO39" s="410"/>
      <c r="BP39" s="410"/>
      <c r="BQ39" s="410"/>
      <c r="BR39" s="410"/>
      <c r="BS39" s="410"/>
      <c r="BT39" s="410"/>
      <c r="BU39" s="468"/>
      <c r="BV39" s="410"/>
      <c r="BW39" s="410"/>
      <c r="BX39" s="410"/>
      <c r="BY39" s="14"/>
      <c r="BZ39" s="14" t="s">
        <v>216</v>
      </c>
      <c r="CA39" s="418">
        <f>SUM(CA41:CA44)</f>
        <v>0</v>
      </c>
      <c r="CB39" s="418">
        <f t="shared" ref="CB39:CX39" si="92">SUM(CB41:CB44)</f>
        <v>0</v>
      </c>
      <c r="CC39" s="418">
        <f t="shared" si="92"/>
        <v>0</v>
      </c>
      <c r="CD39" s="418">
        <f t="shared" si="92"/>
        <v>1</v>
      </c>
      <c r="CE39" s="418">
        <f t="shared" si="92"/>
        <v>0</v>
      </c>
      <c r="CF39" s="418">
        <f t="shared" si="92"/>
        <v>2</v>
      </c>
      <c r="CG39" s="418">
        <f t="shared" si="92"/>
        <v>1</v>
      </c>
      <c r="CH39" s="418">
        <f t="shared" si="92"/>
        <v>2</v>
      </c>
      <c r="CI39" s="418">
        <f t="shared" si="92"/>
        <v>0</v>
      </c>
      <c r="CJ39" s="418">
        <f t="shared" si="92"/>
        <v>0</v>
      </c>
      <c r="CK39" s="418">
        <f t="shared" si="92"/>
        <v>0</v>
      </c>
      <c r="CL39" s="418">
        <f t="shared" si="92"/>
        <v>1</v>
      </c>
      <c r="CM39" s="418">
        <f t="shared" si="92"/>
        <v>1</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x14ac:dyDescent="0.25">
      <c r="A40" s="74"/>
      <c r="B40" s="558"/>
      <c r="C40" s="307">
        <v>43269</v>
      </c>
      <c r="D40" s="308">
        <v>0.58333333333333337</v>
      </c>
      <c r="E40" s="309" t="s">
        <v>210</v>
      </c>
      <c r="F40" s="356" t="s">
        <v>167</v>
      </c>
      <c r="G40" s="234"/>
      <c r="H40" s="56">
        <v>2</v>
      </c>
      <c r="I40" s="56">
        <v>1</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09"/>
      <c r="Z40" s="509"/>
      <c r="AA40" s="509"/>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184</v>
      </c>
      <c r="BN40" s="432"/>
      <c r="BO40" s="432" t="s">
        <v>185</v>
      </c>
      <c r="BP40" s="432"/>
      <c r="BQ40" s="410"/>
      <c r="BR40" s="433"/>
      <c r="BS40" s="433" t="s">
        <v>6</v>
      </c>
      <c r="BT40" s="433" t="s">
        <v>17</v>
      </c>
      <c r="BU40" s="469" t="s">
        <v>204</v>
      </c>
      <c r="BV40" s="433" t="s">
        <v>14</v>
      </c>
      <c r="BW40" s="433" t="s">
        <v>205</v>
      </c>
      <c r="BX40" s="410"/>
      <c r="BY40" s="14"/>
      <c r="BZ40" s="14" t="s">
        <v>217</v>
      </c>
      <c r="CA40" s="418" t="s">
        <v>188</v>
      </c>
      <c r="CB40" s="418" t="s">
        <v>197</v>
      </c>
      <c r="CC40" s="418" t="s">
        <v>198</v>
      </c>
      <c r="CD40" s="418" t="s">
        <v>199</v>
      </c>
      <c r="CE40" s="418" t="s">
        <v>200</v>
      </c>
      <c r="CF40" s="418" t="s">
        <v>201</v>
      </c>
      <c r="CG40" s="418" t="s">
        <v>202</v>
      </c>
      <c r="CH40" s="418" t="s">
        <v>203</v>
      </c>
      <c r="CI40" s="418" t="s">
        <v>198</v>
      </c>
      <c r="CJ40" s="418" t="s">
        <v>198</v>
      </c>
      <c r="CK40" s="418" t="s">
        <v>199</v>
      </c>
      <c r="CL40" s="418" t="s">
        <v>202</v>
      </c>
      <c r="CM40" s="418" t="s">
        <v>201</v>
      </c>
      <c r="CN40" s="418" t="s">
        <v>201</v>
      </c>
      <c r="CO40" s="418" t="s">
        <v>200</v>
      </c>
      <c r="CP40" s="418" t="s">
        <v>197</v>
      </c>
      <c r="CQ40" s="418" t="s">
        <v>202</v>
      </c>
      <c r="CR40" s="418" t="s">
        <v>201</v>
      </c>
      <c r="CS40" s="418" t="s">
        <v>199</v>
      </c>
      <c r="CT40" s="418" t="s">
        <v>202</v>
      </c>
      <c r="CU40" s="418" t="s">
        <v>199</v>
      </c>
      <c r="CV40" s="418" t="s">
        <v>201</v>
      </c>
      <c r="CW40" s="418"/>
      <c r="CX40" s="418"/>
      <c r="CY40" s="14"/>
      <c r="CZ40" s="14"/>
      <c r="DA40" s="14"/>
      <c r="DB40" s="14"/>
      <c r="DC40" s="14"/>
      <c r="DD40" s="14"/>
      <c r="DE40" s="14"/>
      <c r="DF40" s="14"/>
      <c r="DG40" s="14"/>
      <c r="DH40" s="14"/>
      <c r="DI40" s="14"/>
      <c r="DJ40" s="14"/>
      <c r="DK40" s="14"/>
      <c r="DL40" s="14"/>
      <c r="DM40" s="14"/>
      <c r="DN40" s="475"/>
    </row>
    <row r="41" spans="1:118 12887:12887" x14ac:dyDescent="0.25">
      <c r="A41" s="74"/>
      <c r="B41" s="558"/>
      <c r="C41" s="307">
        <v>43274</v>
      </c>
      <c r="D41" s="308">
        <v>0.70833333333333337</v>
      </c>
      <c r="E41" s="309" t="s">
        <v>207</v>
      </c>
      <c r="F41" s="356" t="s">
        <v>148</v>
      </c>
      <c r="G41" s="234"/>
      <c r="H41" s="56">
        <v>2</v>
      </c>
      <c r="I41" s="56">
        <v>1</v>
      </c>
      <c r="J41" s="234"/>
      <c r="K41" s="380" t="s">
        <v>167</v>
      </c>
      <c r="L41" s="149">
        <f t="shared" si="1"/>
        <v>1</v>
      </c>
      <c r="M41" s="79"/>
      <c r="N41" s="193">
        <v>1</v>
      </c>
      <c r="O41" s="194" t="str">
        <f>VLOOKUP(N41,$AD$41:$AF$44,3,0)</f>
        <v>Alemania</v>
      </c>
      <c r="P41" s="194">
        <f>VLOOKUP(O41,AF41:AO44,2,FALSE)</f>
        <v>9</v>
      </c>
      <c r="Q41" s="194">
        <f>VLOOKUP(O41,AF41:AO44,3,FALSE)</f>
        <v>3</v>
      </c>
      <c r="R41" s="194">
        <f>VLOOKUP(O41,AF41:AO44,4,FALSE)</f>
        <v>3</v>
      </c>
      <c r="S41" s="194">
        <f>VLOOKUP(O41,AF41:AO44,5,FALSE)</f>
        <v>0</v>
      </c>
      <c r="T41" s="194">
        <f>VLOOKUP(O41,AF41:AO44,6,FALSE)</f>
        <v>0</v>
      </c>
      <c r="U41" s="194">
        <f>VLOOKUP(O41,AF41:AO44,7,FALSE)</f>
        <v>7</v>
      </c>
      <c r="V41" s="194">
        <f>VLOOKUP(O41,AF41:AO44,8,FALSE)</f>
        <v>2</v>
      </c>
      <c r="W41" s="195">
        <f>VLOOKUP(O41,AF41:AO44,9,FALSE)</f>
        <v>5</v>
      </c>
      <c r="X41" s="28">
        <f>IF(SUM($AH$41:$AH$44)=12,MIN(ABS(BP40-BP41),ABS(BP41-BP42)),100)</f>
        <v>5050300000.0200005</v>
      </c>
      <c r="Y41" s="402" t="str">
        <f>IF(AND(X41&gt;=0,X41&lt;90),VLOOKUP(N41,$BL$41:$BM$44,2,0),"")</f>
        <v/>
      </c>
      <c r="Z41" s="406"/>
      <c r="AA41" s="29"/>
      <c r="AB41" s="29"/>
      <c r="AC41" s="413">
        <f>VLOOKUP(O41,$AF$41:$AO$44,10,FALSE)</f>
        <v>9050710999.9899998</v>
      </c>
      <c r="AD41" s="14">
        <f>RANK(AR41,$AR$41:$AR$44)</f>
        <v>1</v>
      </c>
      <c r="AE41" s="434">
        <f>RANK(AO41,AO41:AO44)</f>
        <v>1</v>
      </c>
      <c r="AF41" s="412" t="s">
        <v>148</v>
      </c>
      <c r="AG41" s="418">
        <f>AI41*3+AJ41*1+AK41*0</f>
        <v>9</v>
      </c>
      <c r="AH41" s="418">
        <f>COUNTIFS($F$39:$F$44,AF41,$H$39:$H$44,"&lt;&gt;",$I$39:$I$44,"&lt;&gt;")+COUNTIFS($K$39:$K$44,AF41,$I$39:$I$44,"&lt;&gt;",$H$39:$H$44,"&lt;&gt;")</f>
        <v>3</v>
      </c>
      <c r="AI41" s="418">
        <f t="array" ref="AI41">SUM((F$39:F$44=AF41)*(H$39:H$44&lt;&gt;"")*(I$39:I$44&lt;&gt;"")*(H$39:H$44&gt;I$39:I$44),(K$39:K$44=AF41)*(H$39:H$44&lt;&gt;"")*(I$39:I$44&lt;&gt;"")*(H$39:H$44&lt;I$39:I$44))</f>
        <v>3</v>
      </c>
      <c r="AJ41" s="418">
        <f t="array" ref="AJ41">SUM((F$39:F$44=AF41)*(H$39:H$44&lt;&gt;"")*(I$39:I$44&lt;&gt;"")*(H$39:H$44=I$39:I$44),(K$39:K$44=AF41)*(H$39:H$44&lt;&gt;"")*(I$39:I$44&lt;&gt;"")*(H$39:H$44=I$39:I$44))</f>
        <v>0</v>
      </c>
      <c r="AK41" s="418">
        <f t="array" ref="AK41">SUM((F$39:F$44=AF41)*(I$39:I$44&lt;&gt;"")*(H$39:H$44&lt;&gt;"")*(H$39:H$44&lt;I$39:I$44),(H$39:H$44&lt;&gt;"")*(K$39:K$44=AF41)*(I$39:I$44&lt;&gt;"")*(H$39:H$44&gt;I$39:I$44))</f>
        <v>0</v>
      </c>
      <c r="AL41" s="418">
        <f t="array" ref="AL41">SUMIFS($H$39:$H$44,$F$39:$F$44,AF41,$H$39:$H$44,"&lt;&gt;",$I$39:$I$44,"&lt;&gt;")+SUMIFS($I$39:$I$44,$K$39:$K$44,AF41,$H$39:$H$44,"&lt;&gt;",$I$39:$I$44,"&lt;&gt;")</f>
        <v>7</v>
      </c>
      <c r="AM41" s="418">
        <f t="array" ref="AM41">SUMIFS($H$39:$H$44,$K$39:$K$44,AF41,$H$39:$H$44,"&lt;&gt;",$I$39:$I$44,"&lt;&gt;")+SUMIFS($I$39:$I$44,$F$39:$F$44,AF41,$H$39:$H$44,"&lt;&gt;",$I$39:$I$44,"&lt;&gt;")</f>
        <v>2</v>
      </c>
      <c r="AN41" s="418">
        <f>AL41-AM41</f>
        <v>5</v>
      </c>
      <c r="AO41" s="418">
        <f>IF(AH41=0,-($AT$13*VLOOKUP(AF41,Tabla3[[ZfP4b()8G6b·$55Ma-t·%fv-ttyZxR-.R*+Fd]:[N!"kvfjM.%&amp;gk5kfmfvv)/%;V$&amp;VW]],2,FALSE)),AG41*$AT$7+AN41*$AT$8+AL41*$AT$9+AX41-($AT$13*VLOOKUP(AF41,Tabla3[[ZfP4b()8G6b·$55Ma-t·%fv-ttyZxR-.R*+Fd]:[N!"kvfjM.%&amp;gk5kfmfvv)/%;V$&amp;VW]],2,FALSE)/100))</f>
        <v>9050710999.9899998</v>
      </c>
      <c r="AP41" s="435">
        <f>AE41</f>
        <v>1</v>
      </c>
      <c r="AQ41" s="14"/>
      <c r="AR41" s="14">
        <f>IFERROR(AO41-VLOOKUP(AF41,$Y$41:$Z$44,2,0),AO41)</f>
        <v>9050710999.9899998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3</v>
      </c>
      <c r="BC41" s="442">
        <f>H41</f>
        <v>2</v>
      </c>
      <c r="BD41" s="443">
        <f>I43</f>
        <v>2</v>
      </c>
      <c r="BE41" s="440">
        <f>RANK(BF41,BF41:BF44,1)</f>
        <v>1</v>
      </c>
      <c r="BF41" s="440">
        <f>SUM(IF(AND(AG41=AG42,AN41=AN42,AL41=AL42),BH41,0),IF(AND(AG41=AG43,AN41=AN43,AL41=AL43),BI41,0),IF(AND(AG41=AG44,AN41=AN44,AL41=AL44),BJ41,0))</f>
        <v>0</v>
      </c>
      <c r="BG41" s="441">
        <v>0</v>
      </c>
      <c r="BH41" s="442">
        <f>BB41-BA42</f>
        <v>2</v>
      </c>
      <c r="BI41" s="442">
        <f>BC41-BA43</f>
        <v>1</v>
      </c>
      <c r="BJ41" s="443">
        <f>BD41-BA44</f>
        <v>2</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9050710999.9899998</v>
      </c>
      <c r="BO41" s="412" t="str">
        <f>VLOOKUP(N41,$AE$41:$AF$44,2,0)</f>
        <v>Alemania</v>
      </c>
      <c r="BP41" s="412">
        <f>VLOOKUP($BO41,$AF$41:$AO$44,10,FALSE)</f>
        <v>9050710999.9899998</v>
      </c>
      <c r="BQ41" s="410"/>
      <c r="BR41" s="412">
        <v>1</v>
      </c>
      <c r="BS41" s="412" t="str">
        <f>VLOOKUP(BR41,$AD$41:$AF$44,3,0)</f>
        <v>Alemania</v>
      </c>
      <c r="BT41" s="412">
        <f>VLOOKUP(BS41,$AF$41:$AO$44,2,FALSE)</f>
        <v>9</v>
      </c>
      <c r="BU41" s="444">
        <f>IF(SUM($AH$41:$AH$44)=12,MIN(ABS(BP40-BP41),ABS(BP41-BP42)),100)</f>
        <v>5050300000.0200005</v>
      </c>
      <c r="BV41" s="412">
        <f>VLOOKUP(BS41,$AF$41:$AO$44,9,FALSE)</f>
        <v>5</v>
      </c>
      <c r="BW41" s="412">
        <f>VLOOKUP(BS41,$AF$41:$AO$44,7,FALSE)</f>
        <v>7</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x14ac:dyDescent="0.25">
      <c r="A42" s="74"/>
      <c r="B42" s="558"/>
      <c r="C42" s="307">
        <v>43274</v>
      </c>
      <c r="D42" s="308">
        <v>0.83333333333333337</v>
      </c>
      <c r="E42" s="309" t="s">
        <v>101</v>
      </c>
      <c r="F42" s="356" t="s">
        <v>177</v>
      </c>
      <c r="G42" s="234"/>
      <c r="H42" s="56">
        <v>1</v>
      </c>
      <c r="I42" s="56">
        <v>2</v>
      </c>
      <c r="J42" s="234"/>
      <c r="K42" s="380" t="s">
        <v>159</v>
      </c>
      <c r="L42" s="149">
        <f t="shared" si="1"/>
        <v>1</v>
      </c>
      <c r="M42" s="79"/>
      <c r="N42" s="193">
        <v>2</v>
      </c>
      <c r="O42" s="194" t="str">
        <f>VLOOKUP(N42,$AD$41:$AF$44,3,0)</f>
        <v>Suecia</v>
      </c>
      <c r="P42" s="194">
        <f>VLOOKUP(O42,AF41:AO44,2,FALSE)</f>
        <v>4</v>
      </c>
      <c r="Q42" s="194">
        <f>VLOOKUP(O42,AF41:AO44,3,FALSE)</f>
        <v>3</v>
      </c>
      <c r="R42" s="194">
        <f>VLOOKUP(O42,AF41:AO44,4,FALSE)</f>
        <v>1</v>
      </c>
      <c r="S42" s="194">
        <f>VLOOKUP(O42,AF41:AO44,5,FALSE)</f>
        <v>1</v>
      </c>
      <c r="T42" s="194">
        <f>VLOOKUP(O42,AF41:AO44,6,FALSE)</f>
        <v>1</v>
      </c>
      <c r="U42" s="194">
        <f>VLOOKUP(O42,AF41:AO44,7,FALSE)</f>
        <v>4</v>
      </c>
      <c r="V42" s="194">
        <f>VLOOKUP(O42,AF41:AO44,8,FALSE)</f>
        <v>4</v>
      </c>
      <c r="W42" s="195">
        <f>VLOOKUP(O42,AF41:AO44,9,FALSE)</f>
        <v>0</v>
      </c>
      <c r="X42" s="28">
        <f t="shared" ref="X42:X44" si="96">IF(SUM($AH$41:$AH$44)=12,MIN(ABS(BP41-BP42),ABS(BP42-BP43)),100)</f>
        <v>9999999.9899997711</v>
      </c>
      <c r="Y42" s="402" t="str">
        <f t="shared" ref="Y42:Y44" si="97">IF(AND(X42&gt;=0,X42&lt;90),VLOOKUP(N42,$BL$41:$BM$44,2,0),"")</f>
        <v/>
      </c>
      <c r="Z42" s="406"/>
      <c r="AA42" s="29"/>
      <c r="AB42" s="29"/>
      <c r="AC42" s="413">
        <f t="shared" ref="AC42:AC44" si="98">VLOOKUP(O42,$AF$41:$AO$44,10,FALSE)</f>
        <v>4000410999.9699998</v>
      </c>
      <c r="AD42" s="14">
        <f t="shared" ref="AD42:AD44" si="99">RANK(AR42,$AR$41:$AR$44)</f>
        <v>3</v>
      </c>
      <c r="AE42" s="434">
        <f>RANK(AO42,AO41:AO44)</f>
        <v>3</v>
      </c>
      <c r="AF42" s="412" t="s">
        <v>159</v>
      </c>
      <c r="AG42" s="418">
        <f t="shared" ref="AG42:AG44" si="100">AI42*3+AJ42*1+AK42*0</f>
        <v>4</v>
      </c>
      <c r="AH42" s="418">
        <f t="shared" ref="AH42:AH44" si="101">COUNTIFS($F$39:$F$44,AF42,$H$39:$H$44,"&lt;&gt;",$I$39:$I$44,"&lt;&gt;")+COUNTIFS($K$39:$K$44,AF42,$I$39:$I$44,"&lt;&gt;",$H$39:$H$44,"&lt;&gt;")</f>
        <v>3</v>
      </c>
      <c r="AI42" s="418">
        <f t="array" ref="AI42">SUM((F$39:F$44=AF42)*(H$39:H$44&lt;&gt;"")*(I$39:I$44&lt;&gt;"")*(H$39:H$44&gt;I$39:I$44),(K$39:K$44=AF42)*(H$39:H$44&lt;&gt;"")*(I$39:I$44&lt;&gt;"")*(H$39:H$44&lt;I$39:I$44))</f>
        <v>1</v>
      </c>
      <c r="AJ42" s="418">
        <f t="array" ref="AJ42">SUM((F$39:F$44=AF42)*(H$39:H$44&lt;&gt;"")*(I$39:I$44&lt;&gt;"")*(H$39:H$44=I$39:I$44),(K$39:K$44=AF42)*(H$39:H$44&lt;&gt;"")*(I$39:I$44&lt;&gt;"")*(H$39:H$44=I$39:I$44))</f>
        <v>1</v>
      </c>
      <c r="AK42" s="418">
        <f t="array" ref="AK42">SUM((F$39:F$44=AF42)*(I$39:I$44&lt;&gt;"")*(H$39:H$44&lt;&gt;"")*(H$39:H$44&lt;I$39:I$44),(H$39:H$44&lt;&gt;"")*(K$39:K$44=AF42)*(I$39:I$44&lt;&gt;"")*(H$39:H$44&gt;I$39:I$44))</f>
        <v>1</v>
      </c>
      <c r="AL42" s="418">
        <f t="array" ref="AL42">SUMIFS($H$39:$H$44,$F$39:$F$44,AF42,$H$39:$H$44,"&lt;&gt;",$I$39:$I$44,"&lt;&gt;")+SUMIFS($I$39:$I$44,$K$39:$K$44,AF42,$H$39:$H$44,"&lt;&gt;",$I$39:$I$44,"&lt;&gt;")</f>
        <v>4</v>
      </c>
      <c r="AM42" s="418">
        <f t="array" ref="AM42">SUMIFS($H$39:$H$44,$K$39:$K$44,AF42,$H$39:$H$44,"&lt;&gt;",$I$39:$I$44,"&lt;&gt;")+SUMIFS($I$39:$I$44,$F$39:$F$44,AF42,$H$39:$H$44,"&lt;&gt;",$I$39:$I$44,"&lt;&gt;")</f>
        <v>5</v>
      </c>
      <c r="AN42" s="418">
        <f t="shared" ref="AN42:AN44" si="102">AL42-AM42</f>
        <v>-1</v>
      </c>
      <c r="AO42" s="418">
        <f>IF(AH42=0,-($AT$13*VLOOKUP(AF42,Tabla3[[ZfP4b()8G6b·$55Ma-t·%fv-ttyZxR-.R*+Fd]:[N!"kvfjM.%&amp;gk5kfmfvv)/%;V$&amp;VW]],2,FALSE)),AG42*$AT$7+AN42*$AT$8+AL42*$AT$9+AX42-($AT$13*VLOOKUP(AF42,Tabla3[[ZfP4b()8G6b·$55Ma-t·%fv-ttyZxR-.R*+Fd]:[N!"kvfjM.%&amp;gk5kfmfvv)/%;V$&amp;VW]],2,FALSE)/100))</f>
        <v>3990410999.98</v>
      </c>
      <c r="AP42" s="435">
        <f>AE42</f>
        <v>3</v>
      </c>
      <c r="AQ42" s="14"/>
      <c r="AR42" s="14">
        <f t="shared" ref="AR42:AR44" si="103">IFERROR(AO42-VLOOKUP(AF42,$Y$41:$Z$44,2,0),AO42)</f>
        <v>3990410999.98</v>
      </c>
      <c r="AS42" s="14"/>
      <c r="AT42" s="14"/>
      <c r="AU42" s="14"/>
      <c r="AV42" s="438" t="str">
        <f>AF42</f>
        <v>México</v>
      </c>
      <c r="AW42" s="418">
        <f>COUNTIF(AG41:AG44,AG42)</f>
        <v>2</v>
      </c>
      <c r="AX42" s="439">
        <f>(AY42*$AT$12)+(BE42*$AT$11)</f>
        <v>11000</v>
      </c>
      <c r="AY42" s="440">
        <f>RANK(AZ42,AZ41:AZ44,1)</f>
        <v>1</v>
      </c>
      <c r="AZ42" s="440">
        <f>SUM(IF(AND(AG42=AG43,AN42=AN43,AL42=AL43),BC42,0),IF(AND(AG42=AG44,AN42=AN44,AL42=AL44),BD42,0),IF(AND(AG42=AG41,AN42=AN41,AL42=AL41),BA42,0))</f>
        <v>0</v>
      </c>
      <c r="BA42" s="441">
        <f>I39</f>
        <v>1</v>
      </c>
      <c r="BB42" s="442">
        <v>0</v>
      </c>
      <c r="BC42" s="442">
        <f>H44</f>
        <v>1</v>
      </c>
      <c r="BD42" s="443">
        <f>I42</f>
        <v>2</v>
      </c>
      <c r="BE42" s="440">
        <f>RANK(BF42,BF41:BF44,1)</f>
        <v>1</v>
      </c>
      <c r="BF42" s="440">
        <f>SUM(IF(AND(AG42=AG43,AN42=AN43,AL42=AL43),BI42,0),IF(AND(AG42=AG44,AN42=AN44,AL42=AL44),BJ42,0),IF(AND(AG42=AG41,AN42=AN41,AL42=AL41),BG42,0))</f>
        <v>0</v>
      </c>
      <c r="BG42" s="441">
        <f>BA42-BB41</f>
        <v>-2</v>
      </c>
      <c r="BH42" s="442">
        <v>0</v>
      </c>
      <c r="BI42" s="442">
        <f>BC42-BB43</f>
        <v>0</v>
      </c>
      <c r="BJ42" s="443">
        <f>BD42-BB44</f>
        <v>1</v>
      </c>
      <c r="BK42" s="410"/>
      <c r="BL42" s="412">
        <f t="shared" ref="BL42:BL44" si="104">RANK(BN42,$BN$41:$BN$44)</f>
        <v>3</v>
      </c>
      <c r="BM42" s="412" t="s">
        <v>159</v>
      </c>
      <c r="BN42" s="412">
        <f>IF(AH42=0,-($AT$13*VLOOKUP(AF42,Tabla3[[ZfP4b()8G6b·$55Ma-t·%fv-ttyZxR-.R*+Fd]:[N!"kvfjM.%&amp;gk5kfmfvv)/%;V$&amp;VW]],2,FALSE)),AG42*$AT$7+AN42*$AT$8+AL42*$AT$9+AX42-($AT$13*VLOOKUP(AF42,Tabla3[[ZfP4b()8G6b·$55Ma-t·%fv-ttyZxR-.R*+Fd]:[N!"kvfjM.%&amp;gk5kfmfvv)/%;V$&amp;VW]],2,FALSE)/100))</f>
        <v>3990410999.98</v>
      </c>
      <c r="BO42" s="412" t="str">
        <f t="shared" ref="BO42:BO44" si="105">VLOOKUP(N42,$AE$41:$AF$44,2,0)</f>
        <v>Suecia</v>
      </c>
      <c r="BP42" s="412">
        <f t="shared" ref="BP42:BP44" si="106">VLOOKUP($BO42,$AF$41:$AO$44,10,FALSE)</f>
        <v>4000410999.9699998</v>
      </c>
      <c r="BQ42" s="410"/>
      <c r="BR42" s="412">
        <v>2</v>
      </c>
      <c r="BS42" s="412" t="str">
        <f t="shared" ref="BS42:BS44" si="107">VLOOKUP(BR42,$AD$41:$AF$44,3,0)</f>
        <v>Suecia</v>
      </c>
      <c r="BT42" s="412">
        <f t="shared" ref="BT42:BT44" si="108">VLOOKUP(BS42,$AF$41:$AO$44,2,FALSE)</f>
        <v>4</v>
      </c>
      <c r="BU42" s="444">
        <f t="shared" ref="BU42:BU44" si="109">IF(SUM($AH$41:$AH$44)=12,MIN(ABS(BP41-BP42),ABS(BP42-BP43)),100)</f>
        <v>9999999.9899997711</v>
      </c>
      <c r="BV42" s="412">
        <f t="shared" ref="BV42:BV44" si="110">VLOOKUP(BS42,$AF$41:$AO$44,9,FALSE)</f>
        <v>0</v>
      </c>
      <c r="BW42" s="412">
        <f t="shared" ref="BW42:BW44" si="111">VLOOKUP(BS42,$AF$41:$AO$44,7,FALSE)</f>
        <v>4</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0</v>
      </c>
      <c r="CH42" s="418">
        <f t="array" ref="CH42">IF(AND($BT$42&lt;&gt;$BT$41,$BT$42&lt;&gt;$BT$43),1,0)</f>
        <v>0</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x14ac:dyDescent="0.25">
      <c r="A43" s="74"/>
      <c r="B43" s="558"/>
      <c r="C43" s="307">
        <v>43278</v>
      </c>
      <c r="D43" s="308">
        <v>0.66666666666666663</v>
      </c>
      <c r="E43" s="309" t="s">
        <v>104</v>
      </c>
      <c r="F43" s="356" t="s">
        <v>177</v>
      </c>
      <c r="G43" s="234"/>
      <c r="H43" s="56">
        <v>0</v>
      </c>
      <c r="I43" s="56">
        <v>2</v>
      </c>
      <c r="J43" s="234"/>
      <c r="K43" s="380" t="s">
        <v>148</v>
      </c>
      <c r="L43" s="149">
        <f t="shared" si="1"/>
        <v>1</v>
      </c>
      <c r="M43" s="79"/>
      <c r="N43" s="196">
        <v>3</v>
      </c>
      <c r="O43" s="197" t="str">
        <f>VLOOKUP(N43,$AD$41:$AF$44,3,0)</f>
        <v>México</v>
      </c>
      <c r="P43" s="194">
        <f>VLOOKUP(O43,AF41:AO44,2,FALSE)</f>
        <v>4</v>
      </c>
      <c r="Q43" s="197">
        <f>VLOOKUP(O43,AF41:AO44,3,FALSE)</f>
        <v>3</v>
      </c>
      <c r="R43" s="197">
        <f>VLOOKUP(O43,AF41:AO44,4,FALSE)</f>
        <v>1</v>
      </c>
      <c r="S43" s="197">
        <f>VLOOKUP(O43,AF41:AO44,5,FALSE)</f>
        <v>1</v>
      </c>
      <c r="T43" s="197">
        <f>VLOOKUP(O43,AF41:AO44,6,FALSE)</f>
        <v>1</v>
      </c>
      <c r="U43" s="197">
        <f>VLOOKUP(O43,AF41:AO44,7,FALSE)</f>
        <v>4</v>
      </c>
      <c r="V43" s="197">
        <f>VLOOKUP(O43,AF41:AO44,8,FALSE)</f>
        <v>5</v>
      </c>
      <c r="W43" s="198">
        <f>VLOOKUP(O43,AF41:AO44,9,FALSE)</f>
        <v>-1</v>
      </c>
      <c r="X43" s="28">
        <f t="shared" si="96"/>
        <v>9999999.9899997711</v>
      </c>
      <c r="Y43" s="402" t="str">
        <f t="shared" si="97"/>
        <v/>
      </c>
      <c r="Z43" s="406"/>
      <c r="AA43" s="29"/>
      <c r="AB43" s="29"/>
      <c r="AC43" s="413">
        <f t="shared" si="98"/>
        <v>3990410999.98</v>
      </c>
      <c r="AD43" s="14">
        <f t="shared" si="99"/>
        <v>2</v>
      </c>
      <c r="AE43" s="434">
        <f>RANK(AO43,AO41:AO44)</f>
        <v>2</v>
      </c>
      <c r="AF43" s="412" t="s">
        <v>167</v>
      </c>
      <c r="AG43" s="418">
        <f t="shared" si="100"/>
        <v>4</v>
      </c>
      <c r="AH43" s="418">
        <f t="shared" si="101"/>
        <v>3</v>
      </c>
      <c r="AI43" s="418">
        <f t="array" ref="AI43">SUM((F$39:F$44=AF43)*(H$39:H$44&lt;&gt;"")*(I$39:I$44&lt;&gt;"")*(H$39:H$44&gt;I$39:I$44),(K$39:K$44=AF43)*(H$39:H$44&lt;&gt;"")*(I$39:I$44&lt;&gt;"")*(H$39:H$44&lt;I$39:I$44))</f>
        <v>1</v>
      </c>
      <c r="AJ43" s="418">
        <f t="array" ref="AJ43">SUM((F$39:F$44=AF43)*(H$39:H$44&lt;&gt;"")*(I$39:I$44&lt;&gt;"")*(H$39:H$44=I$39:I$44),(K$39:K$44=AF43)*(H$39:H$44&lt;&gt;"")*(I$39:I$44&lt;&gt;"")*(H$39:H$44=I$39:I$44))</f>
        <v>1</v>
      </c>
      <c r="AK43" s="418">
        <f t="array" ref="AK43">SUM((F$39:F$44=AF43)*(I$39:I$44&lt;&gt;"")*(H$39:H$44&lt;&gt;"")*(H$39:H$44&lt;I$39:I$44),(H$39:H$44&lt;&gt;"")*(K$39:K$44=AF43)*(I$39:I$44&lt;&gt;"")*(H$39:H$44&gt;I$39:I$44))</f>
        <v>1</v>
      </c>
      <c r="AL43" s="418">
        <f t="array" ref="AL43">SUMIFS($H$39:$H$44,$F$39:$F$44,AF43,$H$39:$H$44,"&lt;&gt;",$I$39:$I$44,"&lt;&gt;")+SUMIFS($I$39:$I$44,$K$39:$K$44,AF43,$H$39:$H$44,"&lt;&gt;",$I$39:$I$44,"&lt;&gt;")</f>
        <v>4</v>
      </c>
      <c r="AM43" s="418">
        <f t="array" ref="AM43">SUMIFS($H$39:$H$44,$K$39:$K$44,AF43,$H$39:$H$44,"&lt;&gt;",$I$39:$I$44,"&lt;&gt;")+SUMIFS($I$39:$I$44,$F$39:$F$44,AF43,$H$39:$H$44,"&lt;&gt;",$I$39:$I$44,"&lt;&gt;")</f>
        <v>4</v>
      </c>
      <c r="AN43" s="418">
        <f t="shared" si="102"/>
        <v>0</v>
      </c>
      <c r="AO43" s="418">
        <f>IF(AH43=0,-($AT$13*VLOOKUP(AF43,Tabla3[[ZfP4b()8G6b·$55Ma-t·%fv-ttyZxR-.R*+Fd]:[N!"kvfjM.%&amp;gk5kfmfvv)/%;V$&amp;VW]],2,FALSE)),AG43*$AT$7+AN43*$AT$8+AL43*$AT$9+AX43-($AT$13*VLOOKUP(AF43,Tabla3[[ZfP4b()8G6b·$55Ma-t·%fv-ttyZxR-.R*+Fd]:[N!"kvfjM.%&amp;gk5kfmfvv)/%;V$&amp;VW]],2,FALSE)/100))</f>
        <v>4000410999.9699998</v>
      </c>
      <c r="AP43" s="435">
        <f>AE43</f>
        <v>2</v>
      </c>
      <c r="AQ43" s="14"/>
      <c r="AR43" s="14">
        <f t="shared" si="103"/>
        <v>4000410999.9699998</v>
      </c>
      <c r="AS43" s="14"/>
      <c r="AT43" s="14"/>
      <c r="AU43" s="14"/>
      <c r="AV43" s="438" t="str">
        <f>AF43</f>
        <v>Suecia</v>
      </c>
      <c r="AW43" s="418">
        <f>COUNTIF(AG41:AG44,AG43)</f>
        <v>2</v>
      </c>
      <c r="AX43" s="439">
        <f>(AY43*$AT$12)+(BE43*$AT$11)</f>
        <v>11000</v>
      </c>
      <c r="AY43" s="440">
        <f>RANK(AZ43,AZ41:AZ44,1)</f>
        <v>1</v>
      </c>
      <c r="AZ43" s="440">
        <f>SUM(IF(AND(AG43=AG44,AN43=AN44,AL43=AL44),BD43,0),IF(AND(AG43=AG41,AN43=AN41,AL43=AL41),BA43,0),IF(AND(AG43=AG42,AN43=AN42,AL43=AL42),BB43,0))</f>
        <v>0</v>
      </c>
      <c r="BA43" s="441">
        <f>I41</f>
        <v>1</v>
      </c>
      <c r="BB43" s="442">
        <f>I44</f>
        <v>1</v>
      </c>
      <c r="BC43" s="442">
        <v>0</v>
      </c>
      <c r="BD43" s="443">
        <f>H40</f>
        <v>2</v>
      </c>
      <c r="BE43" s="440">
        <f>RANK(BF43,BF41:BF44,1)</f>
        <v>1</v>
      </c>
      <c r="BF43" s="440">
        <f>SUM(IF(AND(AG43=AG44,AN43=AN44,AL43=AL44),BJ43,0),IF(AND(AG43=AG41,AN43=AN41,AL43=AL41),BG43,0),IF(AND(AG43=AG42,AN43=AN42,AL43=AL42),BH43,0))</f>
        <v>0</v>
      </c>
      <c r="BG43" s="441">
        <f>BA43-BC41</f>
        <v>-1</v>
      </c>
      <c r="BH43" s="442">
        <f>BB43-BC42</f>
        <v>0</v>
      </c>
      <c r="BI43" s="442">
        <v>0</v>
      </c>
      <c r="BJ43" s="443">
        <f>BD43-BC44</f>
        <v>1</v>
      </c>
      <c r="BK43" s="410"/>
      <c r="BL43" s="412">
        <f t="shared" si="104"/>
        <v>2</v>
      </c>
      <c r="BM43" s="412" t="s">
        <v>167</v>
      </c>
      <c r="BN43" s="412">
        <f>IF(AH43=0,-($AT$13*VLOOKUP(AF43,Tabla3[[ZfP4b()8G6b·$55Ma-t·%fv-ttyZxR-.R*+Fd]:[N!"kvfjM.%&amp;gk5kfmfvv)/%;V$&amp;VW]],2,FALSE)),AG43*$AT$7+AN43*$AT$8+AL43*$AT$9+AX43-($AT$13*VLOOKUP(AF43,Tabla3[[ZfP4b()8G6b·$55Ma-t·%fv-ttyZxR-.R*+Fd]:[N!"kvfjM.%&amp;gk5kfmfvv)/%;V$&amp;VW]],2,FALSE)/100))</f>
        <v>4000410999.9699998</v>
      </c>
      <c r="BO43" s="412" t="str">
        <f t="shared" si="105"/>
        <v>México</v>
      </c>
      <c r="BP43" s="412">
        <f t="shared" si="106"/>
        <v>3990410999.98</v>
      </c>
      <c r="BQ43" s="410"/>
      <c r="BR43" s="412">
        <v>3</v>
      </c>
      <c r="BS43" s="412" t="str">
        <f t="shared" si="107"/>
        <v>México</v>
      </c>
      <c r="BT43" s="412">
        <f t="shared" si="108"/>
        <v>4</v>
      </c>
      <c r="BU43" s="444">
        <f t="shared" si="109"/>
        <v>9999999.9899997711</v>
      </c>
      <c r="BV43" s="412">
        <f t="shared" si="110"/>
        <v>-1</v>
      </c>
      <c r="BW43" s="412">
        <f t="shared" si="111"/>
        <v>4</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0</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0</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75" thickBot="1" x14ac:dyDescent="0.3">
      <c r="A44" s="74"/>
      <c r="B44" s="559"/>
      <c r="C44" s="310">
        <v>43278</v>
      </c>
      <c r="D44" s="311">
        <v>0.66666666666666663</v>
      </c>
      <c r="E44" s="312" t="s">
        <v>100</v>
      </c>
      <c r="F44" s="357" t="s">
        <v>159</v>
      </c>
      <c r="G44" s="235"/>
      <c r="H44" s="56">
        <v>1</v>
      </c>
      <c r="I44" s="56">
        <v>1</v>
      </c>
      <c r="J44" s="235"/>
      <c r="K44" s="381" t="s">
        <v>167</v>
      </c>
      <c r="L44" s="149">
        <f t="shared" si="1"/>
        <v>1</v>
      </c>
      <c r="M44" s="79"/>
      <c r="N44" s="199">
        <v>4</v>
      </c>
      <c r="O44" s="200" t="str">
        <f>VLOOKUP(N44,$AD$41:$AF$44,3,0)</f>
        <v>Rep. de Corea</v>
      </c>
      <c r="P44" s="201">
        <f>VLOOKUP(O44,AF41:AO44,2,FALSE)</f>
        <v>0</v>
      </c>
      <c r="Q44" s="200">
        <f>VLOOKUP(O44,AF41:AO44,3,FALSE)</f>
        <v>3</v>
      </c>
      <c r="R44" s="200">
        <f>VLOOKUP(O44,AF41:AO44,4,FALSE)</f>
        <v>0</v>
      </c>
      <c r="S44" s="200">
        <f>VLOOKUP(O44,AF41:AO44,5,FALSE)</f>
        <v>0</v>
      </c>
      <c r="T44" s="200">
        <f>VLOOKUP(O44,AF41:AO44,6,FALSE)</f>
        <v>3</v>
      </c>
      <c r="U44" s="200">
        <f>VLOOKUP(O44,AF41:AO44,7,FALSE)</f>
        <v>2</v>
      </c>
      <c r="V44" s="200">
        <f>VLOOKUP(O44,AF41:AO44,8,FALSE)</f>
        <v>6</v>
      </c>
      <c r="W44" s="202">
        <f>VLOOKUP(O44,AF41:AO44,9,FALSE)</f>
        <v>-4</v>
      </c>
      <c r="X44" s="28">
        <f t="shared" si="96"/>
        <v>39789000.039999999</v>
      </c>
      <c r="Y44" s="402" t="str">
        <f t="shared" si="97"/>
        <v/>
      </c>
      <c r="Z44" s="406"/>
      <c r="AA44" s="29"/>
      <c r="AB44" s="29"/>
      <c r="AC44" s="413">
        <f t="shared" si="98"/>
        <v>-39789000.039999999</v>
      </c>
      <c r="AD44" s="14">
        <f t="shared" si="99"/>
        <v>4</v>
      </c>
      <c r="AE44" s="445">
        <f>RANK(AO44,AO41:AO44)</f>
        <v>4</v>
      </c>
      <c r="AF44" s="446" t="s">
        <v>177</v>
      </c>
      <c r="AG44" s="447">
        <f t="shared" si="100"/>
        <v>0</v>
      </c>
      <c r="AH44" s="447">
        <f t="shared" si="101"/>
        <v>3</v>
      </c>
      <c r="AI44" s="447">
        <f t="array" ref="AI44">SUM((F$39:F$44=AF44)*(H$39:H$44&lt;&gt;"")*(I$39:I$44&lt;&gt;"")*(H$39:H$44&gt;I$39:I$44),(K$39:K$44=AF44)*(H$39:H$44&lt;&gt;"")*(I$39:I$44&lt;&gt;"")*(H$39:H$44&lt;I$39:I$44))</f>
        <v>0</v>
      </c>
      <c r="AJ44" s="447">
        <f t="array" ref="AJ44">SUM((F$39:F$44=AF44)*(H$39:H$44&lt;&gt;"")*(I$39:I$44&lt;&gt;"")*(H$39:H$44=I$39:I$44),(K$39:K$44=AF44)*(H$39:H$44&lt;&gt;"")*(I$39:I$44&lt;&gt;"")*(H$39:H$44=I$39:I$44))</f>
        <v>0</v>
      </c>
      <c r="AK44" s="447">
        <f t="array" ref="AK44">SUM((F$39:F$44=AF44)*(I$39:I$44&lt;&gt;"")*(H$39:H$44&lt;&gt;"")*(H$39:H$44&lt;I$39:I$44),(H$39:H$44&lt;&gt;"")*(K$39:K$44=AF44)*(I$39:I$44&lt;&gt;"")*(H$39:H$44&gt;I$39:I$44))</f>
        <v>3</v>
      </c>
      <c r="AL44" s="447">
        <f t="array" ref="AL44">SUMIFS($H$39:$H$44,$F$39:$F$44,AF44,$H$39:$H$44,"&lt;&gt;",$I$39:$I$44,"&lt;&gt;")+SUMIFS($I$39:$I$44,$K$39:$K$44,AF44,$H$39:$H$44,"&lt;&gt;",$I$39:$I$44,"&lt;&gt;")</f>
        <v>2</v>
      </c>
      <c r="AM44" s="447">
        <f t="array" ref="AM44">SUMIFS($H$39:$H$44,$K$39:$K$44,AF44,$H$39:$H$44,"&lt;&gt;",$I$39:$I$44,"&lt;&gt;")+SUMIFS($I$39:$I$44,$F$39:$F$44,AF44,$H$39:$H$44,"&lt;&gt;",$I$39:$I$44,"&lt;&gt;")</f>
        <v>6</v>
      </c>
      <c r="AN44" s="447">
        <f t="shared" si="102"/>
        <v>-4</v>
      </c>
      <c r="AO44" s="447">
        <f>IF(AH44=0,-($AT$13*VLOOKUP(AF44,Tabla3[[ZfP4b()8G6b·$55Ma-t·%fv-ttyZxR-.R*+Fd]:[N!"kvfjM.%&amp;gk5kfmfvv)/%;V$&amp;VW]],2,FALSE)),AG44*$AT$7+AN44*$AT$8+AL44*$AT$9+AX44-($AT$13*VLOOKUP(AF44,Tabla3[[ZfP4b()8G6b·$55Ma-t·%fv-ttyZxR-.R*+Fd]:[N!"kvfjM.%&amp;gk5kfmfvv)/%;V$&amp;VW]],2,FALSE)/100))</f>
        <v>-39789000.039999999</v>
      </c>
      <c r="AP44" s="449">
        <f>AE44</f>
        <v>4</v>
      </c>
      <c r="AQ44" s="14"/>
      <c r="AR44" s="14">
        <f t="shared" si="103"/>
        <v>-39789000.039999999</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0</v>
      </c>
      <c r="BB44" s="455">
        <f>H42</f>
        <v>1</v>
      </c>
      <c r="BC44" s="455">
        <f>I40</f>
        <v>1</v>
      </c>
      <c r="BD44" s="456">
        <v>0</v>
      </c>
      <c r="BE44" s="453">
        <f>RANK(BF44,BF41:BF44,1)</f>
        <v>1</v>
      </c>
      <c r="BF44" s="453">
        <f>SUM(IF(AND(AG44=AG41,AN44=AN41,AL44=AL41),BG44,0),IF(AND(AG44=AG42,AN44=AN42,AL44=AL42),BH44,0),IF(AND(AG44=AG43,AN44=AN43,AL44=AL43),BI44,0))</f>
        <v>0</v>
      </c>
      <c r="BG44" s="454">
        <f>BA44-BD41</f>
        <v>-2</v>
      </c>
      <c r="BH44" s="455">
        <f>BB44-BD42</f>
        <v>-1</v>
      </c>
      <c r="BI44" s="455">
        <f>BC44-BD43</f>
        <v>-1</v>
      </c>
      <c r="BJ44" s="456">
        <v>0</v>
      </c>
      <c r="BK44" s="410"/>
      <c r="BL44" s="412">
        <f t="shared" si="104"/>
        <v>4</v>
      </c>
      <c r="BM44" s="412" t="s">
        <v>177</v>
      </c>
      <c r="BN44" s="412">
        <f>IF(AH44=0,-($AT$13*VLOOKUP(AF44,Tabla3[[ZfP4b()8G6b·$55Ma-t·%fv-ttyZxR-.R*+Fd]:[N!"kvfjM.%&amp;gk5kfmfvv)/%;V$&amp;VW]],2,FALSE)),AG44*$AT$7+AN44*$AT$8+AL44*$AT$9+AX44-($AT$13*VLOOKUP(AF44,Tabla3[[ZfP4b()8G6b·$55Ma-t·%fv-ttyZxR-.R*+Fd]:[N!"kvfjM.%&amp;gk5kfmfvv)/%;V$&amp;VW]],2,FALSE)/100))</f>
        <v>-39789000.039999999</v>
      </c>
      <c r="BO44" s="412" t="str">
        <f t="shared" si="105"/>
        <v>Rep. de Corea</v>
      </c>
      <c r="BP44" s="412">
        <f t="shared" si="106"/>
        <v>-39789000.039999999</v>
      </c>
      <c r="BQ44" s="410"/>
      <c r="BR44" s="412">
        <v>4</v>
      </c>
      <c r="BS44" s="412" t="str">
        <f t="shared" si="107"/>
        <v>Rep. de Corea</v>
      </c>
      <c r="BT44" s="412">
        <f t="shared" si="108"/>
        <v>0</v>
      </c>
      <c r="BU44" s="444">
        <f t="shared" si="109"/>
        <v>39789000.039999999</v>
      </c>
      <c r="BV44" s="412">
        <f t="shared" si="110"/>
        <v>-4</v>
      </c>
      <c r="BW44" s="412">
        <f t="shared" si="111"/>
        <v>2</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x14ac:dyDescent="0.3">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x14ac:dyDescent="0.3">
      <c r="A46" s="74"/>
      <c r="B46" s="560" t="s">
        <v>8</v>
      </c>
      <c r="C46" s="317">
        <v>43269</v>
      </c>
      <c r="D46" s="318">
        <v>0.70833333333333337</v>
      </c>
      <c r="E46" s="319" t="s">
        <v>207</v>
      </c>
      <c r="F46" s="359" t="s">
        <v>150</v>
      </c>
      <c r="G46" s="255"/>
      <c r="H46" s="483">
        <v>2</v>
      </c>
      <c r="I46" s="483">
        <v>1</v>
      </c>
      <c r="J46" s="237"/>
      <c r="K46" s="383" t="s">
        <v>176</v>
      </c>
      <c r="L46" s="149">
        <f t="shared" ref="L46:L51" si="112">IF(NOT(OR(ISBLANK(H46),ISBLANK(I46))),1,0)</f>
        <v>1</v>
      </c>
      <c r="M46" s="79"/>
      <c r="N46" s="203" t="s">
        <v>105</v>
      </c>
      <c r="O46" s="204"/>
      <c r="P46" s="204"/>
      <c r="Q46" s="204"/>
      <c r="R46" s="204"/>
      <c r="S46" s="204"/>
      <c r="T46" s="204"/>
      <c r="U46" s="204"/>
      <c r="V46" s="204"/>
      <c r="W46" s="205"/>
      <c r="X46" s="28"/>
      <c r="Y46" s="509" t="s">
        <v>218</v>
      </c>
      <c r="Z46" s="509"/>
      <c r="AA46" s="509"/>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65" t="s">
        <v>49</v>
      </c>
      <c r="AZ46" s="566"/>
      <c r="BA46" s="566"/>
      <c r="BB46" s="566"/>
      <c r="BC46" s="566"/>
      <c r="BD46" s="567"/>
      <c r="BE46" s="565" t="s">
        <v>48</v>
      </c>
      <c r="BF46" s="566"/>
      <c r="BG46" s="566"/>
      <c r="BH46" s="566"/>
      <c r="BI46" s="566"/>
      <c r="BJ46" s="567"/>
      <c r="BK46" s="410"/>
      <c r="BL46" s="410"/>
      <c r="BM46" s="463"/>
      <c r="BN46" s="410"/>
      <c r="BO46" s="410"/>
      <c r="BP46" s="410"/>
      <c r="BQ46" s="410"/>
      <c r="BR46" s="410"/>
      <c r="BS46" s="410"/>
      <c r="BT46" s="410"/>
      <c r="BU46" s="468"/>
      <c r="BV46" s="410"/>
      <c r="BW46" s="410"/>
      <c r="BX46" s="410"/>
      <c r="BY46" s="14"/>
      <c r="BZ46" s="14" t="s">
        <v>216</v>
      </c>
      <c r="CA46" s="418">
        <f>SUM(CA48:CA51)</f>
        <v>0</v>
      </c>
      <c r="CB46" s="418">
        <f t="shared" ref="CB46:CX46" si="113">SUM(CB48:CB51)</f>
        <v>0</v>
      </c>
      <c r="CC46" s="418">
        <f t="shared" si="113"/>
        <v>0</v>
      </c>
      <c r="CD46" s="418">
        <f t="shared" si="113"/>
        <v>2</v>
      </c>
      <c r="CE46" s="418">
        <f t="shared" si="113"/>
        <v>0</v>
      </c>
      <c r="CF46" s="418">
        <f t="shared" si="113"/>
        <v>2</v>
      </c>
      <c r="CG46" s="418">
        <f t="shared" si="113"/>
        <v>2</v>
      </c>
      <c r="CH46" s="418">
        <f t="shared" si="113"/>
        <v>4</v>
      </c>
      <c r="CI46" s="418">
        <f t="shared" si="113"/>
        <v>0</v>
      </c>
      <c r="CJ46" s="418">
        <f t="shared" si="113"/>
        <v>0</v>
      </c>
      <c r="CK46" s="418">
        <f t="shared" si="113"/>
        <v>0</v>
      </c>
      <c r="CL46" s="418">
        <f t="shared" si="113"/>
        <v>1</v>
      </c>
      <c r="CM46" s="418">
        <f t="shared" si="113"/>
        <v>1</v>
      </c>
      <c r="CN46" s="418">
        <f t="shared" si="113"/>
        <v>1</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x14ac:dyDescent="0.25">
      <c r="A47" s="74"/>
      <c r="B47" s="560"/>
      <c r="C47" s="317">
        <v>43269</v>
      </c>
      <c r="D47" s="318">
        <v>0.83333333333333337</v>
      </c>
      <c r="E47" s="319" t="s">
        <v>220</v>
      </c>
      <c r="F47" s="359" t="s">
        <v>165</v>
      </c>
      <c r="G47" s="255"/>
      <c r="H47" s="484">
        <v>0</v>
      </c>
      <c r="I47" s="484">
        <v>3</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09"/>
      <c r="Z47" s="509"/>
      <c r="AA47" s="509"/>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184</v>
      </c>
      <c r="BN47" s="432"/>
      <c r="BO47" s="432" t="s">
        <v>185</v>
      </c>
      <c r="BP47" s="432"/>
      <c r="BQ47" s="410"/>
      <c r="BR47" s="433"/>
      <c r="BS47" s="433" t="s">
        <v>6</v>
      </c>
      <c r="BT47" s="433" t="s">
        <v>17</v>
      </c>
      <c r="BU47" s="469" t="s">
        <v>204</v>
      </c>
      <c r="BV47" s="433" t="s">
        <v>14</v>
      </c>
      <c r="BW47" s="433" t="s">
        <v>205</v>
      </c>
      <c r="BX47" s="410"/>
      <c r="BY47" s="14"/>
      <c r="BZ47" s="14" t="s">
        <v>217</v>
      </c>
      <c r="CA47" s="418" t="s">
        <v>188</v>
      </c>
      <c r="CB47" s="418" t="s">
        <v>197</v>
      </c>
      <c r="CC47" s="418" t="s">
        <v>198</v>
      </c>
      <c r="CD47" s="418" t="s">
        <v>199</v>
      </c>
      <c r="CE47" s="418" t="s">
        <v>200</v>
      </c>
      <c r="CF47" s="418" t="s">
        <v>201</v>
      </c>
      <c r="CG47" s="418" t="s">
        <v>202</v>
      </c>
      <c r="CH47" s="418" t="s">
        <v>203</v>
      </c>
      <c r="CI47" s="418" t="s">
        <v>198</v>
      </c>
      <c r="CJ47" s="418" t="s">
        <v>198</v>
      </c>
      <c r="CK47" s="418" t="s">
        <v>199</v>
      </c>
      <c r="CL47" s="418" t="s">
        <v>202</v>
      </c>
      <c r="CM47" s="418" t="s">
        <v>201</v>
      </c>
      <c r="CN47" s="418" t="s">
        <v>201</v>
      </c>
      <c r="CO47" s="418" t="s">
        <v>200</v>
      </c>
      <c r="CP47" s="418" t="s">
        <v>197</v>
      </c>
      <c r="CQ47" s="418" t="s">
        <v>202</v>
      </c>
      <c r="CR47" s="418" t="s">
        <v>201</v>
      </c>
      <c r="CS47" s="418" t="s">
        <v>199</v>
      </c>
      <c r="CT47" s="418" t="s">
        <v>202</v>
      </c>
      <c r="CU47" s="418" t="s">
        <v>199</v>
      </c>
      <c r="CV47" s="418" t="s">
        <v>201</v>
      </c>
      <c r="CW47" s="418"/>
      <c r="CX47" s="418"/>
      <c r="CY47" s="14"/>
      <c r="CZ47" s="14"/>
      <c r="DA47" s="14"/>
      <c r="DB47" s="14"/>
      <c r="DC47" s="14"/>
      <c r="DD47" s="14"/>
      <c r="DE47" s="14"/>
      <c r="DF47" s="14"/>
      <c r="DG47" s="14"/>
      <c r="DH47" s="14"/>
      <c r="DI47" s="14"/>
      <c r="DJ47" s="14"/>
      <c r="DK47" s="14"/>
      <c r="DL47" s="14"/>
      <c r="DM47" s="14"/>
      <c r="DN47" s="475"/>
    </row>
    <row r="48" spans="1:118 12887:12887" x14ac:dyDescent="0.25">
      <c r="A48" s="74"/>
      <c r="B48" s="560"/>
      <c r="C48" s="317">
        <v>43274</v>
      </c>
      <c r="D48" s="318">
        <v>0.58333333333333337</v>
      </c>
      <c r="E48" s="319" t="s">
        <v>209</v>
      </c>
      <c r="F48" s="359" t="s">
        <v>150</v>
      </c>
      <c r="G48" s="255"/>
      <c r="H48" s="484">
        <v>2</v>
      </c>
      <c r="I48" s="484">
        <v>0</v>
      </c>
      <c r="J48" s="237"/>
      <c r="K48" s="384" t="s">
        <v>165</v>
      </c>
      <c r="L48" s="149">
        <f t="shared" si="112"/>
        <v>1</v>
      </c>
      <c r="M48" s="79"/>
      <c r="N48" s="48">
        <v>1</v>
      </c>
      <c r="O48" s="47" t="str">
        <f>VLOOKUP(N48,$AD$48:$AF$51,3,0)</f>
        <v>Inglaterra</v>
      </c>
      <c r="P48" s="39">
        <f>VLOOKUP(O48,AF48:AO51,2,FALSE)</f>
        <v>9</v>
      </c>
      <c r="Q48" s="39">
        <f>VLOOKUP(O48,AF48:AO51,3,FALSE)</f>
        <v>3</v>
      </c>
      <c r="R48" s="39">
        <f>VLOOKUP(O48,AF48:AO51,4,FALSE)</f>
        <v>3</v>
      </c>
      <c r="S48" s="39">
        <f>VLOOKUP(O48,AF48:AO51,5,FALSE)</f>
        <v>0</v>
      </c>
      <c r="T48" s="39">
        <f>VLOOKUP(O48,AF48:AO51,6,FALSE)</f>
        <v>0</v>
      </c>
      <c r="U48" s="39">
        <f>VLOOKUP(O48,AF48:AO51,7,FALSE)</f>
        <v>8</v>
      </c>
      <c r="V48" s="39">
        <f>VLOOKUP(O48,AF48:AO51,8,FALSE)</f>
        <v>2</v>
      </c>
      <c r="W48" s="49">
        <f>VLOOKUP(O48,AF48:AO51,9,FALSE)</f>
        <v>6</v>
      </c>
      <c r="X48" s="28">
        <f>IF(SUM($AH$48:$AH$51)=12,MIN(ABS(BP47-BP48),ABS(BP48-BP49)),100)</f>
        <v>3040299999.9699993</v>
      </c>
      <c r="Y48" s="402" t="str">
        <f>IF(AND(X48&gt;=0,X48&lt;90),VLOOKUP(N48,$BL$48:$BM$51,2,0),"")</f>
        <v/>
      </c>
      <c r="Z48" s="406"/>
      <c r="AA48" s="29"/>
      <c r="AB48" s="29"/>
      <c r="AC48" s="413">
        <f>VLOOKUP(O48,$AF$48:$AO$51,10,FALSE)</f>
        <v>9060810999.9599991</v>
      </c>
      <c r="AD48" s="14">
        <f>RANK(AR48,$AR$48:$AR$51)</f>
        <v>2</v>
      </c>
      <c r="AE48" s="434">
        <f>RANK(AO48,AO48:AO51)</f>
        <v>2</v>
      </c>
      <c r="AF48" s="412" t="s">
        <v>150</v>
      </c>
      <c r="AG48" s="418">
        <f>AI48*3+AJ48*1+AK48*0</f>
        <v>6</v>
      </c>
      <c r="AH48" s="418">
        <f>COUNTIFS($F$46:$F$51,AF48,$H$46:$H$51,"&lt;&gt;",$I$46:$I$51,"&lt;&gt;")+COUNTIFS($K$46:$K$51,AF48,$I$46:$I$51,"&lt;&gt;",$H$46:$H$51,"&lt;&gt;")</f>
        <v>3</v>
      </c>
      <c r="AI48" s="418">
        <f t="array" ref="AI48">SUM((F$46:F$51=AF48)*(H$46:H$51&lt;&gt;"")*(I$46:I$51&lt;&gt;"")*(H$46:H$51&gt;I$46:I$51),(K$46:K$51=AF48)*(H$46:H$51&lt;&gt;"")*(I$46:I$51&lt;&gt;"")*(H$46:H$51&lt;I$46:I$51))</f>
        <v>2</v>
      </c>
      <c r="AJ48" s="418">
        <f t="array" ref="AJ48">SUM((F$46:F$51=AF48)*(H$46:H$51&lt;&gt;"")*(I$46:I$51&lt;&gt;"")*(H$46:H$51=I$46:I$51),(K$46:K$51=AF48)*(I$46:I$51&lt;&gt;"")*(H$46:H$51&lt;&gt;"")*(H$46:H$51=I$46:I$51))</f>
        <v>0</v>
      </c>
      <c r="AK48" s="418">
        <f t="array" ref="AK48">SUM((F$46:F$51=AF48)*(I$46:I$51&lt;&gt;"")*(H$46:H$51&lt;&gt;"")*(H$46:H$51&lt;I$46:I$51),(H$46:H$51&lt;&gt;"")*(K$46:K$51=AF48)*(I$46:I$51&lt;&gt;"")*(H$46:H$51&gt;I$46:I$51))</f>
        <v>1</v>
      </c>
      <c r="AL48" s="418">
        <f t="array" ref="AL48">SUMIFS($H$46:$H$51,$F$46:$F$51,AF48,$H$46:$H$51,"&lt;&gt;",$I$46:$I$51,"&lt;&gt;")+SUMIFS($I$46:$I$51,$K$46:$K$51,AF48,$H$46:$H$51,"&lt;&gt;",$I$46:$I$51,"&lt;&gt;")</f>
        <v>5</v>
      </c>
      <c r="AM48" s="418">
        <f t="array" ref="AM48">SUMIFS($H$46:$H$51,$K$46:$K$51,AF48,$H$46:$H$51,"&lt;&gt;",$I$46:$I$51,"&lt;&gt;")+SUMIFS($I$46:$I$51,$F$46:$F$51,AF48,$H$46:$H$51,"&lt;&gt;",$I$46:$I$51,"&lt;&gt;")</f>
        <v>3</v>
      </c>
      <c r="AN48" s="418">
        <f>AL48-AM48</f>
        <v>2</v>
      </c>
      <c r="AO48" s="418">
        <f>IF(AH48=0,-($AT$13*VLOOKUP(AF48,Tabla3[[ZfP4b()8G6b·$55Ma-t·%fv-ttyZxR-.R*+Fd]:[N!"kvfjM.%&amp;gk5kfmfvv)/%;V$&amp;VW]],2,FALSE)),AG48*$AT$7+AN48*$AT$8+AL48*$AT$9+AX48-($AT$13*VLOOKUP(AF48,Tabla3[[ZfP4b()8G6b·$55Ma-t·%fv-ttyZxR-.R*+Fd]:[N!"kvfjM.%&amp;gk5kfmfvv)/%;V$&amp;VW]],2,FALSE)/100))</f>
        <v>6020510999.9899998</v>
      </c>
      <c r="AP48" s="435">
        <f>AE48</f>
        <v>2</v>
      </c>
      <c r="AQ48" s="14"/>
      <c r="AR48" s="14">
        <f>IFERROR(AO48-VLOOKUP(AF48,$Y$48:$Z$51,2,0),AO48)</f>
        <v>6020510999.9899998</v>
      </c>
      <c r="AS48" s="14"/>
      <c r="AT48" s="14"/>
      <c r="AU48" s="14"/>
      <c r="AV48" s="438" t="str">
        <f>AF48</f>
        <v>Bélgica</v>
      </c>
      <c r="AW48" s="418">
        <f>COUNTIF(AG48:AG51,AG48)</f>
        <v>1</v>
      </c>
      <c r="AX48" s="439">
        <f>(AY48*$AT$12)+(BE48*$AT$11)</f>
        <v>11000</v>
      </c>
      <c r="AY48" s="440">
        <f>RANK(AZ48,AZ48:AZ51,1)</f>
        <v>1</v>
      </c>
      <c r="AZ48" s="440">
        <f>SUM(IF(AND(AG48=AG49,AN48=AN49,AL48=AL49),BB48,0),IF(AND(AG48=AG50,AN48=AN50,AL48=AL50),BC48,0),IF(AND(AG48=AG51,AN48=AN51,AL48=AL51),BD48,0))</f>
        <v>0</v>
      </c>
      <c r="BA48" s="441">
        <v>0</v>
      </c>
      <c r="BB48" s="442">
        <f>H46</f>
        <v>2</v>
      </c>
      <c r="BC48" s="442">
        <f>H48</f>
        <v>2</v>
      </c>
      <c r="BD48" s="443">
        <f>I50</f>
        <v>1</v>
      </c>
      <c r="BE48" s="440">
        <f>RANK(BF48,BF48:BF51,1)</f>
        <v>1</v>
      </c>
      <c r="BF48" s="440">
        <f>SUM(IF(AND(AG48=AG49,AN48=AN49,AL48=AL49),BH48,0),IF(AND(AG48=AG50,AN48=AN50,AL48=AL50),BI48,0),IF(AND(AG48=AG51,AN48=AN51,AL48=AL51),BJ48,0))</f>
        <v>0</v>
      </c>
      <c r="BG48" s="441">
        <v>0</v>
      </c>
      <c r="BH48" s="442">
        <f>BB48-BA49</f>
        <v>1</v>
      </c>
      <c r="BI48" s="442">
        <f>BC48-BA50</f>
        <v>2</v>
      </c>
      <c r="BJ48" s="443">
        <f>BD48-BA51</f>
        <v>-1</v>
      </c>
      <c r="BK48" s="410"/>
      <c r="BL48" s="412">
        <f>RANK(BN48,$BN$48:$BN$51)</f>
        <v>2</v>
      </c>
      <c r="BM48" s="412" t="s">
        <v>150</v>
      </c>
      <c r="BN48" s="412">
        <f>IF(AH48=0,-($AT$13*VLOOKUP(AF48,Tabla3[[ZfP4b()8G6b·$55Ma-t·%fv-ttyZxR-.R*+Fd]:[N!"kvfjM.%&amp;gk5kfmfvv)/%;V$&amp;VW]],2,FALSE)),AG48*$AT$7+AN48*$AT$8+AL48*$AT$9+AX48-($AT$13*VLOOKUP(AF48,Tabla3[[ZfP4b()8G6b·$55Ma-t·%fv-ttyZxR-.R*+Fd]:[N!"kvfjM.%&amp;gk5kfmfvv)/%;V$&amp;VW]],2,FALSE)/100))</f>
        <v>6020510999.9899998</v>
      </c>
      <c r="BO48" s="412" t="str">
        <f>VLOOKUP(N48,$AE$48:$AF$51,2,0)</f>
        <v>Inglaterra</v>
      </c>
      <c r="BP48" s="412">
        <f>VLOOKUP($BO48,$AF$48:$AO$51,10,FALSE)</f>
        <v>9060810999.9599991</v>
      </c>
      <c r="BQ48" s="410"/>
      <c r="BR48" s="412">
        <v>1</v>
      </c>
      <c r="BS48" s="412" t="str">
        <f>VLOOKUP(BR48,$AD$48:$AF$51,3,0)</f>
        <v>Inglaterra</v>
      </c>
      <c r="BT48" s="412">
        <f>VLOOKUP(BS48,$AF$48:$AO$51,2,FALSE)</f>
        <v>9</v>
      </c>
      <c r="BU48" s="444">
        <f>IF(SUM($AH$48:$AH$51)=12,MIN(ABS(BP47-BP48),ABS(BP48-BP49)),100)</f>
        <v>3040299999.9699993</v>
      </c>
      <c r="BV48" s="412">
        <f>VLOOKUP(BS48,$AF$48:$AO$51,9,FALSE)</f>
        <v>6</v>
      </c>
      <c r="BW48" s="412">
        <f>VLOOKUP(BS48,$AF$48:$AO$51,7,FALSE)</f>
        <v>8</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1</v>
      </c>
      <c r="CG48" s="418">
        <f t="array" ref="CG48">IF(AND($BT$48&lt;&gt;$BT$49,$BT$48&lt;&gt;$BT$51),1,0)</f>
        <v>1</v>
      </c>
      <c r="CH48" s="418">
        <f t="array" ref="CH48">IF(AND($BT$48&lt;&gt;$BT$49,$BT$48&lt;&gt;$BT$51),1,0)</f>
        <v>1</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1</v>
      </c>
      <c r="CM48" s="418">
        <f t="array" ref="CM48">IF(AND($BT$48&lt;&gt;$BT$49,$BT$48&lt;&gt;$BT$50),1,0)</f>
        <v>1</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x14ac:dyDescent="0.25">
      <c r="A49" s="74"/>
      <c r="B49" s="560"/>
      <c r="C49" s="317">
        <v>43275</v>
      </c>
      <c r="D49" s="318">
        <v>0.58333333333333337</v>
      </c>
      <c r="E49" s="319" t="s">
        <v>210</v>
      </c>
      <c r="F49" s="359" t="s">
        <v>158</v>
      </c>
      <c r="G49" s="255"/>
      <c r="H49" s="484">
        <v>3</v>
      </c>
      <c r="I49" s="484">
        <v>1</v>
      </c>
      <c r="J49" s="237"/>
      <c r="K49" s="384" t="s">
        <v>176</v>
      </c>
      <c r="L49" s="149">
        <f t="shared" si="112"/>
        <v>1</v>
      </c>
      <c r="M49" s="79"/>
      <c r="N49" s="48">
        <v>2</v>
      </c>
      <c r="O49" s="47" t="str">
        <f>VLOOKUP(N49,$AD$48:$AF$51,3,0)</f>
        <v>Bélgica</v>
      </c>
      <c r="P49" s="39">
        <f>VLOOKUP(O49,AF48:AO51,2,FALSE)</f>
        <v>6</v>
      </c>
      <c r="Q49" s="39">
        <f>VLOOKUP(O49,AF48:AO51,3,FALSE)</f>
        <v>3</v>
      </c>
      <c r="R49" s="39">
        <f>VLOOKUP(O49,AF48:AO51,4,FALSE)</f>
        <v>2</v>
      </c>
      <c r="S49" s="39">
        <f>VLOOKUP(O49,AF48:AO51,5,FALSE)</f>
        <v>0</v>
      </c>
      <c r="T49" s="39">
        <f>VLOOKUP(O49,AF48:AO51,6,FALSE)</f>
        <v>1</v>
      </c>
      <c r="U49" s="39">
        <f>VLOOKUP(O49,AF48:AO51,7,FALSE)</f>
        <v>5</v>
      </c>
      <c r="V49" s="39">
        <f>VLOOKUP(O49,AF48:AO51,8,FALSE)</f>
        <v>3</v>
      </c>
      <c r="W49" s="49">
        <f>VLOOKUP(O49,AF48:AO51,9,FALSE)</f>
        <v>2</v>
      </c>
      <c r="X49" s="28">
        <f t="shared" ref="X49:X51" si="117">IF(SUM($AH$48:$AH$51)=12,MIN(ABS(BP48-BP49),ABS(BP49-BP50)),100)</f>
        <v>3040100000.0099998</v>
      </c>
      <c r="Y49" s="402" t="str">
        <f t="shared" ref="Y49:Y51" si="118">IF(AND(X49&gt;=0,X49&lt;90),VLOOKUP(N49,$BL$48:$BM$51,2,0),"")</f>
        <v/>
      </c>
      <c r="Z49" s="406"/>
      <c r="AA49" s="29"/>
      <c r="AB49" s="29"/>
      <c r="AC49" s="413">
        <f>VLOOKUP(O49,$AF$48:$AO$51,10,FALSE)</f>
        <v>6020510999.9899998</v>
      </c>
      <c r="AD49" s="14">
        <f t="shared" ref="AD49:AD51" si="119">RANK(AR49,$AR$48:$AR$51)</f>
        <v>3</v>
      </c>
      <c r="AE49" s="434">
        <f>RANK(AO49,AO48:AO51)</f>
        <v>3</v>
      </c>
      <c r="AF49" s="412" t="s">
        <v>176</v>
      </c>
      <c r="AG49" s="418">
        <f t="shared" ref="AG49:AG51" si="120">AI49*3+AJ49*1+AK49*0</f>
        <v>3</v>
      </c>
      <c r="AH49" s="418">
        <f t="shared" ref="AH49:AH51" si="121">COUNTIFS($F$46:$F$51,AF49,$H$46:$H$51,"&lt;&gt;",$I$46:$I$51,"&lt;&gt;")+COUNTIFS($K$46:$K$51,AF49,$I$46:$I$51,"&lt;&gt;",$H$46:$H$51,"&lt;&gt;")</f>
        <v>3</v>
      </c>
      <c r="AI49" s="418">
        <f t="array" ref="AI49">SUM((F$46:F$51=AF49)*(H$46:H$51&lt;&gt;"")*(I$46:I$51&lt;&gt;"")*(H$46:H$51&gt;I$46:I$51),(K$46:K$51=AF49)*(H$46:H$51&lt;&gt;"")*(I$46:I$51&lt;&gt;"")*(H$46:H$51&lt;I$46:I$51))</f>
        <v>1</v>
      </c>
      <c r="AJ49" s="418">
        <f t="array" ref="AJ49">SUM((F$46:F$51=AF49)*(H$46:H$51&lt;&gt;"")*(I$46:I$51&lt;&gt;"")*(H$46:H$51=I$46:I$51),(K$46:K$51=AF49)*(I$46:I$51&lt;&gt;"")*(H$46:H$51&lt;&gt;"")*(H$46:H$51=I$46:I$51))</f>
        <v>0</v>
      </c>
      <c r="AK49" s="418">
        <f t="array" ref="AK49">SUM((F$46:F$51=AF49)*(I$46:I$51&lt;&gt;"")*(H$46:H$51&lt;&gt;"")*(H$46:H$51&lt;I$46:I$51),(H$46:H$51&lt;&gt;"")*(K$46:K$51=AF49)*(I$46:I$51&lt;&gt;"")*(H$46:H$51&gt;I$46:I$51))</f>
        <v>2</v>
      </c>
      <c r="AL49" s="418">
        <f t="array" ref="AL49">SUMIFS($H$46:$H$51,$F$46:$F$51,AF49,$H$46:$H$51,"&lt;&gt;",$I$46:$I$51,"&lt;&gt;")+SUMIFS($I$46:$I$51,$K$46:$K$51,AF49,$H$46:$H$51,"&lt;&gt;",$I$46:$I$51,"&lt;&gt;")</f>
        <v>4</v>
      </c>
      <c r="AM49" s="418">
        <f t="array" ref="AM49">SUMIFS($H$46:$H$51,$K$46:$K$51,AF49,$H$46:$H$51,"&lt;&gt;",$I$46:$I$51,"&lt;&gt;")+SUMIFS($I$46:$I$51,$F$46:$F$51,AF49,$H$46:$H$51,"&lt;&gt;",$I$46:$I$51,"&lt;&gt;")</f>
        <v>6</v>
      </c>
      <c r="AN49" s="418">
        <f t="shared" ref="AN49:AN51" si="122">AL49-AM49</f>
        <v>-2</v>
      </c>
      <c r="AO49" s="418">
        <f>IF(AH49=0,-($AT$13*VLOOKUP(AF49,Tabla3[[ZfP4b()8G6b·$55Ma-t·%fv-ttyZxR-.R*+Fd]:[N!"kvfjM.%&amp;gk5kfmfvv)/%;V$&amp;VW]],2,FALSE)),AG49*$AT$7+AN49*$AT$8+AL49*$AT$9+AX49-($AT$13*VLOOKUP(AF49,Tabla3[[ZfP4b()8G6b·$55Ma-t·%fv-ttyZxR-.R*+Fd]:[N!"kvfjM.%&amp;gk5kfmfvv)/%;V$&amp;VW]],2,FALSE)/100))</f>
        <v>2980410999.98</v>
      </c>
      <c r="AP49" s="435">
        <f>AE49</f>
        <v>3</v>
      </c>
      <c r="AQ49" s="14"/>
      <c r="AR49" s="14">
        <f t="shared" ref="AR49:AR51" si="123">IFERROR(AO49-VLOOKUP(AF49,$Y$48:$Z$51,2,0),AO49)</f>
        <v>2980410999.98</v>
      </c>
      <c r="AS49" s="14"/>
      <c r="AT49" s="14"/>
      <c r="AU49" s="14"/>
      <c r="AV49" s="438" t="str">
        <f>AF49</f>
        <v>Panamá</v>
      </c>
      <c r="AW49" s="418">
        <f>COUNTIF(AG48:AG51,AG49)</f>
        <v>1</v>
      </c>
      <c r="AX49" s="439">
        <f>(AY49*$AT$12)+(BE49*$AT$11)</f>
        <v>11000</v>
      </c>
      <c r="AY49" s="440">
        <f>RANK(AZ49,AZ48:AZ51,1)</f>
        <v>1</v>
      </c>
      <c r="AZ49" s="440">
        <f>SUM(IF(AND(AG49=AG50,AN49=AN50,AL49=AL50),BC49,0),IF(AND(AG49=AG51,AN49=AN51,AL49=AL51),BD49,0),IF(AND(AG49=AG48,AN49=AN48,AL49=AL48),BA49,0))</f>
        <v>0</v>
      </c>
      <c r="BA49" s="441">
        <f>I46</f>
        <v>1</v>
      </c>
      <c r="BB49" s="442">
        <v>0</v>
      </c>
      <c r="BC49" s="442">
        <f>H51</f>
        <v>2</v>
      </c>
      <c r="BD49" s="443">
        <f>I49</f>
        <v>1</v>
      </c>
      <c r="BE49" s="440">
        <f>RANK(BF49,BF48:BF51,1)</f>
        <v>1</v>
      </c>
      <c r="BF49" s="440">
        <f>SUM(IF(AND(AG49=AG50,AN49=AN50,AL49=AL50),BI49,0),IF(AND(AG49=AG51,AN49=AN51,AL49=AL51),BJ49,0),IF(AND(AG49=AG48,AN49=AN48,AL49=AL48),BG49,0))</f>
        <v>0</v>
      </c>
      <c r="BG49" s="441">
        <f>BA49-BB48</f>
        <v>-1</v>
      </c>
      <c r="BH49" s="442">
        <v>0</v>
      </c>
      <c r="BI49" s="442">
        <f>BC49-BB50</f>
        <v>1</v>
      </c>
      <c r="BJ49" s="443">
        <f>BD49-BB51</f>
        <v>-2</v>
      </c>
      <c r="BK49" s="410"/>
      <c r="BL49" s="412">
        <f t="shared" ref="BL49:BL51" si="124">RANK(BN49,$BN$48:$BN$51)</f>
        <v>3</v>
      </c>
      <c r="BM49" s="412" t="s">
        <v>176</v>
      </c>
      <c r="BN49" s="412">
        <f>IF(AH49=0,-($AT$13*VLOOKUP(AF49,Tabla3[[ZfP4b()8G6b·$55Ma-t·%fv-ttyZxR-.R*+Fd]:[N!"kvfjM.%&amp;gk5kfmfvv)/%;V$&amp;VW]],2,FALSE)),AG49*$AT$7+AN49*$AT$8+AL49*$AT$9+AX49-($AT$13*VLOOKUP(AF49,Tabla3[[ZfP4b()8G6b·$55Ma-t·%fv-ttyZxR-.R*+Fd]:[N!"kvfjM.%&amp;gk5kfmfvv)/%;V$&amp;VW]],2,FALSE)/100))</f>
        <v>2980410999.98</v>
      </c>
      <c r="BO49" s="412" t="str">
        <f t="shared" ref="BO49:BO51" si="125">VLOOKUP(N49,$AE$48:$AF$51,2,0)</f>
        <v>Bélgica</v>
      </c>
      <c r="BP49" s="412">
        <f t="shared" ref="BP49:BP51" si="126">VLOOKUP($BO49,$AF$48:$AO$51,10,FALSE)</f>
        <v>6020510999.9899998</v>
      </c>
      <c r="BQ49" s="410"/>
      <c r="BR49" s="412">
        <v>2</v>
      </c>
      <c r="BS49" s="412" t="str">
        <f t="shared" ref="BS49:BS51" si="127">VLOOKUP(BR49,$AD$48:$AF$51,3,0)</f>
        <v>Bélgica</v>
      </c>
      <c r="BT49" s="412">
        <f t="shared" ref="BT49:BT51" si="128">VLOOKUP(BS49,$AF$48:$AO$51,2,FALSE)</f>
        <v>6</v>
      </c>
      <c r="BU49" s="444">
        <f t="shared" ref="BU49:BU51" si="129">IF(SUM($AH$48:$AH$51)=12,MIN(ABS(BP48-BP49),ABS(BP49-BP50)),100)</f>
        <v>3040100000.0099998</v>
      </c>
      <c r="BV49" s="412">
        <f t="shared" ref="BV49:BV51" si="130">VLOOKUP(BS49,$AF$48:$AO$51,9,FALSE)</f>
        <v>2</v>
      </c>
      <c r="BW49" s="412">
        <f t="shared" ref="BW49:BW51" si="131">VLOOKUP(BS49,$AF$48:$AO$51,7,FALSE)</f>
        <v>5</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1</v>
      </c>
      <c r="CH49" s="418">
        <f t="array" ref="CH49">IF(AND($BT$49&lt;&gt;$BT$48,$BT$49&lt;&gt;$BT$50),1,0)</f>
        <v>1</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x14ac:dyDescent="0.25">
      <c r="A50" s="74"/>
      <c r="B50" s="560"/>
      <c r="C50" s="317">
        <v>43279</v>
      </c>
      <c r="D50" s="318">
        <v>0.83333333333333337</v>
      </c>
      <c r="E50" s="319" t="s">
        <v>208</v>
      </c>
      <c r="F50" s="359" t="s">
        <v>158</v>
      </c>
      <c r="G50" s="255"/>
      <c r="H50" s="484">
        <v>2</v>
      </c>
      <c r="I50" s="484">
        <v>1</v>
      </c>
      <c r="J50" s="237"/>
      <c r="K50" s="384" t="s">
        <v>150</v>
      </c>
      <c r="L50" s="149">
        <f t="shared" si="112"/>
        <v>1</v>
      </c>
      <c r="M50" s="79"/>
      <c r="N50" s="40">
        <v>3</v>
      </c>
      <c r="O50" s="38" t="str">
        <f>VLOOKUP(N50,$AD$48:$AF$51,3,0)</f>
        <v>Panamá</v>
      </c>
      <c r="P50" s="39">
        <f>VLOOKUP(O50,AF48:AO51,2,FALSE)</f>
        <v>3</v>
      </c>
      <c r="Q50" s="37">
        <f>VLOOKUP(O50,AF48:AO51,3,FALSE)</f>
        <v>3</v>
      </c>
      <c r="R50" s="37">
        <f>VLOOKUP(O50,AF48:AO51,4,FALSE)</f>
        <v>1</v>
      </c>
      <c r="S50" s="37">
        <f>VLOOKUP(O50,AF48:AO51,5,FALSE)</f>
        <v>0</v>
      </c>
      <c r="T50" s="37">
        <f>VLOOKUP(O50,AF48:AO51,6,FALSE)</f>
        <v>2</v>
      </c>
      <c r="U50" s="37">
        <f>VLOOKUP(O50,AF48:AO51,7,FALSE)</f>
        <v>4</v>
      </c>
      <c r="V50" s="37">
        <f>VLOOKUP(O50,AF48:AO51,8,FALSE)</f>
        <v>6</v>
      </c>
      <c r="W50" s="45">
        <f>VLOOKUP(O50,AF48:AO51,9,FALSE)</f>
        <v>-2</v>
      </c>
      <c r="X50" s="28">
        <f t="shared" si="117"/>
        <v>3040100000.0099998</v>
      </c>
      <c r="Y50" s="402" t="str">
        <f t="shared" si="118"/>
        <v/>
      </c>
      <c r="Z50" s="406"/>
      <c r="AA50" s="29"/>
      <c r="AB50" s="29"/>
      <c r="AC50" s="413">
        <f>VLOOKUP(O50,$AF$48:$AO$51,10,FALSE)</f>
        <v>2980410999.98</v>
      </c>
      <c r="AD50" s="14">
        <f t="shared" si="119"/>
        <v>4</v>
      </c>
      <c r="AE50" s="434">
        <f>RANK(AO50,AO48:AO51)</f>
        <v>4</v>
      </c>
      <c r="AF50" s="412" t="s">
        <v>165</v>
      </c>
      <c r="AG50" s="418">
        <f t="shared" si="120"/>
        <v>0</v>
      </c>
      <c r="AH50" s="418">
        <f t="shared" si="121"/>
        <v>3</v>
      </c>
      <c r="AI50" s="418">
        <f t="array" ref="AI50">SUM((F$46:F$51=AF50)*(H$46:H$51&lt;&gt;"")*(I$46:I$51&lt;&gt;"")*(H$46:H$51&gt;I$46:I$51),(K$46:K$51=AF50)*(H$46:H$51&lt;&gt;"")*(I$46:I$51&lt;&gt;"")*(H$46:H$51&lt;I$46:I$51))</f>
        <v>0</v>
      </c>
      <c r="AJ50" s="418">
        <f t="array" ref="AJ50">SUM((F$46:F$51=AF50)*(H$46:H$51&lt;&gt;"")*(I$46:I$51&lt;&gt;"")*(H$46:H$51=I$46:I$51),(K$46:K$51=AF50)*(I$46:I$51&lt;&gt;"")*(H$46:H$51&lt;&gt;"")*(H$46:H$51=I$46:I$51))</f>
        <v>0</v>
      </c>
      <c r="AK50" s="418">
        <f t="array" ref="AK50">SUM((F$46:F$51=AF50)*(I$46:I$51&lt;&gt;"")*(H$46:H$51&lt;&gt;"")*(H$46:H$51&lt;I$46:I$51),(H$46:H$51&lt;&gt;"")*(K$46:K$51=AF50)*(I$46:I$51&lt;&gt;"")*(H$46:H$51&gt;I$46:I$51))</f>
        <v>3</v>
      </c>
      <c r="AL50" s="418">
        <f t="array" ref="AL50">SUMIFS($H$46:$H$51,$F$46:$F$51,AF50,$H$46:$H$51,"&lt;&gt;",$I$46:$I$51,"&lt;&gt;")+SUMIFS($I$46:$I$51,$K$46:$K$51,AF50,$H$46:$H$51,"&lt;&gt;",$I$46:$I$51,"&lt;&gt;")</f>
        <v>1</v>
      </c>
      <c r="AM50" s="418">
        <f t="array" ref="AM50">SUMIFS($H$46:$H$51,$K$46:$K$51,AF50,$H$46:$H$51,"&lt;&gt;",$I$46:$I$51,"&lt;&gt;")+SUMIFS($I$46:$I$51,$F$46:$F$51,AF50,$H$46:$H$51,"&lt;&gt;",$I$46:$I$51,"&lt;&gt;")</f>
        <v>7</v>
      </c>
      <c r="AN50" s="418">
        <f t="shared" si="122"/>
        <v>-6</v>
      </c>
      <c r="AO50" s="418">
        <f>IF(AH50=0,-($AT$13*VLOOKUP(AF50,Tabla3[[ZfP4b()8G6b·$55Ma-t·%fv-ttyZxR-.R*+Fd]:[N!"kvfjM.%&amp;gk5kfmfvv)/%;V$&amp;VW]],2,FALSE)),AG50*$AT$7+AN50*$AT$8+AL50*$AT$9+AX50-($AT$13*VLOOKUP(AF50,Tabla3[[ZfP4b()8G6b·$55Ma-t·%fv-ttyZxR-.R*+Fd]:[N!"kvfjM.%&amp;gk5kfmfvv)/%;V$&amp;VW]],2,FALSE)/100))</f>
        <v>-59889000.030000001</v>
      </c>
      <c r="AP50" s="435">
        <f>AE50</f>
        <v>4</v>
      </c>
      <c r="AQ50" s="14"/>
      <c r="AR50" s="14">
        <f t="shared" si="123"/>
        <v>-59889000.030000001</v>
      </c>
      <c r="AS50" s="14"/>
      <c r="AT50" s="14"/>
      <c r="AU50" s="14"/>
      <c r="AV50" s="438" t="str">
        <f>AF50</f>
        <v>Túnez</v>
      </c>
      <c r="AW50" s="418">
        <f>COUNTIF(AG48:AG51,AG50)</f>
        <v>1</v>
      </c>
      <c r="AX50" s="439">
        <f>(AY50*$AT$12)+(BE50*$AT$11)</f>
        <v>11000</v>
      </c>
      <c r="AY50" s="440">
        <f>RANK(AZ50,AZ48:AZ51,1)</f>
        <v>1</v>
      </c>
      <c r="AZ50" s="440">
        <f>SUM(IF(AND(AG50=AG51,AN50=AN51,AL50=AL51),BD50,0),IF(AND(AG50=AG48,AN50=AN48,AL50=AL48),BA50,0),IF(AND(AG50=AG49,AN50=AN49,AL50=AL49),BB50,0))</f>
        <v>0</v>
      </c>
      <c r="BA50" s="441">
        <f>I48</f>
        <v>0</v>
      </c>
      <c r="BB50" s="442">
        <f>I51</f>
        <v>1</v>
      </c>
      <c r="BC50" s="442">
        <v>0</v>
      </c>
      <c r="BD50" s="443">
        <f>H47</f>
        <v>0</v>
      </c>
      <c r="BE50" s="440">
        <f>RANK(BF50,BF48:BF51,1)</f>
        <v>1</v>
      </c>
      <c r="BF50" s="440">
        <f>SUM(IF(AND(AG50=AG51,AN50=AN51,AL50=AL51),BJ50,0),IF(AND(AG50=AG48,AN50=AN48,AL50=AL48),BG50,0),IF(AND(AG50=AG49,AN50=AN49,AL50=AL49),BH50,0))</f>
        <v>0</v>
      </c>
      <c r="BG50" s="441">
        <f>BA50-BC48</f>
        <v>-2</v>
      </c>
      <c r="BH50" s="442">
        <f>BB50-BC49</f>
        <v>-1</v>
      </c>
      <c r="BI50" s="442">
        <v>0</v>
      </c>
      <c r="BJ50" s="443">
        <f>BD50-BC51</f>
        <v>-3</v>
      </c>
      <c r="BK50" s="410"/>
      <c r="BL50" s="412">
        <f t="shared" si="124"/>
        <v>4</v>
      </c>
      <c r="BM50" s="412" t="s">
        <v>165</v>
      </c>
      <c r="BN50" s="412">
        <f>IF(AH50=0,-($AT$13*VLOOKUP(AF50,Tabla3[[ZfP4b()8G6b·$55Ma-t·%fv-ttyZxR-.R*+Fd]:[N!"kvfjM.%&amp;gk5kfmfvv)/%;V$&amp;VW]],2,FALSE)),AG50*$AT$7+AN50*$AT$8+AL50*$AT$9+AX50-($AT$13*VLOOKUP(AF50,Tabla3[[ZfP4b()8G6b·$55Ma-t·%fv-ttyZxR-.R*+Fd]:[N!"kvfjM.%&amp;gk5kfmfvv)/%;V$&amp;VW]],2,FALSE)/100))</f>
        <v>-59889000.030000001</v>
      </c>
      <c r="BO50" s="412" t="str">
        <f t="shared" si="125"/>
        <v>Panamá</v>
      </c>
      <c r="BP50" s="412">
        <f t="shared" si="126"/>
        <v>2980410999.98</v>
      </c>
      <c r="BQ50" s="410"/>
      <c r="BR50" s="412">
        <v>3</v>
      </c>
      <c r="BS50" s="412" t="str">
        <f t="shared" si="127"/>
        <v>Panamá</v>
      </c>
      <c r="BT50" s="412">
        <f t="shared" si="128"/>
        <v>3</v>
      </c>
      <c r="BU50" s="444">
        <f t="shared" si="129"/>
        <v>3040100000.0099998</v>
      </c>
      <c r="BV50" s="412">
        <f t="shared" si="130"/>
        <v>-2</v>
      </c>
      <c r="BW50" s="412">
        <f t="shared" si="131"/>
        <v>4</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1</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75" thickBot="1" x14ac:dyDescent="0.3">
      <c r="A51" s="74"/>
      <c r="B51" s="561"/>
      <c r="C51" s="320">
        <v>43279</v>
      </c>
      <c r="D51" s="321">
        <v>0.83333333333333337</v>
      </c>
      <c r="E51" s="322" t="s">
        <v>103</v>
      </c>
      <c r="F51" s="360" t="s">
        <v>176</v>
      </c>
      <c r="G51" s="256"/>
      <c r="H51" s="484">
        <v>2</v>
      </c>
      <c r="I51" s="484">
        <v>1</v>
      </c>
      <c r="J51" s="238"/>
      <c r="K51" s="385" t="s">
        <v>165</v>
      </c>
      <c r="L51" s="149">
        <f t="shared" si="112"/>
        <v>1</v>
      </c>
      <c r="M51" s="79"/>
      <c r="N51" s="41">
        <v>4</v>
      </c>
      <c r="O51" s="42" t="str">
        <f>VLOOKUP(N51,$AD$48:$AF$51,3,0)</f>
        <v>Túnez</v>
      </c>
      <c r="P51" s="43">
        <f>VLOOKUP(O51,AF48:AO51,2,FALSE)</f>
        <v>0</v>
      </c>
      <c r="Q51" s="44">
        <f>VLOOKUP(O51,AF48:AO51,3,FALSE)</f>
        <v>3</v>
      </c>
      <c r="R51" s="44">
        <f>VLOOKUP(O51,AF48:AO51,4,FALSE)</f>
        <v>0</v>
      </c>
      <c r="S51" s="44">
        <f>VLOOKUP(O51,AF48:AO51,5,FALSE)</f>
        <v>0</v>
      </c>
      <c r="T51" s="44">
        <f>VLOOKUP(O51,AF48:AO51,6,FALSE)</f>
        <v>3</v>
      </c>
      <c r="U51" s="44">
        <f>VLOOKUP(O51,AF48:AO51,7,FALSE)</f>
        <v>1</v>
      </c>
      <c r="V51" s="44">
        <f>VLOOKUP(O51,AF48:AO51,8,FALSE)</f>
        <v>7</v>
      </c>
      <c r="W51" s="46">
        <f>VLOOKUP(O51,AF48:AO51,9,FALSE)</f>
        <v>-6</v>
      </c>
      <c r="X51" s="28">
        <f t="shared" si="117"/>
        <v>59889000.030000001</v>
      </c>
      <c r="Y51" s="402" t="str">
        <f t="shared" si="118"/>
        <v/>
      </c>
      <c r="Z51" s="406"/>
      <c r="AA51" s="29"/>
      <c r="AB51" s="29"/>
      <c r="AC51" s="413">
        <f>VLOOKUP(O51,$AF$48:$AO$51,10,FALSE)</f>
        <v>-59889000.030000001</v>
      </c>
      <c r="AD51" s="14">
        <f t="shared" si="119"/>
        <v>1</v>
      </c>
      <c r="AE51" s="445">
        <f>RANK(AO51,AO48:AO51)</f>
        <v>1</v>
      </c>
      <c r="AF51" s="446" t="s">
        <v>158</v>
      </c>
      <c r="AG51" s="447">
        <f t="shared" si="120"/>
        <v>9</v>
      </c>
      <c r="AH51" s="447">
        <f t="shared" si="121"/>
        <v>3</v>
      </c>
      <c r="AI51" s="447">
        <f t="array" ref="AI51">SUM((F$46:F$51=AF51)*(H$46:H$51&lt;&gt;"")*(I$46:I$51&lt;&gt;"")*(H$46:H$51&gt;I$46:I$51),(K$46:K$51=AF51)*(H$46:H$51&lt;&gt;"")*(I$46:I$51&lt;&gt;"")*(H$46:H$51&lt;I$46:I$51))</f>
        <v>3</v>
      </c>
      <c r="AJ51" s="447">
        <f t="array" ref="AJ51">SUM((F$46:F$51=AF51)*(H$46:H$51&lt;&gt;"")*(I$46:I$51&lt;&gt;"")*(H$46:H$51=I$46:I$51),(K$46:K$51=AF51)*(I$46:I$51&lt;&gt;"")*(H$46:H$51&lt;&gt;"")*(H$46:H$51=I$46:I$51))</f>
        <v>0</v>
      </c>
      <c r="AK51" s="447">
        <f t="array" ref="AK51">SUM((F$46:F$51=AF51)*(I$46:I$51&lt;&gt;"")*(H$46:H$51&lt;&gt;"")*(H$46:H$51&lt;I$46:I$51),(H$46:H$51&lt;&gt;"")*(K$46:K$51=AF51)*(I$46:I$51&lt;&gt;"")*(H$46:H$51&gt;I$46:I$51))</f>
        <v>0</v>
      </c>
      <c r="AL51" s="448">
        <f t="array" ref="AL51">SUMIFS($H$46:$H$51,$F$46:$F$51,AF51,$H$46:$H$51,"&lt;&gt;",$I$46:$I$51,"&lt;&gt;")+SUMIFS($I$46:$I$51,$K$46:$K$51,AF51,$H$46:$H$51,"&lt;&gt;",$I$46:$I$51,"&lt;&gt;")</f>
        <v>8</v>
      </c>
      <c r="AM51" s="447">
        <f t="array" ref="AM51">SUMIFS($H$46:$H$51,$K$46:$K$51,AF51,$H$46:$H$51,"&lt;&gt;",$I$46:$I$51,"&lt;&gt;")+SUMIFS($I$46:$I$51,$F$46:$F$51,AF51,$H$46:$H$51,"&lt;&gt;",$I$46:$I$51,"&lt;&gt;")</f>
        <v>2</v>
      </c>
      <c r="AN51" s="447">
        <f t="shared" si="122"/>
        <v>6</v>
      </c>
      <c r="AO51" s="447">
        <f>IF(AH51=0,-($AT$13*VLOOKUP(AF51,Tabla3[[ZfP4b()8G6b·$55Ma-t·%fv-ttyZxR-.R*+Fd]:[N!"kvfjM.%&amp;gk5kfmfvv)/%;V$&amp;VW]],2,FALSE)),AG51*$AT$7+AN51*$AT$8+AL51*$AT$9+AX51-($AT$13*VLOOKUP(AF51,Tabla3[[ZfP4b()8G6b·$55Ma-t·%fv-ttyZxR-.R*+Fd]:[N!"kvfjM.%&amp;gk5kfmfvv)/%;V$&amp;VW]],2,FALSE)/100))</f>
        <v>9060810999.9599991</v>
      </c>
      <c r="AP51" s="449">
        <f>AE51</f>
        <v>1</v>
      </c>
      <c r="AQ51" s="14"/>
      <c r="AR51" s="14">
        <f t="shared" si="123"/>
        <v>9060810999.9599991</v>
      </c>
      <c r="AS51" s="14"/>
      <c r="AT51" s="14"/>
      <c r="AU51" s="14"/>
      <c r="AV51" s="450" t="str">
        <f>AF51</f>
        <v>Inglaterra</v>
      </c>
      <c r="AW51" s="451">
        <f>COUNTIF(AG48:AG51,AG51)</f>
        <v>1</v>
      </c>
      <c r="AX51" s="452">
        <f>(AY51*$AT$12)+(BE51*$AT$11)</f>
        <v>11000</v>
      </c>
      <c r="AY51" s="453">
        <f>RANK(AZ51,AZ48:AZ51,1)</f>
        <v>1</v>
      </c>
      <c r="AZ51" s="453">
        <f>SUM(IF(AND(AG51=AG48,AN51=AN48,AL51=AL48),BA51,0),IF(AND(AG51=AG49,AN51=AN49,AL51=AL49),BB51,0),IF(AND(AG51=AG50,AN51=AN50,AL51=AL50),BC51,0))</f>
        <v>0</v>
      </c>
      <c r="BA51" s="454">
        <f>H50</f>
        <v>2</v>
      </c>
      <c r="BB51" s="455">
        <f>H49</f>
        <v>3</v>
      </c>
      <c r="BC51" s="455">
        <f>I47</f>
        <v>3</v>
      </c>
      <c r="BD51" s="456">
        <v>0</v>
      </c>
      <c r="BE51" s="453">
        <f>RANK(BF51,BF48:BF51,1)</f>
        <v>1</v>
      </c>
      <c r="BF51" s="453">
        <f>SUM(IF(AND(AG51=AG48,AN51=AN48,AL51=AL48),BG51,0),IF(AND(AG51=AG49,AN51=AN49,AL51=AL49),BH51,0),IF(AND(AG51=AG50,AN51=AN50,AL51=AL50),BI51,0))</f>
        <v>0</v>
      </c>
      <c r="BG51" s="454">
        <f>BA51-BD48</f>
        <v>1</v>
      </c>
      <c r="BH51" s="455">
        <f>BB51-BD49</f>
        <v>2</v>
      </c>
      <c r="BI51" s="455">
        <f>BC51-BD50</f>
        <v>3</v>
      </c>
      <c r="BJ51" s="456">
        <v>0</v>
      </c>
      <c r="BK51" s="410"/>
      <c r="BL51" s="412">
        <f t="shared" si="124"/>
        <v>1</v>
      </c>
      <c r="BM51" s="412" t="s">
        <v>158</v>
      </c>
      <c r="BN51" s="412">
        <f>IF(AH51=0,-($AT$13*VLOOKUP(AF51,Tabla3[[ZfP4b()8G6b·$55Ma-t·%fv-ttyZxR-.R*+Fd]:[N!"kvfjM.%&amp;gk5kfmfvv)/%;V$&amp;VW]],2,FALSE)),AG51*$AT$7+AN51*$AT$8+AL51*$AT$9+AX51-($AT$13*VLOOKUP(AF51,Tabla3[[ZfP4b()8G6b·$55Ma-t·%fv-ttyZxR-.R*+Fd]:[N!"kvfjM.%&amp;gk5kfmfvv)/%;V$&amp;VW]],2,FALSE)/100))</f>
        <v>9060810999.9599991</v>
      </c>
      <c r="BO51" s="412" t="str">
        <f t="shared" si="125"/>
        <v>Túnez</v>
      </c>
      <c r="BP51" s="412">
        <f t="shared" si="126"/>
        <v>-59889000.030000001</v>
      </c>
      <c r="BQ51" s="410"/>
      <c r="BR51" s="412">
        <v>4</v>
      </c>
      <c r="BS51" s="412" t="str">
        <f t="shared" si="127"/>
        <v>Túnez</v>
      </c>
      <c r="BT51" s="412">
        <f t="shared" si="128"/>
        <v>0</v>
      </c>
      <c r="BU51" s="444">
        <f t="shared" si="129"/>
        <v>59889000.030000001</v>
      </c>
      <c r="BV51" s="412">
        <f t="shared" si="130"/>
        <v>-6</v>
      </c>
      <c r="BW51" s="412">
        <f t="shared" si="131"/>
        <v>1</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1</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x14ac:dyDescent="0.3">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x14ac:dyDescent="0.3">
      <c r="A53" s="74"/>
      <c r="B53" s="562" t="s">
        <v>107</v>
      </c>
      <c r="C53" s="323">
        <v>43270</v>
      </c>
      <c r="D53" s="324">
        <v>0.58333333333333337</v>
      </c>
      <c r="E53" s="325" t="s">
        <v>209</v>
      </c>
      <c r="F53" s="361" t="s">
        <v>149</v>
      </c>
      <c r="G53" s="239"/>
      <c r="H53" s="485">
        <v>2</v>
      </c>
      <c r="I53" s="485">
        <v>0</v>
      </c>
      <c r="J53" s="239"/>
      <c r="K53" s="386" t="s">
        <v>164</v>
      </c>
      <c r="L53" s="149">
        <f t="shared" ref="L53:L58" si="132">IF(NOT(OR(ISBLANK(H53),ISBLANK(I53))),1,0)</f>
        <v>1</v>
      </c>
      <c r="M53" s="79"/>
      <c r="N53" s="210" t="s">
        <v>108</v>
      </c>
      <c r="O53" s="211"/>
      <c r="P53" s="211"/>
      <c r="Q53" s="211"/>
      <c r="R53" s="211"/>
      <c r="S53" s="211"/>
      <c r="T53" s="211"/>
      <c r="U53" s="211"/>
      <c r="V53" s="211"/>
      <c r="W53" s="212"/>
      <c r="X53" s="29"/>
      <c r="Y53" s="509" t="s">
        <v>218</v>
      </c>
      <c r="Z53" s="509"/>
      <c r="AA53" s="509"/>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65" t="s">
        <v>49</v>
      </c>
      <c r="AZ53" s="566"/>
      <c r="BA53" s="566"/>
      <c r="BB53" s="566"/>
      <c r="BC53" s="566"/>
      <c r="BD53" s="567"/>
      <c r="BE53" s="565" t="s">
        <v>48</v>
      </c>
      <c r="BF53" s="566"/>
      <c r="BG53" s="566"/>
      <c r="BH53" s="566"/>
      <c r="BI53" s="566"/>
      <c r="BJ53" s="567"/>
      <c r="BK53" s="410"/>
      <c r="BL53" s="410"/>
      <c r="BM53" s="463"/>
      <c r="BN53" s="410"/>
      <c r="BO53" s="410"/>
      <c r="BP53" s="410"/>
      <c r="BQ53" s="410"/>
      <c r="BR53" s="410"/>
      <c r="BS53" s="410"/>
      <c r="BT53" s="410"/>
      <c r="BU53" s="468"/>
      <c r="BV53" s="410"/>
      <c r="BW53" s="410"/>
      <c r="BX53" s="410"/>
      <c r="BY53" s="14"/>
      <c r="BZ53" s="14" t="s">
        <v>216</v>
      </c>
      <c r="CA53" s="418">
        <f>SUM(CA55:CA58)</f>
        <v>0</v>
      </c>
      <c r="CB53" s="418">
        <f t="shared" ref="CB53:CX53" si="133">SUM(CB55:CB58)</f>
        <v>0</v>
      </c>
      <c r="CC53" s="418">
        <f t="shared" si="133"/>
        <v>0</v>
      </c>
      <c r="CD53" s="418">
        <f t="shared" si="133"/>
        <v>2</v>
      </c>
      <c r="CE53" s="418">
        <f t="shared" si="133"/>
        <v>0</v>
      </c>
      <c r="CF53" s="418">
        <f t="shared" si="133"/>
        <v>1</v>
      </c>
      <c r="CG53" s="418">
        <f t="shared" si="133"/>
        <v>0</v>
      </c>
      <c r="CH53" s="418">
        <f t="shared" si="133"/>
        <v>2</v>
      </c>
      <c r="CI53" s="418">
        <f t="shared" si="133"/>
        <v>0</v>
      </c>
      <c r="CJ53" s="418">
        <f t="shared" si="133"/>
        <v>0</v>
      </c>
      <c r="CK53" s="418">
        <f t="shared" si="133"/>
        <v>0</v>
      </c>
      <c r="CL53" s="418">
        <f t="shared" si="133"/>
        <v>0</v>
      </c>
      <c r="CM53" s="418">
        <f t="shared" si="133"/>
        <v>0</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x14ac:dyDescent="0.25">
      <c r="A54" s="74"/>
      <c r="B54" s="563"/>
      <c r="C54" s="326">
        <v>43270</v>
      </c>
      <c r="D54" s="327">
        <v>0.70833333333333337</v>
      </c>
      <c r="E54" s="328" t="s">
        <v>103</v>
      </c>
      <c r="F54" s="362" t="s">
        <v>160</v>
      </c>
      <c r="G54" s="240"/>
      <c r="H54" s="485">
        <v>2</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09"/>
      <c r="Z54" s="509"/>
      <c r="AA54" s="509"/>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184</v>
      </c>
      <c r="BN54" s="432"/>
      <c r="BO54" s="432" t="s">
        <v>185</v>
      </c>
      <c r="BP54" s="432"/>
      <c r="BQ54" s="410"/>
      <c r="BR54" s="433"/>
      <c r="BS54" s="433" t="s">
        <v>6</v>
      </c>
      <c r="BT54" s="433" t="s">
        <v>17</v>
      </c>
      <c r="BU54" s="469" t="s">
        <v>204</v>
      </c>
      <c r="BV54" s="433" t="s">
        <v>14</v>
      </c>
      <c r="BW54" s="433" t="s">
        <v>205</v>
      </c>
      <c r="BX54" s="410"/>
      <c r="BY54" s="14"/>
      <c r="BZ54" s="14" t="s">
        <v>217</v>
      </c>
      <c r="CA54" s="418" t="s">
        <v>188</v>
      </c>
      <c r="CB54" s="418" t="s">
        <v>197</v>
      </c>
      <c r="CC54" s="418" t="s">
        <v>198</v>
      </c>
      <c r="CD54" s="418" t="s">
        <v>199</v>
      </c>
      <c r="CE54" s="418" t="s">
        <v>200</v>
      </c>
      <c r="CF54" s="418" t="s">
        <v>201</v>
      </c>
      <c r="CG54" s="418" t="s">
        <v>202</v>
      </c>
      <c r="CH54" s="418" t="s">
        <v>203</v>
      </c>
      <c r="CI54" s="418" t="s">
        <v>198</v>
      </c>
      <c r="CJ54" s="418" t="s">
        <v>198</v>
      </c>
      <c r="CK54" s="418" t="s">
        <v>199</v>
      </c>
      <c r="CL54" s="418" t="s">
        <v>202</v>
      </c>
      <c r="CM54" s="418" t="s">
        <v>201</v>
      </c>
      <c r="CN54" s="418" t="s">
        <v>201</v>
      </c>
      <c r="CO54" s="418" t="s">
        <v>200</v>
      </c>
      <c r="CP54" s="418" t="s">
        <v>197</v>
      </c>
      <c r="CQ54" s="418" t="s">
        <v>202</v>
      </c>
      <c r="CR54" s="418" t="s">
        <v>201</v>
      </c>
      <c r="CS54" s="418" t="s">
        <v>199</v>
      </c>
      <c r="CT54" s="418" t="s">
        <v>202</v>
      </c>
      <c r="CU54" s="418" t="s">
        <v>199</v>
      </c>
      <c r="CV54" s="418" t="s">
        <v>201</v>
      </c>
      <c r="CW54" s="418"/>
      <c r="CX54" s="418"/>
      <c r="CY54" s="14"/>
      <c r="CZ54" s="14"/>
      <c r="DA54" s="14"/>
      <c r="DB54" s="14"/>
      <c r="DC54" s="14"/>
      <c r="DD54" s="14"/>
      <c r="DE54" s="14"/>
      <c r="DF54" s="14"/>
      <c r="DG54" s="14"/>
      <c r="DH54" s="14"/>
      <c r="DI54" s="14"/>
      <c r="DJ54" s="14"/>
      <c r="DK54" s="14"/>
      <c r="DL54" s="14"/>
      <c r="DM54" s="14"/>
      <c r="DN54" s="475"/>
    </row>
    <row r="55" spans="1:118" x14ac:dyDescent="0.25">
      <c r="A55" s="74"/>
      <c r="B55" s="563"/>
      <c r="C55" s="326">
        <v>43275</v>
      </c>
      <c r="D55" s="327">
        <v>0.83333333333333337</v>
      </c>
      <c r="E55" s="328" t="s">
        <v>104</v>
      </c>
      <c r="F55" s="362" t="s">
        <v>149</v>
      </c>
      <c r="G55" s="240"/>
      <c r="H55" s="485">
        <v>1</v>
      </c>
      <c r="I55" s="485">
        <v>1</v>
      </c>
      <c r="J55" s="240"/>
      <c r="K55" s="387" t="s">
        <v>160</v>
      </c>
      <c r="L55" s="149">
        <f t="shared" si="132"/>
        <v>1</v>
      </c>
      <c r="M55" s="79"/>
      <c r="N55" s="48">
        <v>1</v>
      </c>
      <c r="O55" s="47" t="str">
        <f>VLOOKUP(N55,$AD$55:$AF$58,3,0)</f>
        <v>Polonia</v>
      </c>
      <c r="P55" s="39">
        <f>VLOOKUP(O55,AF55:AO58,2,FALSE)</f>
        <v>7</v>
      </c>
      <c r="Q55" s="39">
        <f>VLOOKUP(O55,AF55:AO58,3,FALSE)</f>
        <v>3</v>
      </c>
      <c r="R55" s="39">
        <f>VLOOKUP(O55,AF55:AO58,4,FALSE)</f>
        <v>2</v>
      </c>
      <c r="S55" s="39">
        <f>VLOOKUP(O55,AF55:AO58,5,FALSE)</f>
        <v>1</v>
      </c>
      <c r="T55" s="39">
        <f>VLOOKUP(O55,AF55:AO58,6,FALSE)</f>
        <v>0</v>
      </c>
      <c r="U55" s="39">
        <f>VLOOKUP(O55,AF55:AO58,7,FALSE)</f>
        <v>5</v>
      </c>
      <c r="V55" s="39">
        <f>VLOOKUP(O55,AF55:AO58,8,FALSE)</f>
        <v>2</v>
      </c>
      <c r="W55" s="49">
        <f>VLOOKUP(O55,AF55:AO58,9,FALSE)</f>
        <v>3</v>
      </c>
      <c r="X55" s="28">
        <f>IF(SUM($AH$55:$AH$58)=12,MIN(ABS(BP54-BP55),ABS(BP55-BP56)),100)</f>
        <v>10100000.019999504</v>
      </c>
      <c r="Y55" s="402" t="str">
        <f>IF(AND(X55&gt;=0,X55&lt;90),VLOOKUP(N55,$BL$55:$BM$58,2,0),"")</f>
        <v/>
      </c>
      <c r="Z55" s="406"/>
      <c r="AA55" s="29"/>
      <c r="AB55" s="29"/>
      <c r="AC55" s="413">
        <f>VLOOKUP(O55,$AF$55:$AO$58,10,FALSE)</f>
        <v>7030510999.9899998</v>
      </c>
      <c r="AD55" s="14">
        <f>RANK(AR55,$AR$55:$AR$58)</f>
        <v>1</v>
      </c>
      <c r="AE55" s="434">
        <f>RANK(AO55,AO55:AO58)</f>
        <v>1</v>
      </c>
      <c r="AF55" s="412" t="s">
        <v>149</v>
      </c>
      <c r="AG55" s="418">
        <f>AI55*3+AJ55*1+AK55*0</f>
        <v>7</v>
      </c>
      <c r="AH55" s="418">
        <f>COUNTIFS($F$53:$F$58,AF55,$H$53:$H$58,"&lt;&gt;",$I$53:$I$58,"&lt;&gt;")+COUNTIFS($K$53:$K$58,AF55,$I$53:$I$58,"&lt;&gt;",$H$53:$H$58,"&lt;&gt;")</f>
        <v>3</v>
      </c>
      <c r="AI55" s="418">
        <f t="array" ref="AI55">SUM((F$53:F$58=AF55)*(H$53:H$58&lt;&gt;"")*(I$53:I$58&lt;&gt;"")*(H$53:H$58&gt;I$53:I$58),(K$53:K$58=AF55)*(H$53:H$58&lt;&gt;"")*(I$53:I$58&lt;&gt;"")*(H$53:H$58&lt;I$53:I$58))</f>
        <v>2</v>
      </c>
      <c r="AJ55" s="418">
        <f t="array" ref="AJ55">SUM((F$53:F$58=AF55)*(H$53:H$58&lt;&gt;"")*(I$53:I$58&lt;&gt;"")*(H$53:H$58=I$53:I$58),(K$53:K$58=AF55)*(H$53:H$58&lt;&gt;"")*(I$53:I$58&lt;&gt;"")*(H$53:H$58=I$53:I$58))</f>
        <v>1</v>
      </c>
      <c r="AK55" s="418">
        <f t="array" ref="AK55">SUM((F$53:F$58=AF55)*(I$53:I$58&lt;&gt;"")*(H$53:H$58&lt;&gt;"")*(H$53:H$58&lt;I$53:I$58),(H$53:H$58&lt;&gt;"")*(K$53:K$58=AF55)*(I$53:I$58&lt;&gt;"")*(H$53:H$58&gt;I$53:I$58))</f>
        <v>0</v>
      </c>
      <c r="AL55" s="418">
        <f t="array" ref="AL55">SUMIFS($H$53:$H$58,$F$53:$F$58,AF55,$H$53:$H$58,"&lt;&gt;",$I$53:$I$58,"&lt;&gt;")+SUMIFS($I$53:$I$58,$K$53:$K$58,AF55,$H$53:$H$58,"&lt;&gt;",$I$53:$I$58,"&lt;&gt;")</f>
        <v>5</v>
      </c>
      <c r="AM55" s="418">
        <f t="array" ref="AM55">SUMIFS($H$53:$H$58,$K$53:$K$58,AF55,$H$53:$H$58,"&lt;&gt;",$I$53:$I$58,"&lt;&gt;")+SUMIFS($I$53:$I$58,$F$53:$F$58,AF55,$H$53:$H$58,"&lt;&gt;",$I$53:$I$58,"&lt;&gt;")</f>
        <v>2</v>
      </c>
      <c r="AN55" s="418">
        <f>AL55-AM55</f>
        <v>3</v>
      </c>
      <c r="AO55" s="418">
        <f>IF(AH55=0,-($AT$13*VLOOKUP(AF55,Tabla3[[ZfP4b()8G6b·$55Ma-t·%fv-ttyZxR-.R*+Fd]:[N!"kvfjM.%&amp;gk5kfmfvv)/%;V$&amp;VW]],2,FALSE)),AG55*$AT$7+AN55*$AT$8+AL55*$AT$9+AX55-($AT$13*VLOOKUP(AF55,Tabla3[[ZfP4b()8G6b·$55Ma-t·%fv-ttyZxR-.R*+Fd]:[N!"kvfjM.%&amp;gk5kfmfvv)/%;V$&amp;VW]],2,FALSE)/100))</f>
        <v>7030510999.9899998</v>
      </c>
      <c r="AP55" s="435">
        <f>AE55</f>
        <v>1</v>
      </c>
      <c r="AQ55" s="14"/>
      <c r="AR55" s="14">
        <f>IFERROR(AO55-VLOOKUP(AF55,$Y$55:$Z$58,2,0),AO55)</f>
        <v>7030510999.9899998</v>
      </c>
      <c r="AS55" s="14"/>
      <c r="AT55" s="14"/>
      <c r="AU55" s="14"/>
      <c r="AV55" s="438" t="str">
        <f>AF55</f>
        <v>Polonia</v>
      </c>
      <c r="AW55" s="418">
        <f>COUNTIF(AG55:AG58,AG55)</f>
        <v>2</v>
      </c>
      <c r="AX55" s="439">
        <f>(AY55*$AT$12)+(BE55*$AT$11)</f>
        <v>11000</v>
      </c>
      <c r="AY55" s="440">
        <f>RANK(AZ55,AZ55:AZ58,1)</f>
        <v>1</v>
      </c>
      <c r="AZ55" s="440">
        <f>SUM(IF(AND(AG55=AG56,AN55=AN56,AL55=AL56),BB55,0),IF(AND(AG55=AG57,AN55=AN57,AL55=AL57),BC55,0),IF(AND(AG55=AG58,AN55=AN58,AL55,AL58),BD55,0))</f>
        <v>0</v>
      </c>
      <c r="BA55" s="441">
        <v>0</v>
      </c>
      <c r="BB55" s="442">
        <f>H53</f>
        <v>2</v>
      </c>
      <c r="BC55" s="442">
        <f>H55</f>
        <v>1</v>
      </c>
      <c r="BD55" s="443">
        <f>I57</f>
        <v>2</v>
      </c>
      <c r="BE55" s="440">
        <f>RANK(BF55,BF55:BF58,1)</f>
        <v>1</v>
      </c>
      <c r="BF55" s="440">
        <f>SUM(IF(AND(AG55=AG56,AN55=AN56,AL55=AL56),BH55,0),IF(AND(AG55=AG57,AN55=AN57,AL55=AL57),BI55,0),IF(AND(AG55=AG58,AN55=AN58,AL55=AL58),BJ55,0))</f>
        <v>0</v>
      </c>
      <c r="BG55" s="441">
        <v>0</v>
      </c>
      <c r="BH55" s="442">
        <f>BB55-BA56</f>
        <v>2</v>
      </c>
      <c r="BI55" s="442">
        <f>BC55-BA57</f>
        <v>0</v>
      </c>
      <c r="BJ55" s="443">
        <f>BD55-BA58</f>
        <v>1</v>
      </c>
      <c r="BK55" s="410"/>
      <c r="BL55" s="412">
        <f>RANK(BN55,$BN$55:$BN$58)</f>
        <v>1</v>
      </c>
      <c r="BM55" s="412" t="s">
        <v>149</v>
      </c>
      <c r="BN55" s="412">
        <f>IF(AH55=0,-($AT$13*VLOOKUP(AF55,Tabla3[[ZfP4b()8G6b·$55Ma-t·%fv-ttyZxR-.R*+Fd]:[N!"kvfjM.%&amp;gk5kfmfvv)/%;V$&amp;VW]],2,FALSE)),AG55*$AT$7+AN55*$AT$8+AL55*$AT$9+AX55-($AT$13*VLOOKUP(AF55,Tabla3[[ZfP4b()8G6b·$55Ma-t·%fv-ttyZxR-.R*+Fd]:[N!"kvfjM.%&amp;gk5kfmfvv)/%;V$&amp;VW]],2,FALSE)/100))</f>
        <v>7030510999.9899998</v>
      </c>
      <c r="BO55" s="412" t="str">
        <f>VLOOKUP(N55,$AE$55:$AF$58,2,0)</f>
        <v>Polonia</v>
      </c>
      <c r="BP55" s="412">
        <f>VLOOKUP($BO55,$AF$55:$AO$58,10,FALSE)</f>
        <v>7030510999.9899998</v>
      </c>
      <c r="BQ55" s="410"/>
      <c r="BR55" s="412">
        <v>1</v>
      </c>
      <c r="BS55" s="412" t="str">
        <f>VLOOKUP(BR55,$AD$55:$AF$58,3,0)</f>
        <v>Polonia</v>
      </c>
      <c r="BT55" s="412">
        <f>VLOOKUP(BS55,$AF$55:$AO$58,2,FALSE)</f>
        <v>7</v>
      </c>
      <c r="BU55" s="444">
        <f>IF(SUM($AH$55:$AH$58)=12,MIN(ABS(BP54-BP55),ABS(BP55-BP56)),100)</f>
        <v>10100000.019999504</v>
      </c>
      <c r="BV55" s="412">
        <f>VLOOKUP(BS55,$AF$55:$AO$58,9,FALSE)</f>
        <v>3</v>
      </c>
      <c r="BW55" s="412">
        <f>VLOOKUP(BS55,$AF$55:$AO$58,7,FALSE)</f>
        <v>5</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0</v>
      </c>
      <c r="CG55" s="418">
        <f t="array" ref="CG55">IF(AND($BT$55&lt;&gt;$BT$56,$BT$55&lt;&gt;$BT$58),1,0)</f>
        <v>0</v>
      </c>
      <c r="CH55" s="418">
        <f t="array" ref="CH55">IF(AND($BT$55&lt;&gt;$BT$56,$BT$55&lt;&gt;$BT$58),1,0)</f>
        <v>0</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0</v>
      </c>
      <c r="CM55" s="418">
        <f t="array" ref="CM55">IF(AND($BT$55&lt;&gt;$BT$56,$BT$55&lt;&gt;$BT$57),1,0)</f>
        <v>0</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x14ac:dyDescent="0.25">
      <c r="A56" s="74"/>
      <c r="B56" s="563"/>
      <c r="C56" s="326">
        <v>43275</v>
      </c>
      <c r="D56" s="327">
        <v>0.70833333333333337</v>
      </c>
      <c r="E56" s="328" t="s">
        <v>100</v>
      </c>
      <c r="F56" s="362" t="s">
        <v>174</v>
      </c>
      <c r="G56" s="240"/>
      <c r="H56" s="485">
        <v>2</v>
      </c>
      <c r="I56" s="485">
        <v>1</v>
      </c>
      <c r="J56" s="240"/>
      <c r="K56" s="387" t="s">
        <v>164</v>
      </c>
      <c r="L56" s="149">
        <f t="shared" si="132"/>
        <v>1</v>
      </c>
      <c r="M56" s="79"/>
      <c r="N56" s="48">
        <v>2</v>
      </c>
      <c r="O56" s="47" t="str">
        <f>VLOOKUP(N56,$AD$55:$AF$58,3,0)</f>
        <v>Colombia</v>
      </c>
      <c r="P56" s="39">
        <f>VLOOKUP(O56,AF55:AO58,2,FALSE)</f>
        <v>7</v>
      </c>
      <c r="Q56" s="39">
        <f>VLOOKUP(O56,AF55:AO58,3,FALSE)</f>
        <v>3</v>
      </c>
      <c r="R56" s="39">
        <f>VLOOKUP(O56,AF55:AO58,4,FALSE)</f>
        <v>2</v>
      </c>
      <c r="S56" s="39">
        <f>VLOOKUP(O56,AF55:AO58,5,FALSE)</f>
        <v>1</v>
      </c>
      <c r="T56" s="39">
        <f>VLOOKUP(O56,AF55:AO58,6,FALSE)</f>
        <v>0</v>
      </c>
      <c r="U56" s="39">
        <f>VLOOKUP(O56,AF55:AO58,7,FALSE)</f>
        <v>4</v>
      </c>
      <c r="V56" s="39">
        <f>VLOOKUP(O56,AF55:AO58,8,FALSE)</f>
        <v>2</v>
      </c>
      <c r="W56" s="49">
        <f>VLOOKUP(O56,AF55:AO58,9,FALSE)</f>
        <v>2</v>
      </c>
      <c r="X56" s="28">
        <f t="shared" ref="X56:X58" si="137">IF(SUM($AH$55:$AH$58)=12,MIN(ABS(BP55-BP56),ABS(BP56-BP57)),100)</f>
        <v>10100000.019999504</v>
      </c>
      <c r="Y56" s="402" t="str">
        <f t="shared" ref="Y56:Y58" si="138">IF(AND(X56&gt;=0,X56&lt;90),VLOOKUP(N56,$BL$55:$BM$58,2,0),"")</f>
        <v/>
      </c>
      <c r="Z56" s="406"/>
      <c r="AA56" s="29"/>
      <c r="AB56" s="29"/>
      <c r="AC56" s="413">
        <f>VLOOKUP(O56,$AF$55:$AO$58,10,FALSE)</f>
        <v>7020410999.9700003</v>
      </c>
      <c r="AD56" s="14">
        <f t="shared" ref="AD56:AD58" si="139">RANK(AR56,$AR$55:$AR$58)</f>
        <v>4</v>
      </c>
      <c r="AE56" s="434">
        <f>RANK(AO56,AO55:AO58)</f>
        <v>4</v>
      </c>
      <c r="AF56" s="412" t="s">
        <v>164</v>
      </c>
      <c r="AG56" s="418">
        <f t="shared" ref="AG56:AG58" si="140">AI56*3+AJ56*1+AK56*0</f>
        <v>0</v>
      </c>
      <c r="AH56" s="418">
        <f t="shared" ref="AH56:AH58" si="141">COUNTIFS($F$53:$F$58,AF56,$H$53:$H$58,"&lt;&gt;",$I$53:$I$58,"&lt;&gt;")+COUNTIFS($K$53:$K$58,AF56,$I$53:$I$58,"&lt;&gt;",$H$53:$H$58,"&lt;&gt;")</f>
        <v>3</v>
      </c>
      <c r="AI56" s="418">
        <f t="array" ref="AI56">SUM((F$53:F$58=AF56)*(H$53:H$58&lt;&gt;"")*(I$53:I$58&lt;&gt;"")*(H$53:H$58&gt;I$53:I$58),(K$53:K$58=AF56)*(H$53:H$58&lt;&gt;"")*(I$53:I$58&lt;&gt;"")*(H$53:H$58&lt;I$53:I$58))</f>
        <v>0</v>
      </c>
      <c r="AJ56" s="418">
        <f t="array" ref="AJ56">SUM((F$53:F$58=AF56)*(H$53:H$58&lt;&gt;"")*(I$53:I$58&lt;&gt;"")*(H$53:H$58=I$53:I$58),(K$53:K$58=AF56)*(H$53:H$58&lt;&gt;"")*(I$53:I$58&lt;&gt;"")*(H$53:H$58=I$53:I$58))</f>
        <v>0</v>
      </c>
      <c r="AK56" s="418">
        <f t="array" ref="AK56">SUM((F$53:F$58=AF56)*(I$53:I$58&lt;&gt;"")*(H$53:H$58&lt;&gt;"")*(H$53:H$58&lt;I$53:I$58),(H$53:H$58&lt;&gt;"")*(K$53:K$58=AF56)*(I$53:I$58&lt;&gt;"")*(H$53:H$58&gt;I$53:I$58))</f>
        <v>3</v>
      </c>
      <c r="AL56" s="418">
        <f t="array" ref="AL56">SUMIFS($H$53:$H$58,$F$53:$F$58,AF56,$H$53:$H$58,"&lt;&gt;",$I$53:$I$58,"&lt;&gt;")+SUMIFS($I$53:$I$58,$K$53:$K$58,AF56,$H$53:$H$58,"&lt;&gt;",$I$53:$I$58,"&lt;&gt;")</f>
        <v>1</v>
      </c>
      <c r="AM56" s="418">
        <f t="array" ref="AM56">SUMIFS($H$53:$H$58,$K$53:$K$58,AF56,$H$53:$H$58,"&lt;&gt;",$I$53:$I$58,"&lt;&gt;")+SUMIFS($I$53:$I$58,$F$53:$F$58,AF56,$H$53:$H$58,"&lt;&gt;",$I$53:$I$58,"&lt;&gt;")</f>
        <v>5</v>
      </c>
      <c r="AN56" s="418">
        <f t="shared" ref="AN56:AN58" si="142">AL56-AM56</f>
        <v>-4</v>
      </c>
      <c r="AO56" s="418">
        <f>IF(AH56=0,-($AT$13*VLOOKUP(AF56,Tabla3[[ZfP4b()8G6b·$55Ma-t·%fv-ttyZxR-.R*+Fd]:[N!"kvfjM.%&amp;gk5kfmfvv)/%;V$&amp;VW]],2,FALSE)),AG56*$AT$7+AN56*$AT$8+AL56*$AT$9+AX56-($AT$13*VLOOKUP(AF56,Tabla3[[ZfP4b()8G6b·$55Ma-t·%fv-ttyZxR-.R*+Fd]:[N!"kvfjM.%&amp;gk5kfmfvv)/%;V$&amp;VW]],2,FALSE)/100))</f>
        <v>-39889000.020000003</v>
      </c>
      <c r="AP56" s="435">
        <f>AE56</f>
        <v>4</v>
      </c>
      <c r="AQ56" s="14"/>
      <c r="AR56" s="14">
        <f t="shared" ref="AR56:AR58" si="143">IFERROR(AO56-VLOOKUP(AF56,$Y$55:$Z$58,2,0),AO56)</f>
        <v>-39889000.020000003</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0</v>
      </c>
      <c r="BB56" s="442">
        <v>0</v>
      </c>
      <c r="BC56" s="442">
        <f>H58</f>
        <v>0</v>
      </c>
      <c r="BD56" s="443">
        <f>I56</f>
        <v>1</v>
      </c>
      <c r="BE56" s="440">
        <f>RANK(BF56,BF55:BF58,1)</f>
        <v>1</v>
      </c>
      <c r="BF56" s="440">
        <f>SUM(IF(AND(AG56=AG57,AN56=AN57,AL56=AL57),BI56,0),IF(AND(AG56=AG58,AN56=AN58,AL56=AL58),BJ56,0),IF(AND(AG56=AG55,AN56=AN55,AL56=AL55),BG56,0))</f>
        <v>0</v>
      </c>
      <c r="BG56" s="441">
        <f>BA56-BB55</f>
        <v>-2</v>
      </c>
      <c r="BH56" s="442">
        <v>0</v>
      </c>
      <c r="BI56" s="442">
        <f>BC56-BB57</f>
        <v>-1</v>
      </c>
      <c r="BJ56" s="443">
        <f>BD56-BB58</f>
        <v>-1</v>
      </c>
      <c r="BK56" s="410"/>
      <c r="BL56" s="412">
        <f t="shared" ref="BL56:BL58" si="145">RANK(BN56,$BN$55:$BN$58)</f>
        <v>4</v>
      </c>
      <c r="BM56" s="412" t="s">
        <v>164</v>
      </c>
      <c r="BN56" s="412">
        <f>IF(AH56=0,-($AT$13*VLOOKUP(AF56,Tabla3[[ZfP4b()8G6b·$55Ma-t·%fv-ttyZxR-.R*+Fd]:[N!"kvfjM.%&amp;gk5kfmfvv)/%;V$&amp;VW]],2,FALSE)),AG56*$AT$7+AN56*$AT$8+AL56*$AT$9+AX56-($AT$13*VLOOKUP(AF56,Tabla3[[ZfP4b()8G6b·$55Ma-t·%fv-ttyZxR-.R*+Fd]:[N!"kvfjM.%&amp;gk5kfmfvv)/%;V$&amp;VW]],2,FALSE)/100))</f>
        <v>-39889000.020000003</v>
      </c>
      <c r="BO56" s="412" t="str">
        <f t="shared" ref="BO56:BO58" si="146">VLOOKUP(N56,$AE$55:$AF$58,2,0)</f>
        <v>Colombia</v>
      </c>
      <c r="BP56" s="412">
        <f t="shared" ref="BP56:BP58" si="147">VLOOKUP($BO56,$AF$55:$AO$58,10,FALSE)</f>
        <v>7020410999.9700003</v>
      </c>
      <c r="BQ56" s="410"/>
      <c r="BR56" s="412">
        <v>2</v>
      </c>
      <c r="BS56" s="412" t="str">
        <f t="shared" ref="BS56:BS58" si="148">VLOOKUP(BR56,$AD$55:$AF$58,3,0)</f>
        <v>Colombia</v>
      </c>
      <c r="BT56" s="412">
        <f t="shared" ref="BT56:BT58" si="149">VLOOKUP(BS56,$AF$55:$AO$58,2,FALSE)</f>
        <v>7</v>
      </c>
      <c r="BU56" s="444">
        <f t="shared" ref="BU56:BU58" si="150">IF(SUM($AH$55:$AH$58)=12,MIN(ABS(BP55-BP56),ABS(BP56-BP57)),100)</f>
        <v>10100000.019999504</v>
      </c>
      <c r="BV56" s="412">
        <f t="shared" ref="BV56:BV58" si="151">VLOOKUP(BS56,$AF$55:$AO$58,9,FALSE)</f>
        <v>2</v>
      </c>
      <c r="BW56" s="412">
        <f t="shared" ref="BW56:BW58" si="152">VLOOKUP(BS56,$AF$55:$AO$58,7,FALSE)</f>
        <v>4</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0</v>
      </c>
      <c r="CH56" s="418">
        <f t="array" ref="CH56">IF(AND($BT$56&lt;&gt;$BT$55,$BT$56&lt;&gt;$BT$57),1,0)</f>
        <v>0</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x14ac:dyDescent="0.25">
      <c r="A57" s="74"/>
      <c r="B57" s="563"/>
      <c r="C57" s="326">
        <v>43279</v>
      </c>
      <c r="D57" s="327">
        <v>0.66666666666666663</v>
      </c>
      <c r="E57" s="328" t="s">
        <v>220</v>
      </c>
      <c r="F57" s="362" t="s">
        <v>174</v>
      </c>
      <c r="G57" s="240"/>
      <c r="H57" s="485">
        <v>1</v>
      </c>
      <c r="I57" s="485">
        <v>2</v>
      </c>
      <c r="J57" s="240"/>
      <c r="K57" s="387" t="s">
        <v>149</v>
      </c>
      <c r="L57" s="149">
        <f t="shared" si="132"/>
        <v>1</v>
      </c>
      <c r="M57" s="79"/>
      <c r="N57" s="40">
        <v>3</v>
      </c>
      <c r="O57" s="38" t="str">
        <f>VLOOKUP(N57,$AD$55:$AF$58,3,0)</f>
        <v>Japón</v>
      </c>
      <c r="P57" s="39">
        <f>VLOOKUP(O57,AF55:AO58,2,FALSE)</f>
        <v>3</v>
      </c>
      <c r="Q57" s="37">
        <f>VLOOKUP(O57,AF55:AO58,3,FALSE)</f>
        <v>3</v>
      </c>
      <c r="R57" s="37">
        <f>VLOOKUP(O57,AF55:AO58,4,FALSE)</f>
        <v>1</v>
      </c>
      <c r="S57" s="37">
        <f>VLOOKUP(O57,AF55:AO58,5,FALSE)</f>
        <v>0</v>
      </c>
      <c r="T57" s="37">
        <f>VLOOKUP(O57,AF55:AO58,6,FALSE)</f>
        <v>2</v>
      </c>
      <c r="U57" s="37">
        <f>VLOOKUP(O57,AF55:AO58,7,FALSE)</f>
        <v>4</v>
      </c>
      <c r="V57" s="37">
        <f>VLOOKUP(O57,AF55:AO58,8,FALSE)</f>
        <v>5</v>
      </c>
      <c r="W57" s="45">
        <f>VLOOKUP(O57,AF55:AO58,9,FALSE)</f>
        <v>-1</v>
      </c>
      <c r="X57" s="28">
        <f t="shared" si="137"/>
        <v>3030299999.98</v>
      </c>
      <c r="Y57" s="402" t="str">
        <f t="shared" si="138"/>
        <v/>
      </c>
      <c r="Z57" s="406"/>
      <c r="AA57" s="29"/>
      <c r="AB57" s="29"/>
      <c r="AC57" s="413">
        <f>VLOOKUP(O57,$AF$55:$AO$58,10,FALSE)</f>
        <v>2990410999.96</v>
      </c>
      <c r="AD57" s="14">
        <f t="shared" si="139"/>
        <v>2</v>
      </c>
      <c r="AE57" s="434">
        <f>RANK(AO57,AO55:AO58)</f>
        <v>2</v>
      </c>
      <c r="AF57" s="412" t="s">
        <v>160</v>
      </c>
      <c r="AG57" s="418">
        <f t="shared" si="140"/>
        <v>7</v>
      </c>
      <c r="AH57" s="418">
        <f t="shared" si="141"/>
        <v>3</v>
      </c>
      <c r="AI57" s="418">
        <f t="array" ref="AI57">SUM((F$53:F$58=AF57)*(H$53:H$58&lt;&gt;"")*(I$53:I$58&lt;&gt;"")*(H$53:H$58&gt;I$53:I$58),(K$53:K$58=AF57)*(H$53:H$58&lt;&gt;"")*(I$53:I$58&lt;&gt;"")*(H$53:H$58&lt;I$53:I$58))</f>
        <v>2</v>
      </c>
      <c r="AJ57" s="418">
        <f t="array" ref="AJ57">SUM((F$53:F$58=AF57)*(H$53:H$58&lt;&gt;"")*(I$53:I$58&lt;&gt;"")*(H$53:H$58=I$53:I$58),(K$53:K$58=AF57)*(H$53:H$58&lt;&gt;"")*(I$53:I$58&lt;&gt;"")*(H$53:H$58=I$53:I$58))</f>
        <v>1</v>
      </c>
      <c r="AK57" s="418">
        <f t="array" ref="AK57">SUM((F$53:F$58=AF57)*(I$53:I$58&lt;&gt;"")*(H$53:H$58&lt;&gt;"")*(H$53:H$58&lt;I$53:I$58),(H$53:H$58&lt;&gt;"")*(K$53:K$58=AF57)*(I$53:I$58&lt;&gt;"")*(H$53:H$58&gt;I$53:I$58))</f>
        <v>0</v>
      </c>
      <c r="AL57" s="418">
        <f t="array" ref="AL57">SUMIFS($H$53:$H$58,$F$53:$F$58,AF57,$H$53:$H$58,"&lt;&gt;",$I$53:$I$58,"&lt;&gt;")+SUMIFS($I$53:$I$58,$K$53:$K$58,AF57,$H$53:$H$58,"&lt;&gt;",$I$53:$I$58,"&lt;&gt;")</f>
        <v>4</v>
      </c>
      <c r="AM57" s="418">
        <f t="array" ref="AM57">SUMIFS($H$53:$H$58,$K$53:$K$58,AF57,$H$53:$H$58,"&lt;&gt;",$I$53:$I$58,"&lt;&gt;")+SUMIFS($I$53:$I$58,$F$53:$F$58,AF57,$H$53:$H$58,"&lt;&gt;",$I$53:$I$58,"&lt;&gt;")</f>
        <v>2</v>
      </c>
      <c r="AN57" s="418">
        <f t="shared" si="142"/>
        <v>2</v>
      </c>
      <c r="AO57" s="418">
        <f>IF(AH57=0,-($AT$13*VLOOKUP(AF57,Tabla3[[ZfP4b()8G6b·$55Ma-t·%fv-ttyZxR-.R*+Fd]:[N!"kvfjM.%&amp;gk5kfmfvv)/%;V$&amp;VW]],2,FALSE)),AG57*$AT$7+AN57*$AT$8+AL57*$AT$9+AX57-($AT$13*VLOOKUP(AF57,Tabla3[[ZfP4b()8G6b·$55Ma-t·%fv-ttyZxR-.R*+Fd]:[N!"kvfjM.%&amp;gk5kfmfvv)/%;V$&amp;VW]],2,FALSE)/100))</f>
        <v>7020410999.9700003</v>
      </c>
      <c r="AP57" s="435">
        <f>AE57</f>
        <v>2</v>
      </c>
      <c r="AQ57" s="14"/>
      <c r="AR57" s="14">
        <f t="shared" si="143"/>
        <v>7020410999.9700003</v>
      </c>
      <c r="AS57" s="14"/>
      <c r="AT57" s="14"/>
      <c r="AU57" s="14"/>
      <c r="AV57" s="438" t="str">
        <f t="shared" si="144"/>
        <v>Colombia</v>
      </c>
      <c r="AW57" s="418">
        <f>COUNTIF(AG55:AG58,AG57)</f>
        <v>2</v>
      </c>
      <c r="AX57" s="439">
        <f>(AY57*$AT$12)+(BE57*$AT$11)</f>
        <v>11000</v>
      </c>
      <c r="AY57" s="440">
        <f>RANK(AZ57,AZ55:AZ58,1)</f>
        <v>1</v>
      </c>
      <c r="AZ57" s="440">
        <f>SUM(IF(AND(AG57=AG58,AN57=AN58,AL57=AL58),BD57,0),IF(AND(AG57=AG55,AN57=AN55,AL57=AL55),BA57,0),IF(AND(AG57=AG56,AN57=AN56,AL57=AL56),BB57,0))</f>
        <v>0</v>
      </c>
      <c r="BA57" s="441">
        <f>I55</f>
        <v>1</v>
      </c>
      <c r="BB57" s="442">
        <f>I58</f>
        <v>1</v>
      </c>
      <c r="BC57" s="442">
        <v>0</v>
      </c>
      <c r="BD57" s="443">
        <f>H54</f>
        <v>2</v>
      </c>
      <c r="BE57" s="440">
        <f>RANK(BF57,BF55:BF58,1)</f>
        <v>1</v>
      </c>
      <c r="BF57" s="440">
        <f>SUM(IF(AND(AG57=AG58,AN57=AN58,AL57=AL58),BJ57,0),IF(AND(AG57=AG55,AN57=AN55,AL57=AL55),BG57,0),IF(AND(AG57=AG56,AN57=AN56,AL57=AL56),BH57,0))</f>
        <v>0</v>
      </c>
      <c r="BG57" s="441">
        <f>BA57-BC55</f>
        <v>0</v>
      </c>
      <c r="BH57" s="442">
        <f>BB57-BC56</f>
        <v>1</v>
      </c>
      <c r="BI57" s="442">
        <v>0</v>
      </c>
      <c r="BJ57" s="443">
        <f>BD57-BC58</f>
        <v>1</v>
      </c>
      <c r="BK57" s="410"/>
      <c r="BL57" s="412">
        <f t="shared" si="145"/>
        <v>2</v>
      </c>
      <c r="BM57" s="412" t="s">
        <v>160</v>
      </c>
      <c r="BN57" s="412">
        <f>IF(AH57=0,-($AT$13*VLOOKUP(AF57,Tabla3[[ZfP4b()8G6b·$55Ma-t·%fv-ttyZxR-.R*+Fd]:[N!"kvfjM.%&amp;gk5kfmfvv)/%;V$&amp;VW]],2,FALSE)),AG57*$AT$7+AN57*$AT$8+AL57*$AT$9+AX57-($AT$13*VLOOKUP(AF57,Tabla3[[ZfP4b()8G6b·$55Ma-t·%fv-ttyZxR-.R*+Fd]:[N!"kvfjM.%&amp;gk5kfmfvv)/%;V$&amp;VW]],2,FALSE)/100))</f>
        <v>7020410999.9700003</v>
      </c>
      <c r="BO57" s="412" t="str">
        <f t="shared" si="146"/>
        <v>Japón</v>
      </c>
      <c r="BP57" s="412">
        <f t="shared" si="147"/>
        <v>2990410999.96</v>
      </c>
      <c r="BQ57" s="410"/>
      <c r="BR57" s="412">
        <v>3</v>
      </c>
      <c r="BS57" s="412" t="str">
        <f t="shared" si="148"/>
        <v>Japón</v>
      </c>
      <c r="BT57" s="412">
        <f t="shared" si="149"/>
        <v>3</v>
      </c>
      <c r="BU57" s="444">
        <f t="shared" si="150"/>
        <v>3030299999.98</v>
      </c>
      <c r="BV57" s="412">
        <f t="shared" si="151"/>
        <v>-1</v>
      </c>
      <c r="BW57" s="412">
        <f t="shared" si="152"/>
        <v>4</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75" thickBot="1" x14ac:dyDescent="0.3">
      <c r="A58" s="74"/>
      <c r="B58" s="564"/>
      <c r="C58" s="329">
        <v>43279</v>
      </c>
      <c r="D58" s="330">
        <v>0.66666666666666663</v>
      </c>
      <c r="E58" s="331" t="s">
        <v>102</v>
      </c>
      <c r="F58" s="363" t="s">
        <v>164</v>
      </c>
      <c r="G58" s="241"/>
      <c r="H58" s="485">
        <v>0</v>
      </c>
      <c r="I58" s="485">
        <v>1</v>
      </c>
      <c r="J58" s="241"/>
      <c r="K58" s="388" t="s">
        <v>160</v>
      </c>
      <c r="L58" s="149">
        <f t="shared" si="132"/>
        <v>1</v>
      </c>
      <c r="M58" s="79"/>
      <c r="N58" s="41">
        <v>4</v>
      </c>
      <c r="O58" s="42" t="str">
        <f>VLOOKUP(N58,$AD$55:$AF$58,3,0)</f>
        <v>Senegal</v>
      </c>
      <c r="P58" s="43">
        <f>VLOOKUP(O58,AF55:AO58,2,FALSE)</f>
        <v>0</v>
      </c>
      <c r="Q58" s="44">
        <f>VLOOKUP(O58,AF55:AO58,3,FALSE)</f>
        <v>3</v>
      </c>
      <c r="R58" s="44">
        <f>VLOOKUP(O58,AF55:AO58,4,FALSE)</f>
        <v>0</v>
      </c>
      <c r="S58" s="44">
        <f>VLOOKUP(O58,AF55:AO58,5,FALSE)</f>
        <v>0</v>
      </c>
      <c r="T58" s="44">
        <f>VLOOKUP(O58,AF55:AO58,6,FALSE)</f>
        <v>3</v>
      </c>
      <c r="U58" s="44">
        <f>VLOOKUP(O58,AF55:AO58,7,FALSE)</f>
        <v>1</v>
      </c>
      <c r="V58" s="44">
        <f>VLOOKUP(O58,AF55:AO58,8,FALSE)</f>
        <v>5</v>
      </c>
      <c r="W58" s="46">
        <f>VLOOKUP(O58,AF55:AO58,9,FALSE)</f>
        <v>-4</v>
      </c>
      <c r="X58" s="28">
        <f t="shared" si="137"/>
        <v>39889000.020000003</v>
      </c>
      <c r="Y58" s="402" t="str">
        <f t="shared" si="138"/>
        <v/>
      </c>
      <c r="Z58" s="406"/>
      <c r="AA58" s="29"/>
      <c r="AB58" s="29"/>
      <c r="AC58" s="413">
        <f>VLOOKUP(O58,$AF$55:$AO$58,10,FALSE)</f>
        <v>-39889000.020000003</v>
      </c>
      <c r="AD58" s="14">
        <f t="shared" si="139"/>
        <v>3</v>
      </c>
      <c r="AE58" s="445">
        <f>RANK(AO58,AO55:AO58)</f>
        <v>3</v>
      </c>
      <c r="AF58" s="446" t="s">
        <v>174</v>
      </c>
      <c r="AG58" s="447">
        <f t="shared" si="140"/>
        <v>3</v>
      </c>
      <c r="AH58" s="447">
        <f t="shared" si="141"/>
        <v>3</v>
      </c>
      <c r="AI58" s="447">
        <f t="array" ref="AI58">SUM((F$53:F$58=AF58)*(H$53:H$58&lt;&gt;"")*(I$53:I$58&lt;&gt;"")*(H$53:H$58&gt;I$53:I$58),(K$53:K$58=AF58)*(H$53:H$58&lt;&gt;"")*(I$53:I$58&lt;&gt;"")*(H$53:H$58&lt;I$53:I$58))</f>
        <v>1</v>
      </c>
      <c r="AJ58" s="447">
        <f t="array" ref="AJ58">SUM((F$53:F$58=AF58)*(H$53:H$58&lt;&gt;"")*(I$53:I$58&lt;&gt;"")*(H$53:H$58=I$53:I$58),(K$53:K$58=AF58)*(H$53:H$58&lt;&gt;"")*(I$53:I$58&lt;&gt;"")*(H$53:H$58=I$53:I$58))</f>
        <v>0</v>
      </c>
      <c r="AK58" s="447">
        <f t="array" ref="AK58">SUM((F$53:F$58=AF58)*(I$53:I$58&lt;&gt;"")*(H$53:H$58&lt;&gt;"")*(H$53:H$58&lt;I$53:I$58),(H$53:H$58&lt;&gt;"")*(K$53:K$58=AF58)*(I$53:I$58&lt;&gt;"")*(H$53:H$58&gt;I$53:I$58))</f>
        <v>2</v>
      </c>
      <c r="AL58" s="447">
        <f t="array" ref="AL58">SUMIFS($H$53:$H$58,$F$53:$F$58,AF58,$H$53:$H$58,"&lt;&gt;",$I$53:$I$58,"&lt;&gt;")+SUMIFS($I$53:$I$58,$K$53:$K$58,AF58,$H$53:$H$58,"&lt;&gt;",$I$53:$I$58,"&lt;&gt;")</f>
        <v>4</v>
      </c>
      <c r="AM58" s="447">
        <f t="array" ref="AM58">SUMIFS($H$53:$H$58,$K$53:$K$58,AF58,$H$53:$H$58,"&lt;&gt;",$I$53:$I$58,"&lt;&gt;")+SUMIFS($I$53:$I$58,$F$53:$F$58,AF58,$H$53:$H$58,"&lt;&gt;",$I$53:$I$58,"&lt;&gt;")</f>
        <v>5</v>
      </c>
      <c r="AN58" s="447">
        <f t="shared" si="142"/>
        <v>-1</v>
      </c>
      <c r="AO58" s="447">
        <f>IF(AH58=0,-($AT$13*VLOOKUP(AF58,Tabla3[[ZfP4b()8G6b·$55Ma-t·%fv-ttyZxR-.R*+Fd]:[N!"kvfjM.%&amp;gk5kfmfvv)/%;V$&amp;VW]],2,FALSE)),AG58*$AT$7+AN58*$AT$8+AL58*$AT$9+AX58-($AT$13*VLOOKUP(AF58,Tabla3[[ZfP4b()8G6b·$55Ma-t·%fv-ttyZxR-.R*+Fd]:[N!"kvfjM.%&amp;gk5kfmfvv)/%;V$&amp;VW]],2,FALSE)/100))</f>
        <v>2990410999.96</v>
      </c>
      <c r="AP58" s="449">
        <f>AE58</f>
        <v>3</v>
      </c>
      <c r="AQ58" s="14"/>
      <c r="AR58" s="14">
        <f t="shared" si="143"/>
        <v>2990410999.96</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1</v>
      </c>
      <c r="BB58" s="455">
        <f>H56</f>
        <v>2</v>
      </c>
      <c r="BC58" s="455">
        <f>I54</f>
        <v>1</v>
      </c>
      <c r="BD58" s="456">
        <v>0</v>
      </c>
      <c r="BE58" s="453">
        <f>RANK(BF58,BF55:BF58,1)</f>
        <v>1</v>
      </c>
      <c r="BF58" s="453">
        <f>SUM(IF(AND(AG58=AG55,AN58=AN55,AL58=AL55),BG58,0),IF(AND(AG58=AG56,AN58=AN56,AL58=AL56),BH58,0),IF(AND(AG58=AG57,AN58=AN57,AL58=AL57),BI58,0))</f>
        <v>0</v>
      </c>
      <c r="BG58" s="454">
        <f>BA58-BD55</f>
        <v>-1</v>
      </c>
      <c r="BH58" s="455">
        <f>BB58-BD56</f>
        <v>1</v>
      </c>
      <c r="BI58" s="455">
        <f>BC58-BD57</f>
        <v>-1</v>
      </c>
      <c r="BJ58" s="456">
        <v>0</v>
      </c>
      <c r="BK58" s="410"/>
      <c r="BL58" s="412">
        <f t="shared" si="145"/>
        <v>3</v>
      </c>
      <c r="BM58" s="412" t="s">
        <v>174</v>
      </c>
      <c r="BN58" s="412">
        <f>IF(AH58=0,-($AT$13*VLOOKUP(AF58,Tabla3[[ZfP4b()8G6b·$55Ma-t·%fv-ttyZxR-.R*+Fd]:[N!"kvfjM.%&amp;gk5kfmfvv)/%;V$&amp;VW]],2,FALSE)),AG58*$AT$7+AN58*$AT$8+AL58*$AT$9+AX58-($AT$13*VLOOKUP(AF58,Tabla3[[ZfP4b()8G6b·$55Ma-t·%fv-ttyZxR-.R*+Fd]:[N!"kvfjM.%&amp;gk5kfmfvv)/%;V$&amp;VW]],2,FALSE)/100))</f>
        <v>2990410999.96</v>
      </c>
      <c r="BO58" s="412" t="str">
        <f t="shared" si="146"/>
        <v>Senegal</v>
      </c>
      <c r="BP58" s="412">
        <f t="shared" si="147"/>
        <v>-39889000.020000003</v>
      </c>
      <c r="BQ58" s="410"/>
      <c r="BR58" s="412">
        <v>4</v>
      </c>
      <c r="BS58" s="412" t="str">
        <f t="shared" si="148"/>
        <v>Senegal</v>
      </c>
      <c r="BT58" s="412">
        <f t="shared" si="149"/>
        <v>0</v>
      </c>
      <c r="BU58" s="444">
        <f t="shared" si="150"/>
        <v>39889000.020000003</v>
      </c>
      <c r="BV58" s="412">
        <f t="shared" si="151"/>
        <v>-4</v>
      </c>
      <c r="BW58" s="412">
        <f t="shared" si="152"/>
        <v>1</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x14ac:dyDescent="0.25">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x14ac:dyDescent="0.25">
      <c r="A60" s="74"/>
      <c r="B60" s="83">
        <f>COUNTIF(X6:X9,"&lt;100")+COUNTIF(X13:X16,"&lt;100")+COUNTIF(X20:X23,"&lt;100")+COUNTIF(X27:X30,"&lt;100")+COUNTIF(X34:X37,"&lt;100")+COUNTIF(X41:X44,"&lt;100")+COUNTIF(X48:X51,"&lt;100")+COUNTIF(X55:X58,"&lt;100")</f>
        <v>4</v>
      </c>
      <c r="C60" s="54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A, E,   !</v>
      </c>
      <c r="D60" s="541"/>
      <c r="E60" s="541"/>
      <c r="F60" s="541"/>
      <c r="G60" s="541"/>
      <c r="H60" s="541"/>
      <c r="I60" s="541"/>
      <c r="J60" s="541"/>
      <c r="K60" s="541"/>
      <c r="L60" s="541"/>
      <c r="M60" s="541"/>
      <c r="N60" s="541"/>
      <c r="O60" s="541"/>
      <c r="P60" s="541"/>
      <c r="Q60" s="541"/>
      <c r="R60" s="541"/>
      <c r="S60" s="541"/>
      <c r="T60" s="541"/>
      <c r="U60" s="541"/>
      <c r="V60" s="541"/>
      <c r="W60" s="54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x14ac:dyDescent="0.25">
      <c r="A61" s="74"/>
      <c r="B61" s="84"/>
      <c r="C61" s="510"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A, E,  hay equipos igualados en puntos, goles y golaveraje (marcados con un signo de exclamación amarillo). Si no estás de acuerdo con el orden…puedes seleccionar a la derecha del grupo el orden de las selecciones empatadas.</v>
      </c>
      <c r="D61" s="510"/>
      <c r="E61" s="510"/>
      <c r="F61" s="510"/>
      <c r="G61" s="510"/>
      <c r="H61" s="510"/>
      <c r="I61" s="510"/>
      <c r="J61" s="510"/>
      <c r="K61" s="510"/>
      <c r="L61" s="510"/>
      <c r="M61" s="510"/>
      <c r="N61" s="510"/>
      <c r="O61" s="510"/>
      <c r="P61" s="510"/>
      <c r="Q61" s="510"/>
      <c r="R61" s="510"/>
      <c r="S61" s="510"/>
      <c r="T61" s="510"/>
      <c r="U61" s="510"/>
      <c r="V61" s="510"/>
      <c r="W61" s="510"/>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4.95" customHeight="1" x14ac:dyDescent="0.25">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x14ac:dyDescent="0.25">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x14ac:dyDescent="0.25">
      <c r="A64" s="74"/>
      <c r="B64" s="511" t="s">
        <v>142</v>
      </c>
      <c r="C64" s="92">
        <v>43281</v>
      </c>
      <c r="D64" s="93">
        <v>0.83333333333333337</v>
      </c>
      <c r="E64" s="94" t="s">
        <v>207</v>
      </c>
      <c r="F64" s="137" t="str">
        <f>IF(SUM(AH6:AH9)=12,VLOOKUP(1,$N$6:$O$9,2,FALSE),"1A")</f>
        <v>Uruguay</v>
      </c>
      <c r="G64" s="57"/>
      <c r="H64" s="486"/>
      <c r="I64" s="486"/>
      <c r="J64" s="57"/>
      <c r="K64" s="58" t="str">
        <f>IF(SUM(AH13:AH16)=12,VLOOKUP(2,$N$13:$O$16,2,FALSE),"2B")</f>
        <v>Portugal</v>
      </c>
      <c r="L64" s="27">
        <f>IF(F74="W49",0,1)</f>
        <v>0</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x14ac:dyDescent="0.25">
      <c r="A65" s="74"/>
      <c r="B65" s="512"/>
      <c r="C65" s="95">
        <v>43281</v>
      </c>
      <c r="D65" s="96">
        <v>0.66666666666666663</v>
      </c>
      <c r="E65" s="97" t="s">
        <v>104</v>
      </c>
      <c r="F65" s="138" t="str">
        <f>IF(SUM(AH20:AH23)=12,VLOOKUP(1,$N$20:$O$23,2,FALSE),"1C")</f>
        <v>Francia</v>
      </c>
      <c r="G65" s="59"/>
      <c r="H65" s="486"/>
      <c r="I65" s="486"/>
      <c r="J65" s="59"/>
      <c r="K65" s="60" t="str">
        <f>IF(SUM(AH27:AH30)=12,VLOOKUP(2,$N$27:$O$30,2,FALSE),"2D")</f>
        <v>Croacia</v>
      </c>
      <c r="L65" s="27">
        <f>IF(K74="W50",0,1)</f>
        <v>0</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x14ac:dyDescent="0.25">
      <c r="A66" s="74"/>
      <c r="B66" s="512"/>
      <c r="C66" s="95">
        <v>43282</v>
      </c>
      <c r="D66" s="96">
        <v>0.66666666666666663</v>
      </c>
      <c r="E66" s="97" t="s">
        <v>206</v>
      </c>
      <c r="F66" s="138" t="str">
        <f>IF(SUM(AH13:AH16)=12,VLOOKUP(1,$N$13:$O$16,2,FALSE),"1B")</f>
        <v>España</v>
      </c>
      <c r="G66" s="59"/>
      <c r="H66" s="486"/>
      <c r="I66" s="486"/>
      <c r="J66" s="59"/>
      <c r="K66" s="60" t="str">
        <f>IF(SUM(AH6:AH9)=12,VLOOKUP(2,$N$6:$O$9,2,FALSE),"2A")</f>
        <v>Rusia</v>
      </c>
      <c r="L66" s="27">
        <f>IF(F76="W51",0,1)</f>
        <v>0</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x14ac:dyDescent="0.25">
      <c r="A67" s="74"/>
      <c r="B67" s="512"/>
      <c r="C67" s="95">
        <v>43282</v>
      </c>
      <c r="D67" s="96">
        <v>0.83333333333333337</v>
      </c>
      <c r="E67" s="97" t="s">
        <v>210</v>
      </c>
      <c r="F67" s="138" t="str">
        <f>IF(SUM(AH27:AH30)=12,VLOOKUP(1,$N$27:$O$30,2,FALSE),"1D")</f>
        <v>Argentina</v>
      </c>
      <c r="G67" s="59"/>
      <c r="H67" s="486"/>
      <c r="I67" s="486"/>
      <c r="J67" s="59"/>
      <c r="K67" s="60" t="str">
        <f>IF(SUM(AH20:AH23)=12,VLOOKUP(2,$N$20:$O$23,2,FALSE),"2C")</f>
        <v>Dinamarca</v>
      </c>
      <c r="L67" s="27">
        <f>IF(K76="W52",0,1)</f>
        <v>0</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x14ac:dyDescent="0.25">
      <c r="A68" s="74"/>
      <c r="B68" s="512"/>
      <c r="C68" s="95">
        <v>43283</v>
      </c>
      <c r="D68" s="96">
        <v>0.66666666666666663</v>
      </c>
      <c r="E68" s="97" t="s">
        <v>102</v>
      </c>
      <c r="F68" s="138" t="str">
        <f>IF(SUM(AH34:AH37)=12,VLOOKUP(1,$N$34:$O$37,2,FALSE),"1E")</f>
        <v>Brasil</v>
      </c>
      <c r="G68" s="59"/>
      <c r="H68" s="486"/>
      <c r="I68" s="486"/>
      <c r="J68" s="59"/>
      <c r="K68" s="60" t="str">
        <f>IF(SUM(AH41:AH44)=12,VLOOKUP(2,$N$41:$O$44,2,FALSE),"2F")</f>
        <v>Suecia</v>
      </c>
      <c r="L68" s="27">
        <f>IF(F75="W53",0,1)</f>
        <v>0</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x14ac:dyDescent="0.25">
      <c r="A69" s="74"/>
      <c r="B69" s="512"/>
      <c r="C69" s="95">
        <v>43283</v>
      </c>
      <c r="D69" s="96">
        <v>0.83333333333333337</v>
      </c>
      <c r="E69" s="97" t="s">
        <v>101</v>
      </c>
      <c r="F69" s="138" t="str">
        <f>IF(SUM(AH48:AH51)=12,VLOOKUP(1,$N$48:$O$51,2,FALSE),"1G")</f>
        <v>Inglaterra</v>
      </c>
      <c r="G69" s="59"/>
      <c r="H69" s="486"/>
      <c r="I69" s="486"/>
      <c r="J69" s="59"/>
      <c r="K69" s="60" t="str">
        <f>IF(SUM(AH55:AH58)=12,VLOOKUP(2,$N$55:$O$58,2,FALSE),"2H")</f>
        <v>Colombia</v>
      </c>
      <c r="L69" s="27">
        <f>IF(K75="W54",0,1)</f>
        <v>0</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x14ac:dyDescent="0.25">
      <c r="A70" s="74"/>
      <c r="B70" s="512"/>
      <c r="C70" s="95">
        <v>43284</v>
      </c>
      <c r="D70" s="96">
        <v>0.66666666666666663</v>
      </c>
      <c r="E70" s="97" t="s">
        <v>212</v>
      </c>
      <c r="F70" s="138" t="str">
        <f>IF(SUM(AH41:AH44)=12,VLOOKUP(1,$N$41:$O$44,2,FALSE),"1F")</f>
        <v>Alemania</v>
      </c>
      <c r="G70" s="59"/>
      <c r="H70" s="486"/>
      <c r="I70" s="486"/>
      <c r="J70" s="59"/>
      <c r="K70" s="60" t="str">
        <f>IF(SUM(AH34:AH37)=12,VLOOKUP(2,$N$34:$O$37,2,FALSE),"2E")</f>
        <v>Suiza</v>
      </c>
      <c r="L70" s="27">
        <f>IF(F77="W55",0,1)</f>
        <v>0</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x14ac:dyDescent="0.25">
      <c r="A71" s="74"/>
      <c r="B71" s="513"/>
      <c r="C71" s="98">
        <v>43284</v>
      </c>
      <c r="D71" s="99">
        <v>0.83333333333333337</v>
      </c>
      <c r="E71" s="100" t="s">
        <v>209</v>
      </c>
      <c r="F71" s="139" t="str">
        <f>IF(SUM(AH55:AH58)=12,VLOOKUP(1,$N$55:$O$58,2,FALSE),"1H")</f>
        <v>Polonia</v>
      </c>
      <c r="G71" s="61"/>
      <c r="H71" s="486"/>
      <c r="I71" s="486"/>
      <c r="J71" s="61"/>
      <c r="K71" s="62" t="str">
        <f>IF(SUM(AH48:AH51)=12,VLOOKUP(2,$N$48:$O$51,2,FALSE),"2G")</f>
        <v>Bélgica</v>
      </c>
      <c r="L71" s="27">
        <f>IF(K77="W56",0,1)</f>
        <v>0</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4.95" customHeight="1" x14ac:dyDescent="0.25">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x14ac:dyDescent="0.25">
      <c r="A73" s="74"/>
      <c r="B73" s="87"/>
      <c r="C73" s="88" t="s">
        <v>15</v>
      </c>
      <c r="D73" s="88" t="s">
        <v>178</v>
      </c>
      <c r="E73" s="87" t="s">
        <v>211</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x14ac:dyDescent="0.25">
      <c r="A74" s="74"/>
      <c r="B74" s="532" t="s">
        <v>143</v>
      </c>
      <c r="C74" s="101">
        <v>43287</v>
      </c>
      <c r="D74" s="102">
        <v>0.66666666666666663</v>
      </c>
      <c r="E74" s="103" t="s">
        <v>210</v>
      </c>
      <c r="F74" s="140" t="str">
        <f>IF(AND(OR(H64="",I64="")),"W49",IF(H64&gt;I64,F64,IF(H64&lt;I64,K64,IF(AND(H64=I64,G64=J64),"W49",IF(AND(H64=I64,OR(G64="",J64="")),"W49",IF(AND(H64=I64,G64&gt;J64),F64,K64))))))</f>
        <v>W49</v>
      </c>
      <c r="G74" s="63"/>
      <c r="H74" s="487"/>
      <c r="I74" s="487"/>
      <c r="J74" s="63"/>
      <c r="K74" s="64" t="str">
        <f>IF(AND(OR(H65="",I65="")),"W50",IF(H65&gt;I65,F65,IF(H65&lt;I65,K65,IF(AND(H65=I65,G65=J65),"W50",IF(AND(H65=I65,OR(G65="",J65="")),"W50",IF(AND(H65=I65,G65&gt;J65),F65,K65))))))</f>
        <v>W50</v>
      </c>
      <c r="L74" s="27">
        <f>IF(F80="W57",0,1)</f>
        <v>0</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x14ac:dyDescent="0.25">
      <c r="A75" s="74"/>
      <c r="B75" s="533"/>
      <c r="C75" s="104">
        <v>43287</v>
      </c>
      <c r="D75" s="105">
        <v>0.83333333333333337</v>
      </c>
      <c r="E75" s="106" t="s">
        <v>104</v>
      </c>
      <c r="F75" s="141" t="str">
        <f>IF(AND(OR(H68="",I68="")),"W53",IF(H68&gt;I68,F68,IF(H68&lt;I68,K68,IF(AND(H68=I68,G68=J68),"W53",IF(AND(H68=I68,OR(G68="",J68="")),"W53",IF(AND(H68=I68,G68&gt;J68),F68,K68))))))</f>
        <v>W53</v>
      </c>
      <c r="G75" s="65"/>
      <c r="H75" s="487"/>
      <c r="I75" s="487"/>
      <c r="J75" s="65"/>
      <c r="K75" s="66" t="str">
        <f>IF(AND(OR(H69="",I69="")),"W54",IF(H69&gt;I69,F69,IF(H69&lt;I69,K69,IF(AND(H69=I69,G69=J69),"W54",IF(AND(H69=I69,OR(G69="",J69="")),"W54",IF(AND(H69=I69,G69&gt;J69),F69,K69))))))</f>
        <v>W54</v>
      </c>
      <c r="L75" s="27">
        <f>IF(K80="W58",0,1)</f>
        <v>0</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x14ac:dyDescent="0.25">
      <c r="A76" s="74"/>
      <c r="B76" s="533"/>
      <c r="C76" s="104">
        <v>43288</v>
      </c>
      <c r="D76" s="105">
        <v>0.83333333333333337</v>
      </c>
      <c r="E76" s="106" t="s">
        <v>207</v>
      </c>
      <c r="F76" s="141" t="str">
        <f>IF(AND(OR(H66="",I66="")),"W51",IF(H66&gt;I66,F66,IF(H66&lt;I66,K66,IF(AND(H66=I66,G66=J66),"W51",IF(AND(H66=I66,OR(G66="",J66="")),"W51",IF(AND(H66=I66,G66&gt;J66),F66,K66))))))</f>
        <v>W51</v>
      </c>
      <c r="G76" s="65"/>
      <c r="H76" s="487"/>
      <c r="I76" s="487"/>
      <c r="J76" s="65"/>
      <c r="K76" s="66" t="str">
        <f>IF(AND(OR(H67="",I67="")),"W52",IF(H67&gt;I67,F67,IF(H67&lt;I67,K67,IF(AND(H67=I67,G67=J67),"W52",IF(AND(H67=I67,OR(G67="",J67="")),"W52",IF(AND(H67=I67,G67&gt;J67),F67,K67))))))</f>
        <v>W52</v>
      </c>
      <c r="L76" s="27">
        <f>IF(F81="W59",0,1)</f>
        <v>0</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x14ac:dyDescent="0.25">
      <c r="A77" s="74"/>
      <c r="B77" s="534"/>
      <c r="C77" s="107">
        <v>43288</v>
      </c>
      <c r="D77" s="108">
        <v>0.66666666666666663</v>
      </c>
      <c r="E77" s="109" t="s">
        <v>102</v>
      </c>
      <c r="F77" s="142" t="str">
        <f>IF(AND(OR(H70="",I70="")),"W55",IF(H70&gt;I70,F70,IF(H70&lt;I70,K70,IF(AND(H70=I70,G70=J70),"W55",IF(AND(H70=I70,OR(G70="",J70="")),"W55",IF(AND(H70=I70,G70&gt;J70),F70,K70))))))</f>
        <v>W55</v>
      </c>
      <c r="G77" s="67"/>
      <c r="H77" s="487"/>
      <c r="I77" s="487"/>
      <c r="J77" s="67"/>
      <c r="K77" s="68" t="str">
        <f>IF(AND(OR(H71="",I71="")),"W56",IF(H71&gt;I71,F71,IF(H71&lt;I71,K71,IF(AND(H71=I71,G71=J71),"W56",IF(AND(H71=I71,OR(G71="",J71="")),"W56",IF(AND(H71=I71,G71&gt;J71),F71,K71))))))</f>
        <v>W56</v>
      </c>
      <c r="L77" s="27">
        <f>IF(K81="W60",0,1)</f>
        <v>0</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4.95" customHeight="1" x14ac:dyDescent="0.25">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x14ac:dyDescent="0.25">
      <c r="A79" s="74"/>
      <c r="B79" s="87"/>
      <c r="C79" s="88" t="s">
        <v>15</v>
      </c>
      <c r="D79" s="88" t="s">
        <v>178</v>
      </c>
      <c r="E79" s="87" t="s">
        <v>211</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x14ac:dyDescent="0.25">
      <c r="A80" s="74"/>
      <c r="B80" s="535" t="s">
        <v>144</v>
      </c>
      <c r="C80" s="110">
        <v>43291</v>
      </c>
      <c r="D80" s="111">
        <v>0.83333333333333337</v>
      </c>
      <c r="E80" s="112" t="s">
        <v>212</v>
      </c>
      <c r="F80" s="143" t="str">
        <f>IF(AND(OR(H74="",I74="")),"W57",IF(H74&gt;I74,F74,IF(H74&lt;I74,K74,IF(AND(H74=I74,G74=J74),"W57",IF(AND(H74=I74,OR(G74="",J74="")),"W57",IF(AND(H74=I74,G74&gt;J74),F74,K74))))))</f>
        <v>W57</v>
      </c>
      <c r="G80" s="491"/>
      <c r="H80" s="488"/>
      <c r="I80" s="488"/>
      <c r="J80" s="491"/>
      <c r="K80" s="69" t="str">
        <f>IF(AND(OR(H75="",I75="")),"W58",IF(H75&gt;I75,F75,IF(H75&lt;I75,K75,IF(AND(H75=I75,G75=J75),"W58",IF(AND(H75=I75,OR(G75="",J75="")),"W58",IF(AND(H75=I75,G75&gt;J75),F75,K75))))))</f>
        <v>W58</v>
      </c>
      <c r="L80" s="27">
        <f>IF(F87="W61",0,1)</f>
        <v>0</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x14ac:dyDescent="0.25">
      <c r="A81" s="74"/>
      <c r="B81" s="536"/>
      <c r="C81" s="113">
        <v>43292</v>
      </c>
      <c r="D81" s="114">
        <v>0.83333333333333337</v>
      </c>
      <c r="E81" s="115" t="s">
        <v>206</v>
      </c>
      <c r="F81" s="144" t="str">
        <f>IF(AND(OR(H76="",I76="")),"W59",IF(H76&gt;I76,F76,IF(H76&lt;I76,K76,IF(AND(H76=I76,G76=J76),"W59",IF(AND(H76=I76,OR(G76="",J76="")),"W59",IF(AND(H76=I76,G76&gt;J76),F76,K76))))))</f>
        <v>W59</v>
      </c>
      <c r="G81" s="492"/>
      <c r="H81" s="488"/>
      <c r="I81" s="488"/>
      <c r="J81" s="493"/>
      <c r="K81" s="70" t="str">
        <f>IF(AND(OR(H77="",I77="")),"W60",IF(H77&gt;I77,F77,IF(H77&lt;I77,K77,IF(AND(H77=I77,G77=J77),"W60",IF(AND(H77=I77,OR(G77="",J77="")),"W60",IF(AND(H77=I77,G77&gt;J77),F77,K77))))))</f>
        <v>W60</v>
      </c>
      <c r="L81" s="27">
        <f>IF(K87="W62",0,1)</f>
        <v>0</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4.95" customHeight="1" x14ac:dyDescent="0.25">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x14ac:dyDescent="0.25">
      <c r="A83" s="74"/>
      <c r="B83" s="87"/>
      <c r="C83" s="88" t="s">
        <v>15</v>
      </c>
      <c r="D83" s="88" t="s">
        <v>178</v>
      </c>
      <c r="E83" s="87" t="s">
        <v>211</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x14ac:dyDescent="0.25">
      <c r="A84" s="74"/>
      <c r="B84" s="116" t="s">
        <v>145</v>
      </c>
      <c r="C84" s="117">
        <v>43295</v>
      </c>
      <c r="D84" s="118">
        <v>0.66666666666666663</v>
      </c>
      <c r="E84" s="119" t="s">
        <v>212</v>
      </c>
      <c r="F84" s="145" t="str">
        <f>IF(AND(OR(H80="",I80="")),"L61",IF(H80&gt;I80,K80,IF(H80&lt;I80,F80,IF(AND(H80=I80,G80=J80),"L61",IF(AND(H80=I80,OR(G80="",J80="")),"L61",IF(AND(H80=I80,G80&gt;J80),K80,F80))))))</f>
        <v>L61</v>
      </c>
      <c r="G84" s="494"/>
      <c r="H84" s="489"/>
      <c r="I84" s="489"/>
      <c r="J84" s="495"/>
      <c r="K84" s="71" t="str">
        <f>IF(AND(OR(H81="",I81="")),"L62",IF(H81&gt;I81,K81,IF(H81&lt;I81,F81,IF(AND(H81=I81,G81=J81),"L62",IF(AND(H81=I81,OR(G81="",J81="")),"L62",IF(AND(H81=I81,G81&gt;J81),K81,F81))))))</f>
        <v>L62</v>
      </c>
      <c r="L84" s="27">
        <f>IF(F91="W63",0,1)</f>
        <v>0</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4.95" customHeight="1" x14ac:dyDescent="0.25">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x14ac:dyDescent="0.25">
      <c r="A86" s="74"/>
      <c r="B86" s="87"/>
      <c r="C86" s="88" t="s">
        <v>15</v>
      </c>
      <c r="D86" s="88" t="s">
        <v>178</v>
      </c>
      <c r="E86" s="87" t="s">
        <v>211</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x14ac:dyDescent="0.25">
      <c r="A87" s="74"/>
      <c r="B87" s="121" t="s">
        <v>5</v>
      </c>
      <c r="C87" s="122">
        <v>43296</v>
      </c>
      <c r="D87" s="123">
        <v>0.70833333333333337</v>
      </c>
      <c r="E87" s="124" t="s">
        <v>206</v>
      </c>
      <c r="F87" s="146" t="str">
        <f>IF(AND(OR(H80="",I80="")),"W61",IF(H80&gt;I80,F80,IF(H80&lt;I80,K80,IF(AND(H80=I80,G80=J80),"W61",IF(AND(H80=I80,OR(G80="",J80="")),"W61",IF(AND(H80=I80,G80&gt;J80),F80,K80))))))</f>
        <v>W61</v>
      </c>
      <c r="G87" s="496"/>
      <c r="H87" s="490"/>
      <c r="I87" s="490"/>
      <c r="J87" s="497"/>
      <c r="K87" s="72" t="str">
        <f>IF(AND(OR(H81="",I81="")),"W62",IF(H81&gt;I81,F81,IF(H81&lt;I81,K81,IF(AND(H81=I81,G81=J81),"W62",IF(AND(H81=I81,OR(G81="",J81="")),"W62",IF(AND(H81=I81,G81&gt;J81),F81,K81))))))</f>
        <v>W62</v>
      </c>
      <c r="L87" s="27">
        <f>IF(F89="W64",0,1)</f>
        <v>0</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39.950000000000003" customHeight="1" thickBot="1" x14ac:dyDescent="0.3">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100000000000001" customHeight="1" x14ac:dyDescent="0.25">
      <c r="A89" s="126"/>
      <c r="B89" s="127" t="s">
        <v>128</v>
      </c>
      <c r="C89" s="127"/>
      <c r="D89" s="127"/>
      <c r="E89" s="128"/>
      <c r="F89" s="514" t="str">
        <f>IF(AND(OR(H87="",I87="")),"W64",IF(H87&gt;I87,F87,IF(H87&lt;I87,K87,IF(AND(H87=I87,G87=J87),"W64",IF(AND(H87=I87,OR(G87="",J87="")),"W64",IF(AND(H87=I87,G87&gt;J87),F87,K87))))))</f>
        <v>W64</v>
      </c>
      <c r="G89" s="515"/>
      <c r="H89" s="515"/>
      <c r="I89" s="515"/>
      <c r="J89" s="515"/>
      <c r="K89" s="515"/>
      <c r="L89" s="27">
        <f>IF(F89="W64",0,1)</f>
        <v>0</v>
      </c>
      <c r="M89" s="33"/>
      <c r="N89" s="524" t="str">
        <f>IF(COUNTIF(L4:L101,0)&gt;0,"PORRA INCOMPLETA:","PORRA COMPLETA:")</f>
        <v>PORRA INCOMPLETA:</v>
      </c>
      <c r="O89" s="525"/>
      <c r="P89" s="525"/>
      <c r="Q89" s="525"/>
      <c r="R89" s="525"/>
      <c r="S89" s="525"/>
      <c r="T89" s="525"/>
      <c r="U89" s="525"/>
      <c r="V89" s="525"/>
      <c r="W89" s="525"/>
      <c r="X89" s="526"/>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100000000000001" customHeight="1" x14ac:dyDescent="0.25">
      <c r="A90" s="126"/>
      <c r="B90" s="129" t="s">
        <v>131</v>
      </c>
      <c r="C90" s="129"/>
      <c r="D90" s="129"/>
      <c r="E90" s="130"/>
      <c r="F90" s="516" t="str">
        <f>IF(AND(OR(H87="",I87="")),"L64",IF(H87&gt;I87,K87,IF(H87&lt;I87,F87,IF(AND(H87=I87,G87=J87),"L64",IF(AND(H87=I87,OR(G87="",J87="")),"L64",IF(AND(H87=I87,G87&gt;J87),K87,F87))))))</f>
        <v>L64</v>
      </c>
      <c r="G90" s="517"/>
      <c r="H90" s="517"/>
      <c r="I90" s="517"/>
      <c r="J90" s="517"/>
      <c r="K90" s="517"/>
      <c r="L90" s="27">
        <f>IF(F90="L64",0,1)</f>
        <v>0</v>
      </c>
      <c r="M90" s="33"/>
      <c r="N90" s="527"/>
      <c r="O90" s="528"/>
      <c r="P90" s="528"/>
      <c r="Q90" s="528"/>
      <c r="R90" s="528"/>
      <c r="S90" s="528"/>
      <c r="T90" s="528"/>
      <c r="U90" s="528"/>
      <c r="V90" s="528"/>
      <c r="W90" s="528"/>
      <c r="X90" s="529"/>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100000000000001" customHeight="1" x14ac:dyDescent="0.25">
      <c r="A91" s="126"/>
      <c r="B91" s="129" t="s">
        <v>132</v>
      </c>
      <c r="C91" s="129"/>
      <c r="D91" s="129"/>
      <c r="E91" s="130"/>
      <c r="F91" s="516" t="str">
        <f>IF(AND(OR(H84="",I84="")),"W63",IF(H84&gt;I84,F84,IF(H84&lt;I84,K84,IF(AND(H84=I84,G84=J84),"W63",IF(AND(H84=I84,OR(G84="",J84="")),"W63",IF(AND(H84=I84,G84&gt;J84),F84,K84))))))</f>
        <v>W63</v>
      </c>
      <c r="G91" s="517"/>
      <c r="H91" s="517"/>
      <c r="I91" s="517"/>
      <c r="J91" s="517"/>
      <c r="K91" s="517"/>
      <c r="L91" s="27">
        <f>IF(F91="W63",0,1)</f>
        <v>0</v>
      </c>
      <c r="M91" s="33"/>
      <c r="N91" s="527"/>
      <c r="O91" s="528"/>
      <c r="P91" s="528"/>
      <c r="Q91" s="528"/>
      <c r="R91" s="528"/>
      <c r="S91" s="528"/>
      <c r="T91" s="528"/>
      <c r="U91" s="528"/>
      <c r="V91" s="528"/>
      <c r="W91" s="528"/>
      <c r="X91" s="529"/>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6.95" customHeight="1" x14ac:dyDescent="0.25">
      <c r="A92" s="126"/>
      <c r="B92" s="131"/>
      <c r="C92" s="131"/>
      <c r="D92" s="131"/>
      <c r="E92" s="131"/>
      <c r="F92" s="147"/>
      <c r="G92" s="147"/>
      <c r="H92" s="147"/>
      <c r="I92" s="147"/>
      <c r="J92" s="147"/>
      <c r="K92" s="147"/>
      <c r="L92" s="149"/>
      <c r="M92" s="389"/>
      <c r="N92" s="527"/>
      <c r="O92" s="528"/>
      <c r="P92" s="528"/>
      <c r="Q92" s="528"/>
      <c r="R92" s="528"/>
      <c r="S92" s="528"/>
      <c r="T92" s="528"/>
      <c r="U92" s="528"/>
      <c r="V92" s="528"/>
      <c r="W92" s="528"/>
      <c r="X92" s="529"/>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100000000000001" customHeight="1" x14ac:dyDescent="0.25">
      <c r="A93" s="126"/>
      <c r="B93" s="127" t="s">
        <v>112</v>
      </c>
      <c r="C93" s="127"/>
      <c r="D93" s="127"/>
      <c r="E93" s="128"/>
      <c r="F93" s="537" t="s">
        <v>179</v>
      </c>
      <c r="G93" s="538"/>
      <c r="H93" s="538"/>
      <c r="I93" s="538"/>
      <c r="J93" s="538"/>
      <c r="K93" s="538"/>
      <c r="L93" s="27">
        <f>IF(F93="Escribe un Jugador",0,IF(F93="",0,1))</f>
        <v>0</v>
      </c>
      <c r="M93" s="73"/>
      <c r="N93" s="518" t="str">
        <f>IF(COUNTIF(L4:L101,0)&gt;0,"Aún falta alguna apuesta","Guarda el archivo y reenvíanoslo por email")</f>
        <v>Aún falta alguna apuesta</v>
      </c>
      <c r="O93" s="519"/>
      <c r="P93" s="519"/>
      <c r="Q93" s="519"/>
      <c r="R93" s="519"/>
      <c r="S93" s="519"/>
      <c r="T93" s="519"/>
      <c r="U93" s="519"/>
      <c r="V93" s="519"/>
      <c r="W93" s="519"/>
      <c r="X93" s="520"/>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100000000000001" customHeight="1" x14ac:dyDescent="0.25">
      <c r="A94" s="126"/>
      <c r="B94" s="129" t="s">
        <v>113</v>
      </c>
      <c r="C94" s="129"/>
      <c r="D94" s="129"/>
      <c r="E94" s="130"/>
      <c r="F94" s="539" t="s">
        <v>179</v>
      </c>
      <c r="G94" s="540"/>
      <c r="H94" s="540"/>
      <c r="I94" s="540"/>
      <c r="J94" s="540"/>
      <c r="K94" s="540"/>
      <c r="L94" s="27">
        <f>IF(F94="Escribe un Jugador",0,IF(F94="",0,1))</f>
        <v>0</v>
      </c>
      <c r="M94" s="73"/>
      <c r="N94" s="518"/>
      <c r="O94" s="519"/>
      <c r="P94" s="519"/>
      <c r="Q94" s="519"/>
      <c r="R94" s="519"/>
      <c r="S94" s="519"/>
      <c r="T94" s="519"/>
      <c r="U94" s="519"/>
      <c r="V94" s="519"/>
      <c r="W94" s="519"/>
      <c r="X94" s="520"/>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100000000000001" customHeight="1" thickBot="1" x14ac:dyDescent="0.3">
      <c r="A95" s="126"/>
      <c r="B95" s="129" t="s">
        <v>114</v>
      </c>
      <c r="C95" s="129"/>
      <c r="D95" s="129"/>
      <c r="E95" s="130"/>
      <c r="F95" s="539" t="s">
        <v>179</v>
      </c>
      <c r="G95" s="540"/>
      <c r="H95" s="540"/>
      <c r="I95" s="540"/>
      <c r="J95" s="540"/>
      <c r="K95" s="540"/>
      <c r="L95" s="27">
        <f>IF(F95="Escribe un Jugador",0,IF(F95="",0,1))</f>
        <v>0</v>
      </c>
      <c r="M95" s="73"/>
      <c r="N95" s="521"/>
      <c r="O95" s="522"/>
      <c r="P95" s="522"/>
      <c r="Q95" s="522"/>
      <c r="R95" s="522"/>
      <c r="S95" s="522"/>
      <c r="T95" s="522"/>
      <c r="U95" s="522"/>
      <c r="V95" s="522"/>
      <c r="W95" s="522"/>
      <c r="X95" s="523"/>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6.95" customHeight="1" x14ac:dyDescent="0.25">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100000000000001" customHeight="1" x14ac:dyDescent="0.25">
      <c r="A97" s="126"/>
      <c r="B97" s="127" t="s">
        <v>116</v>
      </c>
      <c r="C97" s="127"/>
      <c r="D97" s="127"/>
      <c r="E97" s="128"/>
      <c r="F97" s="537" t="s">
        <v>179</v>
      </c>
      <c r="G97" s="538"/>
      <c r="H97" s="538"/>
      <c r="I97" s="538"/>
      <c r="J97" s="538"/>
      <c r="K97" s="538"/>
      <c r="L97" s="27">
        <f>IF(F97="Escribe un Jugador",0,IF(F97="",0,1))</f>
        <v>0</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100000000000001" customHeight="1" x14ac:dyDescent="0.25">
      <c r="A98" s="126"/>
      <c r="B98" s="129" t="s">
        <v>117</v>
      </c>
      <c r="C98" s="129"/>
      <c r="D98" s="129"/>
      <c r="E98" s="130"/>
      <c r="F98" s="539" t="s">
        <v>179</v>
      </c>
      <c r="G98" s="540"/>
      <c r="H98" s="540"/>
      <c r="I98" s="540"/>
      <c r="J98" s="540"/>
      <c r="K98" s="540"/>
      <c r="L98" s="27">
        <f t="shared" ref="L98:L99" si="153">IF(F98="Escribe un Jugador",0,IF(F98="",0,1))</f>
        <v>0</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100000000000001" customHeight="1" x14ac:dyDescent="0.25">
      <c r="A99" s="126"/>
      <c r="B99" s="129" t="s">
        <v>118</v>
      </c>
      <c r="C99" s="129"/>
      <c r="D99" s="129"/>
      <c r="E99" s="130"/>
      <c r="F99" s="539" t="s">
        <v>179</v>
      </c>
      <c r="G99" s="540"/>
      <c r="H99" s="540"/>
      <c r="I99" s="540"/>
      <c r="J99" s="540"/>
      <c r="K99" s="540"/>
      <c r="L99" s="27">
        <f t="shared" si="153"/>
        <v>0</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6.95" customHeight="1" x14ac:dyDescent="0.25">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x14ac:dyDescent="0.25">
      <c r="A101" s="126"/>
      <c r="B101" s="134" t="s">
        <v>93</v>
      </c>
      <c r="C101" s="135"/>
      <c r="D101" s="135"/>
      <c r="E101" s="136"/>
      <c r="F101" s="530" t="s">
        <v>228</v>
      </c>
      <c r="G101" s="531"/>
      <c r="H101" s="531"/>
      <c r="I101" s="531"/>
      <c r="J101" s="531"/>
      <c r="K101" s="531"/>
      <c r="L101" s="27">
        <f>IF(F101="Escribe tu nombre",0,IF(F101="",0,1))</f>
        <v>1</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x14ac:dyDescent="0.25">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x14ac:dyDescent="0.25"/>
    <row r="104" spans="1:118" hidden="1" x14ac:dyDescent="0.25"/>
    <row r="105" spans="1:118" hidden="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 ref="C60:W60"/>
    <mergeCell ref="B4:B9"/>
    <mergeCell ref="B11:B16"/>
    <mergeCell ref="B18:B23"/>
    <mergeCell ref="B25:B30"/>
    <mergeCell ref="B32:B37"/>
    <mergeCell ref="B39:B44"/>
    <mergeCell ref="B46:B51"/>
    <mergeCell ref="B53:B58"/>
    <mergeCell ref="F101:K101"/>
    <mergeCell ref="B74:B77"/>
    <mergeCell ref="B80:B81"/>
    <mergeCell ref="F91:K91"/>
    <mergeCell ref="F93:K93"/>
    <mergeCell ref="F98:K98"/>
    <mergeCell ref="F97:K97"/>
    <mergeCell ref="F99:K99"/>
    <mergeCell ref="F94:K94"/>
    <mergeCell ref="F95:K95"/>
    <mergeCell ref="C61:W61"/>
    <mergeCell ref="B64:B71"/>
    <mergeCell ref="F89:K89"/>
    <mergeCell ref="F90:K90"/>
    <mergeCell ref="N93:X95"/>
    <mergeCell ref="N89:X92"/>
    <mergeCell ref="Y4:AA5"/>
    <mergeCell ref="Y11:AA12"/>
    <mergeCell ref="Y18:AA19"/>
    <mergeCell ref="Y53:AA54"/>
    <mergeCell ref="Y46:AA47"/>
    <mergeCell ref="Y39:AA40"/>
    <mergeCell ref="Y32:AA33"/>
    <mergeCell ref="Y25:AA26"/>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xr:uid="{00000000-0002-0000-0100-000000000000}">
      <formula1>0</formula1>
      <formula2>100</formula2>
    </dataValidation>
    <dataValidation type="whole" allowBlank="1" showInputMessage="1" showErrorMessage="1" error="Introduzca un número." sqref="G64:J71 G74:J77 G80:J81 G84:J84 G87:J87" xr:uid="{00000000-0002-0000-0100-000001000000}">
      <formula1>0</formula1>
      <formula2>100</formula2>
    </dataValidation>
    <dataValidation type="list" allowBlank="1" showInputMessage="1" showErrorMessage="1" sqref="Z58" xr:uid="{00000000-0002-0000-0100-000002000000}">
      <formula1>IF($BY$55=$CA$54,$DC$5:$DC$8,IF(OR($BY$55=$CC$54,$BY$55=$CG$54),$DG$5:$DG$6,IF($BY$55=$CE$54,$DF$5:$DF$7,$DL$5)))</formula1>
    </dataValidation>
    <dataValidation type="list" allowBlank="1" showInputMessage="1" showErrorMessage="1" error="Introduce un puesto que corresponda_x000a_" sqref="Z6" xr:uid="{00000000-0002-0000-0100-000003000000}">
      <formula1>IF($BY$6=$CA$5,$DC$5:$DC$8,IF($BY$6=$CB$5,$DD$5:$DD$7,IF(OR($BY$6=$CC$5,$BY$6=$CD$5),$DE$5:$DE$6,$DI$5)))</formula1>
    </dataValidation>
    <dataValidation type="list" allowBlank="1" showInputMessage="1" showErrorMessage="1" sqref="Z7" xr:uid="{00000000-0002-0000-0100-000004000000}">
      <formula1>IF($BY$6=$CA$5,$DC$5:$DC$8,IF($BY$6=$CB$5,$DD$5:$DD$7,IF(OR($BY$6=$CC$5,$BY$6=$CD$5),$DE$5:$DE$6,IF($BY$6=$CE$5,$DF$5:$DF$7,(IF($BY$6=$CF$5,$DH$5:$DH$6,$DJ$5))))))</formula1>
    </dataValidation>
    <dataValidation type="list" allowBlank="1" showInputMessage="1" showErrorMessage="1" sqref="Z8" xr:uid="{00000000-0002-0000-0100-000005000000}">
      <formula1>IF($BY$6=$CA$5,$DC$5:$DC$8,IF($BY$6=$CB$5,$DD$5:$DD$7,IF(OR($BY$6=$CC$5,$BY$6=$CG$5),$DG$5:$DG$6,IF($BY$6=$CE$5,$DF$5:$DF$7,(IF($BY$6=$CF$5,$DH$5:$DH$6,$DK$5))))))</formula1>
    </dataValidation>
    <dataValidation type="list" allowBlank="1" showInputMessage="1" showErrorMessage="1" sqref="Z9" xr:uid="{00000000-0002-0000-0100-000006000000}">
      <formula1>IF($BY$6=$CA$5,$DC$5:$DC$8,IF(OR($BY$6=$CC$5,$BY$6=$CG$5),$DG$5:$DG$6,IF($BY$6=$CE$5,$DF$5:$DF$7,$DL$5)))</formula1>
    </dataValidation>
    <dataValidation type="list" allowBlank="1" showInputMessage="1" showErrorMessage="1" sqref="Z13" xr:uid="{00000000-0002-0000-0100-000007000000}">
      <formula1>IF($BY$13=$CA$12,$DC$5:$DC$8,IF($BY$13=$CB$12,$DD$5:$DD$7,IF(OR($BY$13=$CC$12,$BY$13=$CD$12),$DE$5:$DE$6,$DI$5)))</formula1>
    </dataValidation>
    <dataValidation type="list" allowBlank="1" showInputMessage="1" showErrorMessage="1" sqref="Z14" xr:uid="{00000000-0002-0000-0100-000008000000}">
      <formula1>IF($BY$13=$CA$12,$DC$5:$DC$8,IF($BY$13=$CB$12,$DD$5:$DD$7,IF(OR($BY$13=$CC$12,$BY$13=$CD$12),$DE$5:$DE$6,IF($BY$13=$CE$12,$DF$5:$DF$7,(IF($BY$13=$CF$12,$DH$5:$DH$6,$DJ$5))))))</formula1>
    </dataValidation>
    <dataValidation type="list" allowBlank="1" showInputMessage="1" showErrorMessage="1" sqref="Z15" xr:uid="{00000000-0002-0000-0100-000009000000}">
      <formula1>IF($BY$13=$CA$12,$DC$5:$DC$8,IF($BY$13=$CB$12,$DD$5:$DD$7,IF(OR($BY$13=$CC$12,$BY$13=$CG$12),$DG$5:$DG$6,IF($BY$13=$CE$12,$DF$5:$DF$7,(IF($BY$13=$CF$12,$DH$5:$DH$6,$DK$5))))))</formula1>
    </dataValidation>
    <dataValidation type="list" allowBlank="1" showInputMessage="1" showErrorMessage="1" sqref="Z16" xr:uid="{00000000-0002-0000-0100-00000A000000}">
      <formula1>IF($BY$13=$CA$12,$DC$5:$DC$8,IF(OR($BY$13=$CC$12,$BY$13=$CG$12),$DG$5:$DG$6,IF($BY$13=$CE$12,$DF$5:$DF$7,$DL$5)))</formula1>
    </dataValidation>
    <dataValidation type="list" allowBlank="1" showInputMessage="1" showErrorMessage="1" sqref="Z20" xr:uid="{00000000-0002-0000-0100-00000B000000}">
      <formula1>IF($BY$20=$CA$19,$DC$5:$DC$8,IF($BY$20=$CB$19,$DD$5:$DD$7,IF(OR($BY$20=$CC$19,$BY$20=$CD$19),$DE$5:$DE$6,$DI$5)))</formula1>
    </dataValidation>
    <dataValidation type="list" allowBlank="1" showInputMessage="1" showErrorMessage="1" sqref="Z21" xr:uid="{00000000-0002-0000-0100-00000C000000}">
      <formula1>IF($BY$20=$CA$19,$DC$5:$DC$8,IF($BY$20=$CB$19,$DD$5:$DD$7,IF(OR($BY$20=$CC$19,$BY$20=$CD$19),$DE$5:$DE$6,IF($BY$20=$CE$19,$DF$5:$DF$7,(IF($BY$20=$CF$19,$DH$5:$DH$6,$DJ$5))))))</formula1>
    </dataValidation>
    <dataValidation type="list" allowBlank="1" showInputMessage="1" showErrorMessage="1" sqref="Z22" xr:uid="{00000000-0002-0000-0100-00000D000000}">
      <formula1>IF($BY$20=$CA$19,$DC$5:$DC$8,IF($BY$20=$CB$19,$DD$5:$DD$7,IF(OR($BY$20=$CC$19,$BY$20=$CG$19),$DG$5:$DG$6,IF($BY$20=$CE$19,$DF$5:$DF$7,(IF($BY$20=$CF$19,$DH$5:$DH$6,$DK$5))))))</formula1>
    </dataValidation>
    <dataValidation type="list" allowBlank="1" showInputMessage="1" showErrorMessage="1" sqref="Z23" xr:uid="{00000000-0002-0000-0100-00000E000000}">
      <formula1>IF($BY$20=$CA$19,$DC$5:$DC$8,IF(OR($BY$20=$CC$19,$BY$20=$CG$19),$DG$5:$DG$6,IF($BY$20=$CE$19,$DF$5:$DF$7,$DL$5)))</formula1>
    </dataValidation>
    <dataValidation type="list" allowBlank="1" showInputMessage="1" showErrorMessage="1" sqref="Z27" xr:uid="{00000000-0002-0000-0100-00000F000000}">
      <formula1>IF($BY$27=$CA$26,$DC$5:$DC$8,IF($BY$27=$CB$26,$DD$5:$DD$7,IF(OR($BY$27=$CC$26,$BY$27=$CD$26),$DE$5:$DE$6,$DI$5)))</formula1>
    </dataValidation>
    <dataValidation type="list" allowBlank="1" showInputMessage="1" showErrorMessage="1" sqref="Z28" xr:uid="{00000000-0002-0000-0100-000010000000}">
      <formula1>IF($BY$27=$CA$26,$DC$5:$DC$8,IF($BY$27=$CB$26,$DD$5:$DD$7,IF(OR($BY$27=$CC$26,$BY$27=$CD$26),$DE$5:$DE$6,IF($BY$27=$CE$26,$DF$5:$DF$7,(IF($BY$27=$CF$26,$DH$5:$DH$6,$DJ$5))))))</formula1>
    </dataValidation>
    <dataValidation type="list" allowBlank="1" showInputMessage="1" showErrorMessage="1" sqref="Z29" xr:uid="{00000000-0002-0000-0100-000011000000}">
      <formula1>IF($BY$27=$CA$26,$DC$5:$DC$8,IF($BY$27=$CB$26,$DD$5:$DD$7,IF(OR($BY$27=$CC$26,$BY$27=$CG$26),$DG$5:$DG$6,IF($BY$27=$CE$26,$DF$5:$DF$7,(IF($BY$27=$CF$26,$DH$5:$DH$6,$DK$5))))))</formula1>
    </dataValidation>
    <dataValidation type="list" allowBlank="1" showInputMessage="1" showErrorMessage="1" sqref="Z30" xr:uid="{00000000-0002-0000-0100-000012000000}">
      <formula1>IF($BY$27=$CA$26,$DC$5:$DC$8,IF(OR($BY$27=$CC$26,$BY$27=$CG$26),$DG$5:$DG$6,IF($BY$27=$CE$26,$DF$5:$DF$7,$DL$5)))</formula1>
    </dataValidation>
    <dataValidation type="list" allowBlank="1" showInputMessage="1" showErrorMessage="1" sqref="Z34" xr:uid="{00000000-0002-0000-0100-000013000000}">
      <formula1>IF($BY$34=$CA$33,$DC$5:$DC$8,IF($BY$34=$CB$33,$DD$5:$DD$7,IF(OR($BY$34=$CC$33,$BY$34=$CD$33),$DE$5:$DE$6,$DI$5)))</formula1>
    </dataValidation>
    <dataValidation type="list" allowBlank="1" showInputMessage="1" showErrorMessage="1" sqref="Z35" xr:uid="{00000000-0002-0000-0100-000014000000}">
      <formula1>IF($BY$34=$CA$33,$DC$5:$DC$8,IF($BY$34=$CB$33,$DD$5:$DD$7,IF(OR($BY$34=$CC$33,$BY$34=$CD$33),$DE$5:$DE$6,IF($BY$34=$CE$33,$DF$5:$DF$7,(IF($BY$34=$CF$33,$DH$5:$DH$6,$DJ$5))))))</formula1>
    </dataValidation>
    <dataValidation type="list" allowBlank="1" showInputMessage="1" showErrorMessage="1" sqref="Z36" xr:uid="{00000000-0002-0000-0100-000015000000}">
      <formula1>IF($BY$34=$CA$33,$DC$5:$DC$8,IF($BY$34=$CB$33,$DD$5:$DD$7,IF(OR($BY$34=$CC$33,$BY$34=$CG$33),$DG$5:$DG$6,IF($BY$34=$CE$33,$DF$5:$DF$7,(IF($BY$34=$CF$33,$DH$5:$DH$6,$DK$5))))))</formula1>
    </dataValidation>
    <dataValidation type="list" allowBlank="1" showInputMessage="1" showErrorMessage="1" sqref="Z37" xr:uid="{00000000-0002-0000-0100-000016000000}">
      <formula1>IF($BY$34=$CA$33,$DC$5:$DC$8,IF(OR($BY$34=$CC$33,$BY$34=$CG$33),$DG$5:$DG$6,IF($BY$34=$CE$33,$DF$5:$DF$7,$DL$5)))</formula1>
    </dataValidation>
    <dataValidation type="list" allowBlank="1" showInputMessage="1" showErrorMessage="1" sqref="Z41" xr:uid="{00000000-0002-0000-0100-000017000000}">
      <formula1>IF($BY$41=$CA$40,$DC$5:$DC$8,IF($BY$41=$CB$40,$DD$5:$DD$7,IF(OR($BY$41=$CC$40,$BY$41=$CD$40),$DE$5:$DE$6,$DI$5)))</formula1>
    </dataValidation>
    <dataValidation type="list" allowBlank="1" showInputMessage="1" showErrorMessage="1" sqref="Z42" xr:uid="{00000000-0002-0000-0100-000018000000}">
      <formula1>IF($BY$41=$CA$40,$DC$5:$DC$8,IF($BY$41=$CB$40,$DD$5:$DD$7,IF(OR($BY$41=$CC$40,$BY$41=$CD$40),$DE$5:$DE$6,IF($BY$41=$CE$40,$DF$5:$DF$7,(IF($BY$41=$CF$40,$DH$5:$DH$6,$DJ$5))))))</formula1>
    </dataValidation>
    <dataValidation type="list" allowBlank="1" showInputMessage="1" showErrorMessage="1" sqref="Z43" xr:uid="{00000000-0002-0000-0100-000019000000}">
      <formula1>IF($BY$41=$CA$40,$DC$5:$DC$8,IF($BY$41=$CB$40,$DD$5:$DD$7,IF(OR($BY$41=$CC$40,$BY$41=$CG$40),$DG$5:$DG$6,IF($BY$41=$CE$40,$DF$5:$DF$7,(IF($BY$41=$CF$40,$DH$5:$DH$6,$DK$5))))))</formula1>
    </dataValidation>
    <dataValidation type="list" allowBlank="1" showInputMessage="1" showErrorMessage="1" sqref="Z44" xr:uid="{00000000-0002-0000-0100-00001A000000}">
      <formula1>IF($BY$41=$CA$40,$DC$5:$DC$8,IF(OR($BY$41=$CC$40,$BY$41=$CG$40),$DG$5:$DG$6,IF($BY$41=$CE$40,$DF$5:$DF$7,$DL$5)))</formula1>
    </dataValidation>
    <dataValidation type="list" allowBlank="1" showInputMessage="1" showErrorMessage="1" sqref="Z48" xr:uid="{00000000-0002-0000-0100-00001B000000}">
      <formula1>IF($BY$48=$CA$47,$DC$5:$DC$8,IF($BY$48=$CB$47,$DD$5:$DD$7,IF(OR($BY$48=$CC$47,$BY$48=$CD$47),$DE$5:$DE$6,$DI$5)))</formula1>
    </dataValidation>
    <dataValidation type="list" allowBlank="1" showInputMessage="1" showErrorMessage="1" sqref="Z49" xr:uid="{00000000-0002-0000-0100-00001C000000}">
      <formula1>IF($BY$48=$CA$47,$DC$5:$DC$8,IF($BY$48=$CB$47,$DD$5:$DD$7,IF(OR($BY$48=$CC$47,$BY$48=$CD$47),$DE$5:$DE$6,IF($BY$48=$CE$47,$DF$5:$DF$7,(IF($BY$48=$CF$47,$DH$5:$DH$6,$DJ$5))))))</formula1>
    </dataValidation>
    <dataValidation type="list" allowBlank="1" showInputMessage="1" showErrorMessage="1" sqref="Z50" xr:uid="{00000000-0002-0000-0100-00001D000000}">
      <formula1>IF($BY$48=$CA$47,$DC$5:$DC$8,IF($BY$48=$CB$47,$DD$5:$DD$7,IF(OR($BY$48=$CC$47,$BY$48=$CG$47),$DG$5:$DG$6,IF($BY$48=$CE$47,$DF$5:$DF$7,(IF($BY$48=$CF$47,$DH$5:$DH$6,$DK$5))))))</formula1>
    </dataValidation>
    <dataValidation type="list" allowBlank="1" showInputMessage="1" showErrorMessage="1" sqref="Z51" xr:uid="{00000000-0002-0000-0100-00001E000000}">
      <formula1>IF($BY$48=$CA$47,$DC$5:$DC$8,IF(OR($BY$48=$CC$47,$BY$48=$CG$47),$DG$5:$DG$6,IF($BY$48=$CE$47,$DF$5:$DF$7,$DL$5)))</formula1>
    </dataValidation>
    <dataValidation type="list" allowBlank="1" showInputMessage="1" showErrorMessage="1" sqref="Z55" xr:uid="{00000000-0002-0000-0100-00001F000000}">
      <formula1>IF($BY$55=$CA$54,$DC$5:$DC$8,IF($BY$55=$CB$54,$DD$5:$DD$7,IF(OR($BY$55=$CC$54,$BY$55=$CD$54),$DE$5:$DE$6,$DI$5)))</formula1>
    </dataValidation>
    <dataValidation type="list" allowBlank="1" showInputMessage="1" showErrorMessage="1" sqref="Z56" xr:uid="{00000000-0002-0000-0100-000020000000}">
      <formula1>IF($BY$55=$CA$54,$DC$5:$DC$8,IF($BY$55=$CB$54,$DD$5:$DD$7,IF(OR($BY$55=$CC$54,$BY$55=$CD$54),$DE$5:$DE$6,IF($BY$55=$CE$54,$DF$5:$DF$7,(IF($BY$55=$CF$54,$DH$5:$DH$6,$DJ$5))))))</formula1>
    </dataValidation>
    <dataValidation type="list" allowBlank="1" showInputMessage="1" showErrorMessage="1" sqref="Z57" xr:uid="{00000000-0002-0000-0100-000021000000}">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xr:uid="{00000000-0004-0000-0100-000000000000}"/>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AL33"/>
  <sheetViews>
    <sheetView zoomScale="85" zoomScaleNormal="85" zoomScalePageLayoutView="85" workbookViewId="0">
      <selection activeCell="D14" sqref="D14"/>
    </sheetView>
  </sheetViews>
  <sheetFormatPr baseColWidth="10" defaultColWidth="20.42578125" defaultRowHeight="15" customHeight="1" x14ac:dyDescent="0.25"/>
  <cols>
    <col min="1" max="1" width="20.42578125" style="3"/>
    <col min="2" max="2" width="25" style="3" customWidth="1"/>
    <col min="3" max="3" width="11.42578125" style="3" customWidth="1"/>
    <col min="4" max="16384" width="20.42578125" style="3"/>
  </cols>
  <sheetData>
    <row r="1" spans="1:3 8826:8826" ht="15" customHeight="1" x14ac:dyDescent="0.25">
      <c r="A1" s="5" t="s">
        <v>56</v>
      </c>
      <c r="B1" s="6" t="s">
        <v>115</v>
      </c>
      <c r="C1" s="6" t="s">
        <v>147</v>
      </c>
    </row>
    <row r="2" spans="1:3 8826:8826" ht="15" customHeight="1" x14ac:dyDescent="0.25">
      <c r="A2" s="5" t="b">
        <f>NOT(ISERROR(VLOOKUP(Tabla3[[#This Row],[ZfP4b()8G6b·$55Ma-t·%fv-ttyZxR-.R*+Fd]],'Porra Mundial'!$AF$5:$AF$58,1,FALSE)))</f>
        <v>1</v>
      </c>
      <c r="B2" s="5" t="s">
        <v>19</v>
      </c>
      <c r="C2" s="6">
        <v>1</v>
      </c>
      <c r="MAL2" s="4" t="s">
        <v>39</v>
      </c>
    </row>
    <row r="3" spans="1:3 8826:8826" ht="15" customHeight="1" x14ac:dyDescent="0.25">
      <c r="A3" s="5" t="b">
        <f>NOT(ISERROR(VLOOKUP(Tabla3[[#This Row],[ZfP4b()8G6b·$55Ma-t·%fv-ttyZxR-.R*+Fd]],'Porra Mundial'!$AF$5:$AF$58,1,FALSE)))</f>
        <v>1</v>
      </c>
      <c r="B3" s="5" t="s">
        <v>172</v>
      </c>
      <c r="C3" s="6">
        <v>2</v>
      </c>
    </row>
    <row r="4" spans="1:3 8826:8826" ht="15" customHeight="1" x14ac:dyDescent="0.25">
      <c r="A4" s="5" t="b">
        <f>NOT(ISERROR(VLOOKUP(Tabla3[[#This Row],[ZfP4b()8G6b·$55Ma-t·%fv-ttyZxR-.R*+Fd]],'Porra Mundial'!$AF$5:$AF$58,1,FALSE)))</f>
        <v>1</v>
      </c>
      <c r="B4" s="5" t="s">
        <v>163</v>
      </c>
      <c r="C4" s="6">
        <v>3</v>
      </c>
    </row>
    <row r="5" spans="1:3 8826:8826" ht="15" customHeight="1" x14ac:dyDescent="0.25">
      <c r="A5" s="5" t="b">
        <f>NOT(ISERROR(VLOOKUP(Tabla3[[#This Row],[ZfP4b()8G6b·$55Ma-t·%fv-ttyZxR-.R*+Fd]],'Porra Mundial'!$AF$5:$AF$58,1,FALSE)))</f>
        <v>1</v>
      </c>
      <c r="B5" s="5" t="s">
        <v>162</v>
      </c>
      <c r="C5" s="6">
        <v>4</v>
      </c>
    </row>
    <row r="6" spans="1:3 8826:8826" ht="15" customHeight="1" x14ac:dyDescent="0.25">
      <c r="A6" s="5" t="b">
        <f>NOT(ISERROR(VLOOKUP(Tabla3[[#This Row],[ZfP4b()8G6b·$55Ma-t·%fv-ttyZxR-.R*+Fd]],'Porra Mundial'!$AF$5:$AF$58,1,FALSE)))</f>
        <v>1</v>
      </c>
      <c r="B6" s="5" t="s">
        <v>152</v>
      </c>
      <c r="C6" s="6">
        <v>1</v>
      </c>
    </row>
    <row r="7" spans="1:3 8826:8826" ht="15" customHeight="1" x14ac:dyDescent="0.25">
      <c r="A7" s="5" t="b">
        <f>NOT(ISERROR(VLOOKUP(Tabla3[[#This Row],[ZfP4b()8G6b·$55Ma-t·%fv-ttyZxR-.R*+Fd]],'Porra Mundial'!$AF$5:$AF$58,1,FALSE)))</f>
        <v>1</v>
      </c>
      <c r="B7" s="5" t="s">
        <v>155</v>
      </c>
      <c r="C7" s="6">
        <v>2</v>
      </c>
    </row>
    <row r="8" spans="1:3 8826:8826" ht="15" customHeight="1" x14ac:dyDescent="0.25">
      <c r="A8" s="5" t="b">
        <f>NOT(ISERROR(VLOOKUP(Tabla3[[#This Row],[ZfP4b()8G6b·$55Ma-t·%fv-ttyZxR-.R*+Fd]],'Porra Mundial'!$AF$5:$AF$58,1,FALSE)))</f>
        <v>1</v>
      </c>
      <c r="B8" s="5" t="s">
        <v>170</v>
      </c>
      <c r="C8" s="6">
        <v>3</v>
      </c>
    </row>
    <row r="9" spans="1:3 8826:8826" ht="15" customHeight="1" x14ac:dyDescent="0.25">
      <c r="A9" s="5" t="b">
        <f>NOT(ISERROR(VLOOKUP(Tabla3[[#This Row],[ZfP4b()8G6b·$55Ma-t·%fv-ttyZxR-.R*+Fd]],'Porra Mundial'!$AF$5:$AF$58,1,FALSE)))</f>
        <v>1</v>
      </c>
      <c r="B9" s="5" t="s">
        <v>166</v>
      </c>
      <c r="C9" s="6">
        <v>4</v>
      </c>
    </row>
    <row r="10" spans="1:3 8826:8826" ht="15" customHeight="1" x14ac:dyDescent="0.25">
      <c r="A10" s="5" t="b">
        <f>NOT(ISERROR(VLOOKUP(Tabla3[[#This Row],[ZfP4b()8G6b·$55Ma-t·%fv-ttyZxR-.R*+Fd]],'Porra Mundial'!$AF$5:$AF$58,1,FALSE)))</f>
        <v>1</v>
      </c>
      <c r="B10" s="5" t="s">
        <v>151</v>
      </c>
      <c r="C10" s="6">
        <v>1</v>
      </c>
    </row>
    <row r="11" spans="1:3 8826:8826" ht="15" customHeight="1" x14ac:dyDescent="0.25">
      <c r="A11" s="5" t="b">
        <f>NOT(ISERROR(VLOOKUP(Tabla3[[#This Row],[ZfP4b()8G6b·$55Ma-t·%fv-ttyZxR-.R*+Fd]],'Porra Mundial'!$AF$5:$AF$58,1,FALSE)))</f>
        <v>1</v>
      </c>
      <c r="B11" s="5" t="s">
        <v>173</v>
      </c>
      <c r="C11" s="6">
        <v>2</v>
      </c>
    </row>
    <row r="12" spans="1:3 8826:8826" ht="15" customHeight="1" x14ac:dyDescent="0.25">
      <c r="A12" s="5" t="b">
        <f>NOT(ISERROR(VLOOKUP(Tabla3[[#This Row],[ZfP4b()8G6b·$55Ma-t·%fv-ttyZxR-.R*+Fd]],'Porra Mundial'!$AF$5:$AF$58,1,FALSE)))</f>
        <v>1</v>
      </c>
      <c r="B12" s="5" t="s">
        <v>161</v>
      </c>
      <c r="C12" s="6">
        <v>3</v>
      </c>
    </row>
    <row r="13" spans="1:3 8826:8826" ht="15" customHeight="1" x14ac:dyDescent="0.25">
      <c r="A13" s="5" t="b">
        <f>NOT(ISERROR(VLOOKUP(Tabla3[[#This Row],[ZfP4b()8G6b·$55Ma-t·%fv-ttyZxR-.R*+Fd]],'Porra Mundial'!$AF$5:$AF$58,1,FALSE)))</f>
        <v>1</v>
      </c>
      <c r="B13" s="5" t="s">
        <v>168</v>
      </c>
      <c r="C13" s="6">
        <v>4</v>
      </c>
    </row>
    <row r="14" spans="1:3 8826:8826" ht="15" customHeight="1" x14ac:dyDescent="0.25">
      <c r="A14" s="5" t="b">
        <f>NOT(ISERROR(VLOOKUP(Tabla3[[#This Row],[ZfP4b()8G6b·$55Ma-t·%fv-ttyZxR-.R*+Fd]],'Porra Mundial'!$AF$5:$AF$58,1,FALSE)))</f>
        <v>1</v>
      </c>
      <c r="B14" s="5" t="s">
        <v>153</v>
      </c>
      <c r="C14" s="6">
        <v>1</v>
      </c>
    </row>
    <row r="15" spans="1:3 8826:8826" ht="15" customHeight="1" x14ac:dyDescent="0.25">
      <c r="A15" s="5" t="b">
        <f>NOT(ISERROR(VLOOKUP(Tabla3[[#This Row],[ZfP4b()8G6b·$55Ma-t·%fv-ttyZxR-.R*+Fd]],'Porra Mundial'!$AF$5:$AF$58,1,FALSE)))</f>
        <v>1</v>
      </c>
      <c r="B15" s="5" t="s">
        <v>20</v>
      </c>
      <c r="C15" s="6">
        <v>2</v>
      </c>
    </row>
    <row r="16" spans="1:3 8826:8826" ht="15" customHeight="1" x14ac:dyDescent="0.25">
      <c r="A16" s="5" t="b">
        <f>NOT(ISERROR(VLOOKUP(Tabla3[[#This Row],[ZfP4b()8G6b·$55Ma-t·%fv-ttyZxR-.R*+Fd]],'Porra Mundial'!$AF$5:$AF$58,1,FALSE)))</f>
        <v>1</v>
      </c>
      <c r="B16" s="5" t="s">
        <v>157</v>
      </c>
      <c r="C16" s="6">
        <v>3</v>
      </c>
    </row>
    <row r="17" spans="1:331 8826:8826" ht="15" customHeight="1" x14ac:dyDescent="0.25">
      <c r="A17" s="5" t="b">
        <f>NOT(ISERROR(VLOOKUP(Tabla3[[#This Row],[ZfP4b()8G6b·$55Ma-t·%fv-ttyZxR-.R*+Fd]],'Porra Mundial'!$AF$5:$AF$58,1,FALSE)))</f>
        <v>1</v>
      </c>
      <c r="B17" s="5" t="s">
        <v>171</v>
      </c>
      <c r="C17" s="6">
        <v>4</v>
      </c>
    </row>
    <row r="18" spans="1:331 8826:8826" ht="15" customHeight="1" x14ac:dyDescent="0.25">
      <c r="A18" s="5" t="b">
        <f>NOT(ISERROR(VLOOKUP(Tabla3[[#This Row],[ZfP4b()8G6b·$55Ma-t·%fv-ttyZxR-.R*+Fd]],'Porra Mundial'!$AF$5:$AF$58,1,FALSE)))</f>
        <v>1</v>
      </c>
      <c r="B18" s="5" t="s">
        <v>154</v>
      </c>
      <c r="C18" s="6">
        <v>1</v>
      </c>
    </row>
    <row r="19" spans="1:331 8826:8826" ht="15" customHeight="1" x14ac:dyDescent="0.25">
      <c r="A19" s="5" t="b">
        <f>NOT(ISERROR(VLOOKUP(Tabla3[[#This Row],[ZfP4b()8G6b·$55Ma-t·%fv-ttyZxR-.R*+Fd]],'Porra Mundial'!$AF$5:$AF$58,1,FALSE)))</f>
        <v>1</v>
      </c>
      <c r="B19" s="5" t="s">
        <v>156</v>
      </c>
      <c r="C19" s="6">
        <v>2</v>
      </c>
    </row>
    <row r="20" spans="1:331 8826:8826" ht="15" customHeight="1" x14ac:dyDescent="0.25">
      <c r="A20" s="5" t="b">
        <f>NOT(ISERROR(VLOOKUP(Tabla3[[#This Row],[ZfP4b()8G6b·$55Ma-t·%fv-ttyZxR-.R*+Fd]],'Porra Mundial'!$AF$5:$AF$58,1,FALSE)))</f>
        <v>1</v>
      </c>
      <c r="B20" s="5" t="s">
        <v>169</v>
      </c>
      <c r="C20" s="6">
        <v>3</v>
      </c>
    </row>
    <row r="21" spans="1:331 8826:8826" ht="15" customHeight="1" x14ac:dyDescent="0.25">
      <c r="A21" s="5" t="b">
        <f>NOT(ISERROR(VLOOKUP(Tabla3[[#This Row],[ZfP4b()8G6b·$55Ma-t·%fv-ttyZxR-.R*+Fd]],'Porra Mundial'!$AF$5:$AF$58,1,FALSE)))</f>
        <v>1</v>
      </c>
      <c r="B21" s="5" t="s">
        <v>175</v>
      </c>
      <c r="C21" s="6">
        <v>4</v>
      </c>
    </row>
    <row r="22" spans="1:331 8826:8826" ht="15" customHeight="1" x14ac:dyDescent="0.25">
      <c r="A22" s="5" t="b">
        <f>NOT(ISERROR(VLOOKUP(Tabla3[[#This Row],[ZfP4b()8G6b·$55Ma-t·%fv-ttyZxR-.R*+Fd]],'Porra Mundial'!$AF$5:$AF$58,1,FALSE)))</f>
        <v>1</v>
      </c>
      <c r="B22" s="5" t="s">
        <v>148</v>
      </c>
      <c r="C22" s="6">
        <v>1</v>
      </c>
    </row>
    <row r="23" spans="1:331 8826:8826" ht="15" customHeight="1" x14ac:dyDescent="0.25">
      <c r="A23" s="5" t="b">
        <f>NOT(ISERROR(VLOOKUP(Tabla3[[#This Row],[ZfP4b()8G6b·$55Ma-t·%fv-ttyZxR-.R*+Fd]],'Porra Mundial'!$AF$5:$AF$58,1,FALSE)))</f>
        <v>1</v>
      </c>
      <c r="B23" s="5" t="s">
        <v>159</v>
      </c>
      <c r="C23" s="6">
        <v>2</v>
      </c>
    </row>
    <row r="24" spans="1:331 8826:8826" ht="15" customHeight="1" x14ac:dyDescent="0.25">
      <c r="A24" s="5" t="b">
        <f>NOT(ISERROR(VLOOKUP(Tabla3[[#This Row],[ZfP4b()8G6b·$55Ma-t·%fv-ttyZxR-.R*+Fd]],'Porra Mundial'!$AF$5:$AF$58,1,FALSE)))</f>
        <v>1</v>
      </c>
      <c r="B24" s="5" t="s">
        <v>167</v>
      </c>
      <c r="C24" s="6">
        <v>3</v>
      </c>
    </row>
    <row r="25" spans="1:331 8826:8826" ht="15" customHeight="1" x14ac:dyDescent="0.25">
      <c r="A25" s="5" t="b">
        <f>NOT(ISERROR(VLOOKUP(Tabla3[[#This Row],[ZfP4b()8G6b·$55Ma-t·%fv-ttyZxR-.R*+Fd]],'Porra Mundial'!$AF$5:$AF$58,1,FALSE)))</f>
        <v>1</v>
      </c>
      <c r="B25" s="5" t="s">
        <v>177</v>
      </c>
      <c r="C25" s="6">
        <v>4</v>
      </c>
    </row>
    <row r="26" spans="1:331 8826:8826" ht="15" customHeight="1" x14ac:dyDescent="0.25">
      <c r="A26" s="5" t="b">
        <f>NOT(ISERROR(VLOOKUP(Tabla3[[#This Row],[ZfP4b()8G6b·$55Ma-t·%fv-ttyZxR-.R*+Fd]],'Porra Mundial'!$AF$5:$AF$58,1,FALSE)))</f>
        <v>1</v>
      </c>
      <c r="B26" s="5" t="s">
        <v>150</v>
      </c>
      <c r="C26" s="6">
        <v>1</v>
      </c>
    </row>
    <row r="27" spans="1:331 8826:8826" ht="15" customHeight="1" x14ac:dyDescent="0.25">
      <c r="A27" s="5" t="b">
        <f>NOT(ISERROR(VLOOKUP(Tabla3[[#This Row],[ZfP4b()8G6b·$55Ma-t·%fv-ttyZxR-.R*+Fd]],'Porra Mundial'!$AF$5:$AF$58,1,FALSE)))</f>
        <v>1</v>
      </c>
      <c r="B27" s="5" t="s">
        <v>176</v>
      </c>
      <c r="C27" s="6">
        <v>2</v>
      </c>
    </row>
    <row r="28" spans="1:331 8826:8826" ht="15" customHeight="1" x14ac:dyDescent="0.25">
      <c r="A28" s="5" t="b">
        <f>NOT(ISERROR(VLOOKUP(Tabla3[[#This Row],[ZfP4b()8G6b·$55Ma-t·%fv-ttyZxR-.R*+Fd]],'Porra Mundial'!$AF$5:$AF$58,1,FALSE)))</f>
        <v>1</v>
      </c>
      <c r="B28" s="5" t="s">
        <v>165</v>
      </c>
      <c r="C28" s="6">
        <v>3</v>
      </c>
      <c r="LS28" s="4" t="s">
        <v>39</v>
      </c>
      <c r="MAL28" s="4" t="s">
        <v>39</v>
      </c>
    </row>
    <row r="29" spans="1:331 8826:8826" ht="15" customHeight="1" x14ac:dyDescent="0.25">
      <c r="A29" s="5" t="b">
        <f>NOT(ISERROR(VLOOKUP(Tabla3[[#This Row],[ZfP4b()8G6b·$55Ma-t·%fv-ttyZxR-.R*+Fd]],'Porra Mundial'!$AF$5:$AF$58,1,FALSE)))</f>
        <v>1</v>
      </c>
      <c r="B29" s="5" t="s">
        <v>158</v>
      </c>
      <c r="C29" s="6">
        <v>4</v>
      </c>
    </row>
    <row r="30" spans="1:331 8826:8826" ht="15" customHeight="1" x14ac:dyDescent="0.25">
      <c r="A30" s="5" t="b">
        <f>NOT(ISERROR(VLOOKUP(Tabla3[[#This Row],[ZfP4b()8G6b·$55Ma-t·%fv-ttyZxR-.R*+Fd]],'Porra Mundial'!$AF$5:$AF$58,1,FALSE)))</f>
        <v>1</v>
      </c>
      <c r="B30" s="5" t="s">
        <v>149</v>
      </c>
      <c r="C30" s="6">
        <v>1</v>
      </c>
    </row>
    <row r="31" spans="1:331 8826:8826" ht="15" customHeight="1" x14ac:dyDescent="0.25">
      <c r="A31" s="5" t="b">
        <f>NOT(ISERROR(VLOOKUP(Tabla3[[#This Row],[ZfP4b()8G6b·$55Ma-t·%fv-ttyZxR-.R*+Fd]],'Porra Mundial'!$AF$5:$AF$58,1,FALSE)))</f>
        <v>1</v>
      </c>
      <c r="B31" s="5" t="s">
        <v>164</v>
      </c>
      <c r="C31" s="6">
        <v>2</v>
      </c>
    </row>
    <row r="32" spans="1:331 8826:8826" ht="15" customHeight="1" x14ac:dyDescent="0.25">
      <c r="A32" s="5" t="b">
        <f>NOT(ISERROR(VLOOKUP(Tabla3[[#This Row],[ZfP4b()8G6b·$55Ma-t·%fv-ttyZxR-.R*+Fd]],'Porra Mundial'!$AF$5:$AF$58,1,FALSE)))</f>
        <v>1</v>
      </c>
      <c r="B32" s="5" t="s">
        <v>160</v>
      </c>
      <c r="C32" s="6">
        <v>3</v>
      </c>
    </row>
    <row r="33" spans="1:3" ht="15" customHeight="1" x14ac:dyDescent="0.25">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L168"/>
  <sheetViews>
    <sheetView topLeftCell="A4" zoomScale="85" zoomScaleNormal="85" zoomScalePageLayoutView="85" workbookViewId="0">
      <selection activeCell="C6" sqref="C6"/>
    </sheetView>
  </sheetViews>
  <sheetFormatPr baseColWidth="10" defaultColWidth="0" defaultRowHeight="15" zeroHeight="1" x14ac:dyDescent="0.25"/>
  <cols>
    <col min="1" max="1" width="10.85546875" style="395" customWidth="1"/>
    <col min="2" max="2" width="31.28515625" style="395" bestFit="1" customWidth="1"/>
    <col min="3" max="3" width="32.42578125" style="395" bestFit="1" customWidth="1"/>
    <col min="4" max="12" width="10.85546875" style="395" customWidth="1"/>
    <col min="13" max="16384" width="10.85546875" style="395" hidden="1"/>
  </cols>
  <sheetData>
    <row r="1" spans="2:4" ht="21" customHeight="1" x14ac:dyDescent="0.25">
      <c r="C1" s="396" t="s">
        <v>94</v>
      </c>
      <c r="D1" s="395" t="s">
        <v>139</v>
      </c>
    </row>
    <row r="2" spans="2:4" ht="19.5" thickBot="1" x14ac:dyDescent="0.35">
      <c r="B2" s="397" t="s">
        <v>89</v>
      </c>
    </row>
    <row r="3" spans="2:4" ht="15.75" thickBot="1" x14ac:dyDescent="0.3">
      <c r="B3" s="395" t="s">
        <v>92</v>
      </c>
      <c r="C3" s="398" t="str">
        <f>'Porra Mundial'!F101</f>
        <v>ALICIA</v>
      </c>
    </row>
    <row r="4" spans="2:4" ht="21" customHeight="1" x14ac:dyDescent="0.25">
      <c r="C4" s="401" t="s">
        <v>182</v>
      </c>
    </row>
    <row r="5" spans="2:4" ht="18.75" x14ac:dyDescent="0.3">
      <c r="B5" s="397" t="s">
        <v>24</v>
      </c>
    </row>
    <row r="6" spans="2:4" x14ac:dyDescent="0.25">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1|2-1</v>
      </c>
    </row>
    <row r="7" spans="2:4" x14ac:dyDescent="0.25">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2|1-2</v>
      </c>
    </row>
    <row r="8" spans="2:4" x14ac:dyDescent="0.25">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X|1-1</v>
      </c>
    </row>
    <row r="9" spans="2:4" x14ac:dyDescent="0.25">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1|2-0</v>
      </c>
    </row>
    <row r="10" spans="2:4" x14ac:dyDescent="0.25">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1|2-1</v>
      </c>
    </row>
    <row r="11" spans="2:4" x14ac:dyDescent="0.25">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2|1-2</v>
      </c>
    </row>
    <row r="12" spans="2:4" x14ac:dyDescent="0.25">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2|1-2</v>
      </c>
    </row>
    <row r="13" spans="2:4" x14ac:dyDescent="0.25">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2|1-2</v>
      </c>
    </row>
    <row r="14" spans="2:4" x14ac:dyDescent="0.25">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1|3-0</v>
      </c>
    </row>
    <row r="15" spans="2:4" x14ac:dyDescent="0.25">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2|0-3</v>
      </c>
    </row>
    <row r="16" spans="2:4" x14ac:dyDescent="0.25">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2|0-2</v>
      </c>
    </row>
    <row r="17" spans="2:3" x14ac:dyDescent="0.25">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1|2-1</v>
      </c>
    </row>
    <row r="18" spans="2:3" x14ac:dyDescent="0.25">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1|2-0</v>
      </c>
    </row>
    <row r="19" spans="2:3" x14ac:dyDescent="0.25">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X|1-1</v>
      </c>
    </row>
    <row r="20" spans="2:3" x14ac:dyDescent="0.25">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1|3-1</v>
      </c>
    </row>
    <row r="21" spans="2:3" x14ac:dyDescent="0.25">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1|2-1</v>
      </c>
    </row>
    <row r="22" spans="2:3" x14ac:dyDescent="0.25">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2|1-2</v>
      </c>
    </row>
    <row r="23" spans="2:3" x14ac:dyDescent="0.25">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2|0-1</v>
      </c>
    </row>
    <row r="24" spans="2:3" x14ac:dyDescent="0.25">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1|1-0</v>
      </c>
    </row>
    <row r="25" spans="2:3" x14ac:dyDescent="0.25">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1|2-1</v>
      </c>
    </row>
    <row r="26" spans="2:3" x14ac:dyDescent="0.25">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1|2-1</v>
      </c>
    </row>
    <row r="27" spans="2:3" x14ac:dyDescent="0.25">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1|2-0</v>
      </c>
    </row>
    <row r="28" spans="2:3" x14ac:dyDescent="0.25">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2|1-2</v>
      </c>
    </row>
    <row r="29" spans="2:3" x14ac:dyDescent="0.25">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2|1-2</v>
      </c>
    </row>
    <row r="30" spans="2:3" x14ac:dyDescent="0.25">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1|2-1</v>
      </c>
    </row>
    <row r="31" spans="2:3" x14ac:dyDescent="0.25">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2|1-2</v>
      </c>
    </row>
    <row r="32" spans="2:3" x14ac:dyDescent="0.25">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1|2-0</v>
      </c>
    </row>
    <row r="33" spans="2:3" x14ac:dyDescent="0.25">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X|1-1</v>
      </c>
    </row>
    <row r="34" spans="2:3" x14ac:dyDescent="0.25">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2|1-2</v>
      </c>
    </row>
    <row r="35" spans="2:3" x14ac:dyDescent="0.25">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1|2-1</v>
      </c>
    </row>
    <row r="36" spans="2:3" x14ac:dyDescent="0.25">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1|3-1</v>
      </c>
    </row>
    <row r="37" spans="2:3" x14ac:dyDescent="0.25">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1|2-1</v>
      </c>
    </row>
    <row r="38" spans="2:3" x14ac:dyDescent="0.25">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1|2-1</v>
      </c>
    </row>
    <row r="39" spans="2:3" x14ac:dyDescent="0.25">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2|1-2</v>
      </c>
    </row>
    <row r="40" spans="2:3" x14ac:dyDescent="0.25">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2|0-2</v>
      </c>
    </row>
    <row r="41" spans="2:3" x14ac:dyDescent="0.25">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X|1-1</v>
      </c>
    </row>
    <row r="42" spans="2:3" x14ac:dyDescent="0.25">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1|2-1</v>
      </c>
    </row>
    <row r="43" spans="2:3" x14ac:dyDescent="0.25">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2|0-3</v>
      </c>
    </row>
    <row r="44" spans="2:3" x14ac:dyDescent="0.25">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1|2-0</v>
      </c>
    </row>
    <row r="45" spans="2:3" x14ac:dyDescent="0.25">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1|3-1</v>
      </c>
    </row>
    <row r="46" spans="2:3" x14ac:dyDescent="0.25">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1|2-1</v>
      </c>
    </row>
    <row r="47" spans="2:3" x14ac:dyDescent="0.25">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1|2-1</v>
      </c>
    </row>
    <row r="48" spans="2:3" x14ac:dyDescent="0.25">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1|2-0</v>
      </c>
    </row>
    <row r="49" spans="2:3" x14ac:dyDescent="0.25">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1|2-1</v>
      </c>
    </row>
    <row r="50" spans="2:3" x14ac:dyDescent="0.25">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X|1-1</v>
      </c>
    </row>
    <row r="51" spans="2:3" x14ac:dyDescent="0.25">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1|2-1</v>
      </c>
    </row>
    <row r="52" spans="2:3" x14ac:dyDescent="0.25">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2|1-2</v>
      </c>
    </row>
    <row r="53" spans="2:3" x14ac:dyDescent="0.25">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2|0-1</v>
      </c>
    </row>
    <row r="54" spans="2:3" x14ac:dyDescent="0.25">
      <c r="C54" s="399"/>
    </row>
    <row r="55" spans="2:3" ht="18.75" x14ac:dyDescent="0.3">
      <c r="B55" s="397" t="s">
        <v>57</v>
      </c>
      <c r="C55" s="399"/>
    </row>
    <row r="56" spans="2:3" x14ac:dyDescent="0.25">
      <c r="B56" s="395" t="s">
        <v>58</v>
      </c>
      <c r="C56" s="399" t="str">
        <f>IF(SUM('Porra Mundial'!$Q$6:$Q$9)=12,'Porra Mundial'!O6,B56)</f>
        <v>Uruguay</v>
      </c>
    </row>
    <row r="57" spans="2:3" x14ac:dyDescent="0.25">
      <c r="B57" s="395" t="s">
        <v>59</v>
      </c>
      <c r="C57" s="399" t="str">
        <f>IF(SUM('Porra Mundial'!$Q$6:$Q$9)=12,'Porra Mundial'!O7,B57)</f>
        <v>Rusia</v>
      </c>
    </row>
    <row r="58" spans="2:3" x14ac:dyDescent="0.25">
      <c r="B58" s="395" t="s">
        <v>60</v>
      </c>
      <c r="C58" s="399" t="str">
        <f>IF(SUM('Porra Mundial'!$Q$6:$Q$9)=12,'Porra Mundial'!O8,B58)</f>
        <v>Egipto</v>
      </c>
    </row>
    <row r="59" spans="2:3" x14ac:dyDescent="0.25">
      <c r="B59" s="395" t="s">
        <v>61</v>
      </c>
      <c r="C59" s="399" t="str">
        <f>IF(SUM('Porra Mundial'!$Q$6:$Q$9)=12,'Porra Mundial'!O9,B59)</f>
        <v>Arabia Saudí</v>
      </c>
    </row>
    <row r="60" spans="2:3" x14ac:dyDescent="0.25">
      <c r="B60" s="395" t="s">
        <v>62</v>
      </c>
      <c r="C60" s="399" t="str">
        <f>IF(SUM('Porra Mundial'!$Q$13:$Q$16)=12,'Porra Mundial'!O13,B60)</f>
        <v>España</v>
      </c>
    </row>
    <row r="61" spans="2:3" x14ac:dyDescent="0.25">
      <c r="B61" s="395" t="s">
        <v>65</v>
      </c>
      <c r="C61" s="399" t="str">
        <f>IF(SUM('Porra Mundial'!$Q$13:$Q$16)=12,'Porra Mundial'!O14,B61)</f>
        <v>Portugal</v>
      </c>
    </row>
    <row r="62" spans="2:3" x14ac:dyDescent="0.25">
      <c r="B62" s="395" t="s">
        <v>64</v>
      </c>
      <c r="C62" s="399" t="str">
        <f>IF(SUM('Porra Mundial'!$Q$13:$Q$16)=12,'Porra Mundial'!O15,B62)</f>
        <v>Irán</v>
      </c>
    </row>
    <row r="63" spans="2:3" x14ac:dyDescent="0.25">
      <c r="B63" s="395" t="s">
        <v>66</v>
      </c>
      <c r="C63" s="399" t="str">
        <f>IF(SUM('Porra Mundial'!$Q$13:$Q$16)=12,'Porra Mundial'!O16,B63)</f>
        <v>Marruecos</v>
      </c>
    </row>
    <row r="64" spans="2:3" x14ac:dyDescent="0.25">
      <c r="B64" s="395" t="s">
        <v>67</v>
      </c>
      <c r="C64" s="399" t="str">
        <f>IF(SUM('Porra Mundial'!$Q$20:$Q$23)=12,'Porra Mundial'!O20,B64)</f>
        <v>Francia</v>
      </c>
    </row>
    <row r="65" spans="2:3" x14ac:dyDescent="0.25">
      <c r="B65" s="395" t="s">
        <v>63</v>
      </c>
      <c r="C65" s="399" t="str">
        <f>IF(SUM('Porra Mundial'!$Q$20:$Q$23)=12,'Porra Mundial'!O21,B65)</f>
        <v>Dinamarca</v>
      </c>
    </row>
    <row r="66" spans="2:3" x14ac:dyDescent="0.25">
      <c r="B66" s="395" t="s">
        <v>68</v>
      </c>
      <c r="C66" s="399" t="str">
        <f>IF(SUM('Porra Mundial'!$Q$20:$Q$23)=12,'Porra Mundial'!O22,B66)</f>
        <v>Perú</v>
      </c>
    </row>
    <row r="67" spans="2:3" x14ac:dyDescent="0.25">
      <c r="B67" s="395" t="s">
        <v>69</v>
      </c>
      <c r="C67" s="399" t="str">
        <f>IF(SUM('Porra Mundial'!$Q$20:$Q$23)=12,'Porra Mundial'!O23,B67)</f>
        <v>Australia</v>
      </c>
    </row>
    <row r="68" spans="2:3" x14ac:dyDescent="0.25">
      <c r="B68" s="395" t="s">
        <v>70</v>
      </c>
      <c r="C68" s="399" t="str">
        <f>IF(SUM('Porra Mundial'!$Q$27:$Q$30)=12,'Porra Mundial'!O27,B68)</f>
        <v>Argentina</v>
      </c>
    </row>
    <row r="69" spans="2:3" x14ac:dyDescent="0.25">
      <c r="B69" s="395" t="s">
        <v>71</v>
      </c>
      <c r="C69" s="399" t="str">
        <f>IF(SUM('Porra Mundial'!$Q$27:$Q$30)=12,'Porra Mundial'!O28,B69)</f>
        <v>Croacia</v>
      </c>
    </row>
    <row r="70" spans="2:3" x14ac:dyDescent="0.25">
      <c r="B70" s="395" t="s">
        <v>72</v>
      </c>
      <c r="C70" s="399" t="str">
        <f>IF(SUM('Porra Mundial'!$Q$27:$Q$30)=12,'Porra Mundial'!O29,B70)</f>
        <v>Nigeria</v>
      </c>
    </row>
    <row r="71" spans="2:3" x14ac:dyDescent="0.25">
      <c r="B71" s="395" t="s">
        <v>73</v>
      </c>
      <c r="C71" s="399" t="str">
        <f>IF(SUM('Porra Mundial'!$Q$27:$Q$30)=12,'Porra Mundial'!O30,B71)</f>
        <v>Islandia</v>
      </c>
    </row>
    <row r="72" spans="2:3" x14ac:dyDescent="0.25">
      <c r="B72" s="395" t="s">
        <v>74</v>
      </c>
      <c r="C72" s="399" t="str">
        <f>IF(SUM('Porra Mundial'!$Q$34:$Q$37)=12,'Porra Mundial'!O34,B72)</f>
        <v>Brasil</v>
      </c>
    </row>
    <row r="73" spans="2:3" x14ac:dyDescent="0.25">
      <c r="B73" s="395" t="s">
        <v>75</v>
      </c>
      <c r="C73" s="399" t="str">
        <f>IF(SUM('Porra Mundial'!$Q$34:$Q$37)=12,'Porra Mundial'!O35,B73)</f>
        <v>Suiza</v>
      </c>
    </row>
    <row r="74" spans="2:3" x14ac:dyDescent="0.25">
      <c r="B74" s="395" t="s">
        <v>76</v>
      </c>
      <c r="C74" s="399" t="str">
        <f>IF(SUM('Porra Mundial'!$Q$34:$Q$37)=12,'Porra Mundial'!O36,B74)</f>
        <v>Serbia</v>
      </c>
    </row>
    <row r="75" spans="2:3" x14ac:dyDescent="0.25">
      <c r="B75" s="395" t="s">
        <v>77</v>
      </c>
      <c r="C75" s="399" t="str">
        <f>IF(SUM('Porra Mundial'!$Q$34:$Q$37)=12,'Porra Mundial'!O37,B75)</f>
        <v>Costa Rica</v>
      </c>
    </row>
    <row r="76" spans="2:3" x14ac:dyDescent="0.25">
      <c r="B76" s="395" t="s">
        <v>78</v>
      </c>
      <c r="C76" s="399" t="str">
        <f>IF(SUM('Porra Mundial'!$Q$41:$Q$44)=12,'Porra Mundial'!O41,B76)</f>
        <v>Alemania</v>
      </c>
    </row>
    <row r="77" spans="2:3" x14ac:dyDescent="0.25">
      <c r="B77" s="395" t="s">
        <v>79</v>
      </c>
      <c r="C77" s="399" t="str">
        <f>IF(SUM('Porra Mundial'!$Q$41:$Q$44)=12,'Porra Mundial'!O42,B77)</f>
        <v>Suecia</v>
      </c>
    </row>
    <row r="78" spans="2:3" x14ac:dyDescent="0.25">
      <c r="B78" s="395" t="s">
        <v>80</v>
      </c>
      <c r="C78" s="399" t="str">
        <f>IF(SUM('Porra Mundial'!$Q$41:$Q$44)=12,'Porra Mundial'!O43,B78)</f>
        <v>México</v>
      </c>
    </row>
    <row r="79" spans="2:3" x14ac:dyDescent="0.25">
      <c r="B79" s="395" t="s">
        <v>81</v>
      </c>
      <c r="C79" s="399" t="str">
        <f>IF(SUM('Porra Mundial'!$Q$41:$Q$44)=12,'Porra Mundial'!O44,B79)</f>
        <v>Rep. de Corea</v>
      </c>
    </row>
    <row r="80" spans="2:3" x14ac:dyDescent="0.25">
      <c r="B80" s="395" t="s">
        <v>119</v>
      </c>
      <c r="C80" s="399" t="str">
        <f>IF(SUM('Porra Mundial'!$Q$48:$Q$51)=12,'Porra Mundial'!O48,B80)</f>
        <v>Inglaterra</v>
      </c>
    </row>
    <row r="81" spans="2:3" x14ac:dyDescent="0.25">
      <c r="B81" s="395" t="s">
        <v>120</v>
      </c>
      <c r="C81" s="399" t="str">
        <f>IF(SUM('Porra Mundial'!$Q$48:$Q$51)=12,'Porra Mundial'!O49,B81)</f>
        <v>Bélgica</v>
      </c>
    </row>
    <row r="82" spans="2:3" x14ac:dyDescent="0.25">
      <c r="B82" s="395" t="s">
        <v>121</v>
      </c>
      <c r="C82" s="399" t="str">
        <f>IF(SUM('Porra Mundial'!$Q$48:$Q$51)=12,'Porra Mundial'!O50,B82)</f>
        <v>Panamá</v>
      </c>
    </row>
    <row r="83" spans="2:3" x14ac:dyDescent="0.25">
      <c r="B83" s="395" t="s">
        <v>122</v>
      </c>
      <c r="C83" s="399" t="str">
        <f>IF(SUM('Porra Mundial'!$Q$48:$Q$51)=12,'Porra Mundial'!O51,B83)</f>
        <v>Túnez</v>
      </c>
    </row>
    <row r="84" spans="2:3" x14ac:dyDescent="0.25">
      <c r="B84" s="395" t="s">
        <v>123</v>
      </c>
      <c r="C84" s="399" t="str">
        <f>IF(SUM('Porra Mundial'!$Q$55:$Q$58)=12,'Porra Mundial'!O55,B84)</f>
        <v>Polonia</v>
      </c>
    </row>
    <row r="85" spans="2:3" x14ac:dyDescent="0.25">
      <c r="B85" s="395" t="s">
        <v>124</v>
      </c>
      <c r="C85" s="399" t="str">
        <f>IF(SUM('Porra Mundial'!$Q$55:$Q$58)=12,'Porra Mundial'!O56,B85)</f>
        <v>Colombia</v>
      </c>
    </row>
    <row r="86" spans="2:3" x14ac:dyDescent="0.25">
      <c r="B86" s="395" t="s">
        <v>125</v>
      </c>
      <c r="C86" s="399" t="str">
        <f>IF(SUM('Porra Mundial'!$Q$55:$Q$58)=12,'Porra Mundial'!O57,B86)</f>
        <v>Japón</v>
      </c>
    </row>
    <row r="87" spans="2:3" x14ac:dyDescent="0.25">
      <c r="B87" s="395" t="s">
        <v>126</v>
      </c>
      <c r="C87" s="399" t="str">
        <f>IF(SUM('Porra Mundial'!$Q$55:$Q$58)=12,'Porra Mundial'!O58,B87)</f>
        <v>Senegal</v>
      </c>
    </row>
    <row r="88" spans="2:3" x14ac:dyDescent="0.25">
      <c r="C88" s="399"/>
    </row>
    <row r="89" spans="2:3" ht="18.75" x14ac:dyDescent="0.3">
      <c r="B89" s="397" t="s">
        <v>84</v>
      </c>
      <c r="C89" s="399"/>
    </row>
    <row r="90" spans="2:3" x14ac:dyDescent="0.25">
      <c r="B90" s="395" t="s">
        <v>82</v>
      </c>
      <c r="C90" s="399" t="str">
        <f>'Porra Mundial'!F64</f>
        <v>Uruguay</v>
      </c>
    </row>
    <row r="91" spans="2:3" x14ac:dyDescent="0.25">
      <c r="B91" s="395" t="s">
        <v>82</v>
      </c>
      <c r="C91" s="399" t="str">
        <f>'Porra Mundial'!F65</f>
        <v>Francia</v>
      </c>
    </row>
    <row r="92" spans="2:3" x14ac:dyDescent="0.25">
      <c r="B92" s="395" t="s">
        <v>82</v>
      </c>
      <c r="C92" s="399" t="str">
        <f>'Porra Mundial'!F66</f>
        <v>España</v>
      </c>
    </row>
    <row r="93" spans="2:3" x14ac:dyDescent="0.25">
      <c r="B93" s="395" t="s">
        <v>82</v>
      </c>
      <c r="C93" s="399" t="str">
        <f>'Porra Mundial'!F67</f>
        <v>Argentina</v>
      </c>
    </row>
    <row r="94" spans="2:3" x14ac:dyDescent="0.25">
      <c r="B94" s="395" t="s">
        <v>82</v>
      </c>
      <c r="C94" s="399" t="str">
        <f>'Porra Mundial'!F68</f>
        <v>Brasil</v>
      </c>
    </row>
    <row r="95" spans="2:3" x14ac:dyDescent="0.25">
      <c r="B95" s="395" t="s">
        <v>82</v>
      </c>
      <c r="C95" s="399" t="str">
        <f>'Porra Mundial'!F69</f>
        <v>Inglaterra</v>
      </c>
    </row>
    <row r="96" spans="2:3" x14ac:dyDescent="0.25">
      <c r="B96" s="395" t="s">
        <v>82</v>
      </c>
      <c r="C96" s="399" t="str">
        <f>'Porra Mundial'!F70</f>
        <v>Alemania</v>
      </c>
    </row>
    <row r="97" spans="2:3" x14ac:dyDescent="0.25">
      <c r="B97" s="395" t="s">
        <v>82</v>
      </c>
      <c r="C97" s="399" t="str">
        <f>'Porra Mundial'!F71</f>
        <v>Polonia</v>
      </c>
    </row>
    <row r="98" spans="2:3" x14ac:dyDescent="0.25">
      <c r="B98" s="395" t="s">
        <v>82</v>
      </c>
      <c r="C98" s="399" t="str">
        <f>'Porra Mundial'!K64</f>
        <v>Portugal</v>
      </c>
    </row>
    <row r="99" spans="2:3" x14ac:dyDescent="0.25">
      <c r="B99" s="395" t="s">
        <v>82</v>
      </c>
      <c r="C99" s="399" t="str">
        <f>'Porra Mundial'!K65</f>
        <v>Croacia</v>
      </c>
    </row>
    <row r="100" spans="2:3" x14ac:dyDescent="0.25">
      <c r="B100" s="395" t="s">
        <v>82</v>
      </c>
      <c r="C100" s="399" t="str">
        <f>'Porra Mundial'!K66</f>
        <v>Rusia</v>
      </c>
    </row>
    <row r="101" spans="2:3" x14ac:dyDescent="0.25">
      <c r="B101" s="395" t="s">
        <v>82</v>
      </c>
      <c r="C101" s="399" t="str">
        <f>'Porra Mundial'!K67</f>
        <v>Dinamarca</v>
      </c>
    </row>
    <row r="102" spans="2:3" x14ac:dyDescent="0.25">
      <c r="B102" s="395" t="s">
        <v>82</v>
      </c>
      <c r="C102" s="399" t="str">
        <f>'Porra Mundial'!K68</f>
        <v>Suecia</v>
      </c>
    </row>
    <row r="103" spans="2:3" x14ac:dyDescent="0.25">
      <c r="B103" s="395" t="s">
        <v>82</v>
      </c>
      <c r="C103" s="399" t="str">
        <f>'Porra Mundial'!K69</f>
        <v>Colombia</v>
      </c>
    </row>
    <row r="104" spans="2:3" x14ac:dyDescent="0.25">
      <c r="B104" s="395" t="s">
        <v>82</v>
      </c>
      <c r="C104" s="399" t="str">
        <f>'Porra Mundial'!K70</f>
        <v>Suiza</v>
      </c>
    </row>
    <row r="105" spans="2:3" x14ac:dyDescent="0.25">
      <c r="B105" s="395" t="s">
        <v>82</v>
      </c>
      <c r="C105" s="399" t="str">
        <f>'Porra Mundial'!K71</f>
        <v>Bélgica</v>
      </c>
    </row>
    <row r="106" spans="2:3" x14ac:dyDescent="0.25">
      <c r="C106" s="399"/>
    </row>
    <row r="107" spans="2:3" ht="18.75" x14ac:dyDescent="0.3">
      <c r="B107" s="397" t="s">
        <v>96</v>
      </c>
      <c r="C107" s="399"/>
    </row>
    <row r="108" spans="2:3" x14ac:dyDescent="0.25">
      <c r="B108" s="395" t="str">
        <f>CONCATENATE('Porra Mundial'!F64,"-",'Porra Mundial'!K64)</f>
        <v>Uruguay-Portugal</v>
      </c>
      <c r="C108" s="399" t="str">
        <f>CONCATENATE('Porra Mundial'!F64,"-",'Porra Mundial'!K64,"· ",IF('Porra Mundial'!H64&gt;'Porra Mundial'!I64,1,IF('Porra Mundial'!H64&lt;'Porra Mundial'!I64,2,IF(AND('Porra Mundial'!H64='Porra Mundial'!I64,'Porra Mundial'!H64&lt;&gt;"",'Porra Mundial'!I64&lt;&gt;""),"X",0))),"|",'Porra Mundial'!H64,"-",'Porra Mundial'!I64)</f>
        <v>Uruguay-Portugal· 0|-</v>
      </c>
    </row>
    <row r="109" spans="2:3" x14ac:dyDescent="0.25">
      <c r="B109" s="395" t="str">
        <f>CONCATENATE('Porra Mundial'!F65,"-",'Porra Mundial'!K65)</f>
        <v>Francia-Croacia</v>
      </c>
      <c r="C109" s="399" t="str">
        <f>CONCATENATE('Porra Mundial'!F65,"-",'Porra Mundial'!K65,"· ",IF('Porra Mundial'!H65&gt;'Porra Mundial'!I65,1,IF('Porra Mundial'!H65&lt;'Porra Mundial'!I65,2,IF(AND('Porra Mundial'!H65='Porra Mundial'!I65,'Porra Mundial'!H65&lt;&gt;"",'Porra Mundial'!I65&lt;&gt;""),"X",0))),"|",'Porra Mundial'!H65,"-",'Porra Mundial'!I65)</f>
        <v>Francia-Croacia· 0|-</v>
      </c>
    </row>
    <row r="110" spans="2:3" x14ac:dyDescent="0.25">
      <c r="B110" s="395" t="str">
        <f>CONCATENATE('Porra Mundial'!F66,"-",'Porra Mundial'!K66)</f>
        <v>España-Rusia</v>
      </c>
      <c r="C110" s="399" t="str">
        <f>CONCATENATE('Porra Mundial'!F66,"-",'Porra Mundial'!K66,"· ",IF('Porra Mundial'!H66&gt;'Porra Mundial'!I66,1,IF('Porra Mundial'!H66&lt;'Porra Mundial'!I66,2,IF(AND('Porra Mundial'!H66='Porra Mundial'!I66,'Porra Mundial'!H66&lt;&gt;"",'Porra Mundial'!I66&lt;&gt;""),"X",0))),"|",'Porra Mundial'!H66,"-",'Porra Mundial'!I66)</f>
        <v>España-Rusia· 0|-</v>
      </c>
    </row>
    <row r="111" spans="2:3" x14ac:dyDescent="0.25">
      <c r="B111" s="395" t="str">
        <f>CONCATENATE('Porra Mundial'!F67,"-",'Porra Mundial'!K67)</f>
        <v>Argentina-Dinamarca</v>
      </c>
      <c r="C111" s="399" t="str">
        <f>CONCATENATE('Porra Mundial'!F67,"-",'Porra Mundial'!K67,"· ",IF('Porra Mundial'!H67&gt;'Porra Mundial'!I67,1,IF('Porra Mundial'!H67&lt;'Porra Mundial'!I67,2,IF(AND('Porra Mundial'!H67='Porra Mundial'!I67,'Porra Mundial'!H67&lt;&gt;"",'Porra Mundial'!I67&lt;&gt;""),"X",0))),"|",'Porra Mundial'!H67,"-",'Porra Mundial'!I67)</f>
        <v>Argentina-Dinamarca· 0|-</v>
      </c>
    </row>
    <row r="112" spans="2:3" x14ac:dyDescent="0.25">
      <c r="B112" s="395" t="str">
        <f>CONCATENATE('Porra Mundial'!F68,"-",'Porra Mundial'!K68)</f>
        <v>Brasil-Suecia</v>
      </c>
      <c r="C112" s="399" t="str">
        <f>CONCATENATE('Porra Mundial'!F68,"-",'Porra Mundial'!K68,"· ",IF('Porra Mundial'!H68&gt;'Porra Mundial'!I68,1,IF('Porra Mundial'!H68&lt;'Porra Mundial'!I68,2,IF(AND('Porra Mundial'!H68='Porra Mundial'!I68,'Porra Mundial'!H68&lt;&gt;"",'Porra Mundial'!I68&lt;&gt;""),"X",0))),"|",'Porra Mundial'!H68,"-",'Porra Mundial'!I68)</f>
        <v>Brasil-Suecia· 0|-</v>
      </c>
    </row>
    <row r="113" spans="2:3" x14ac:dyDescent="0.25">
      <c r="B113" s="395" t="str">
        <f>CONCATENATE('Porra Mundial'!F69,"-",'Porra Mundial'!K69)</f>
        <v>Inglaterra-Colombia</v>
      </c>
      <c r="C113" s="399" t="str">
        <f>CONCATENATE('Porra Mundial'!F69,"-",'Porra Mundial'!K69,"· ",IF('Porra Mundial'!H69&gt;'Porra Mundial'!I69,1,IF('Porra Mundial'!H69&lt;'Porra Mundial'!I69,2,IF(AND('Porra Mundial'!H69='Porra Mundial'!I69,'Porra Mundial'!H69&lt;&gt;"",'Porra Mundial'!I69&lt;&gt;""),"X",0))),"|",'Porra Mundial'!H69,"-",'Porra Mundial'!I69)</f>
        <v>Inglaterra-Colombia· 0|-</v>
      </c>
    </row>
    <row r="114" spans="2:3" x14ac:dyDescent="0.25">
      <c r="B114" s="395" t="str">
        <f>CONCATENATE('Porra Mundial'!F70,"-",'Porra Mundial'!K70)</f>
        <v>Alemania-Suiza</v>
      </c>
      <c r="C114" s="399" t="str">
        <f>CONCATENATE('Porra Mundial'!F70,"-",'Porra Mundial'!K70,"· ",IF('Porra Mundial'!H70&gt;'Porra Mundial'!I70,1,IF('Porra Mundial'!H70&lt;'Porra Mundial'!I70,2,IF(AND('Porra Mundial'!H70='Porra Mundial'!I70,'Porra Mundial'!H70&lt;&gt;"",'Porra Mundial'!I70&lt;&gt;""),"X",0))),"|",'Porra Mundial'!H70,"-",'Porra Mundial'!I70)</f>
        <v>Alemania-Suiza· 0|-</v>
      </c>
    </row>
    <row r="115" spans="2:3" x14ac:dyDescent="0.25">
      <c r="B115" s="395" t="str">
        <f>CONCATENATE('Porra Mundial'!F71,"-",'Porra Mundial'!K71)</f>
        <v>Polonia-Bélgica</v>
      </c>
      <c r="C115" s="399" t="str">
        <f>CONCATENATE('Porra Mundial'!F71,"-",'Porra Mundial'!K71,"· ",IF('Porra Mundial'!H71&gt;'Porra Mundial'!I71,1,IF('Porra Mundial'!H71&lt;'Porra Mundial'!I71,2,IF(AND('Porra Mundial'!H71='Porra Mundial'!I71,'Porra Mundial'!H71&lt;&gt;"",'Porra Mundial'!I71&lt;&gt;""),"X",0))),"|",'Porra Mundial'!H71,"-",'Porra Mundial'!I71)</f>
        <v>Polonia-Bélgica· 0|-</v>
      </c>
    </row>
    <row r="116" spans="2:3" x14ac:dyDescent="0.25">
      <c r="C116" s="399"/>
    </row>
    <row r="117" spans="2:3" ht="18.75" x14ac:dyDescent="0.3">
      <c r="B117" s="397" t="s">
        <v>83</v>
      </c>
      <c r="C117" s="399"/>
    </row>
    <row r="118" spans="2:3" x14ac:dyDescent="0.25">
      <c r="B118" s="395" t="s">
        <v>85</v>
      </c>
      <c r="C118" s="399" t="str">
        <f>'Porra Mundial'!F74</f>
        <v>W49</v>
      </c>
    </row>
    <row r="119" spans="2:3" x14ac:dyDescent="0.25">
      <c r="B119" s="395" t="s">
        <v>85</v>
      </c>
      <c r="C119" s="399" t="str">
        <f>'Porra Mundial'!F75</f>
        <v>W53</v>
      </c>
    </row>
    <row r="120" spans="2:3" x14ac:dyDescent="0.25">
      <c r="B120" s="395" t="s">
        <v>85</v>
      </c>
      <c r="C120" s="399" t="str">
        <f>'Porra Mundial'!F76</f>
        <v>W51</v>
      </c>
    </row>
    <row r="121" spans="2:3" x14ac:dyDescent="0.25">
      <c r="B121" s="395" t="s">
        <v>85</v>
      </c>
      <c r="C121" s="399" t="str">
        <f>'Porra Mundial'!F77</f>
        <v>W55</v>
      </c>
    </row>
    <row r="122" spans="2:3" x14ac:dyDescent="0.25">
      <c r="B122" s="395" t="s">
        <v>85</v>
      </c>
      <c r="C122" s="399" t="str">
        <f>'Porra Mundial'!K74</f>
        <v>W50</v>
      </c>
    </row>
    <row r="123" spans="2:3" x14ac:dyDescent="0.25">
      <c r="B123" s="395" t="s">
        <v>85</v>
      </c>
      <c r="C123" s="399" t="str">
        <f>'Porra Mundial'!K75</f>
        <v>W54</v>
      </c>
    </row>
    <row r="124" spans="2:3" x14ac:dyDescent="0.25">
      <c r="B124" s="395" t="s">
        <v>85</v>
      </c>
      <c r="C124" s="399" t="str">
        <f>'Porra Mundial'!K76</f>
        <v>W52</v>
      </c>
    </row>
    <row r="125" spans="2:3" x14ac:dyDescent="0.25">
      <c r="B125" s="395" t="s">
        <v>85</v>
      </c>
      <c r="C125" s="399" t="str">
        <f>'Porra Mundial'!K77</f>
        <v>W56</v>
      </c>
    </row>
    <row r="126" spans="2:3" x14ac:dyDescent="0.25">
      <c r="C126" s="399"/>
    </row>
    <row r="127" spans="2:3" ht="18.75" x14ac:dyDescent="0.3">
      <c r="B127" s="397" t="s">
        <v>97</v>
      </c>
      <c r="C127" s="399"/>
    </row>
    <row r="128" spans="2:3" x14ac:dyDescent="0.25">
      <c r="B128" s="395" t="str">
        <f>CONCATENATE('Porra Mundial'!F74,"-",'Porra Mundial'!K74)</f>
        <v>W49-W50</v>
      </c>
      <c r="C128" s="399" t="str">
        <f>CONCATENATE('Porra Mundial'!F74,"-",'Porra Mundial'!K74,"· ",IF('Porra Mundial'!H74&gt;'Porra Mundial'!I74,1,IF('Porra Mundial'!H74&lt;'Porra Mundial'!I74,2,IF(AND('Porra Mundial'!H74='Porra Mundial'!I74,'Porra Mundial'!H74&lt;&gt;"",'Porra Mundial'!I74&lt;&gt;""),"X",0))),"|",'Porra Mundial'!H74,"-",'Porra Mundial'!I74)</f>
        <v>W49-W50· 0|-</v>
      </c>
    </row>
    <row r="129" spans="2:3" x14ac:dyDescent="0.25">
      <c r="B129" s="395" t="str">
        <f>CONCATENATE('Porra Mundial'!F75,"-",'Porra Mundial'!K75)</f>
        <v>W53-W54</v>
      </c>
      <c r="C129" s="399" t="str">
        <f>CONCATENATE('Porra Mundial'!F75,"-",'Porra Mundial'!K75,"· ",IF('Porra Mundial'!H75&gt;'Porra Mundial'!I75,1,IF('Porra Mundial'!H75&lt;'Porra Mundial'!I75,2,IF(AND('Porra Mundial'!H75='Porra Mundial'!I75,'Porra Mundial'!H75&lt;&gt;"",'Porra Mundial'!I75&lt;&gt;""),"X",0))),"|",'Porra Mundial'!H75,"-",'Porra Mundial'!I75)</f>
        <v>W53-W54· 0|-</v>
      </c>
    </row>
    <row r="130" spans="2:3" x14ac:dyDescent="0.25">
      <c r="B130" s="395" t="str">
        <f>CONCATENATE('Porra Mundial'!F76,"-",'Porra Mundial'!K76)</f>
        <v>W51-W52</v>
      </c>
      <c r="C130" s="399" t="str">
        <f>CONCATENATE('Porra Mundial'!F76,"-",'Porra Mundial'!K76,"· ",IF('Porra Mundial'!H76&gt;'Porra Mundial'!I76,1,IF('Porra Mundial'!H76&lt;'Porra Mundial'!I76,2,IF(AND('Porra Mundial'!H76='Porra Mundial'!I76,'Porra Mundial'!H76&lt;&gt;"",'Porra Mundial'!I76&lt;&gt;""),"X",0))),"|",'Porra Mundial'!H76,"-",'Porra Mundial'!I76)</f>
        <v>W51-W52· 0|-</v>
      </c>
    </row>
    <row r="131" spans="2:3" x14ac:dyDescent="0.25">
      <c r="B131" s="395" t="str">
        <f>CONCATENATE('Porra Mundial'!F77,"-",'Porra Mundial'!K77)</f>
        <v>W55-W56</v>
      </c>
      <c r="C131" s="399" t="str">
        <f>CONCATENATE('Porra Mundial'!F77,"-",'Porra Mundial'!K77,"· ",IF('Porra Mundial'!H77&gt;'Porra Mundial'!I77,1,IF('Porra Mundial'!H77&lt;'Porra Mundial'!I77,2,IF(AND('Porra Mundial'!H77='Porra Mundial'!I77,'Porra Mundial'!H77&lt;&gt;"",'Porra Mundial'!I77&lt;&gt;""),"X",0))),"|",'Porra Mundial'!H77,"-",'Porra Mundial'!I77)</f>
        <v>W55-W56· 0|-</v>
      </c>
    </row>
    <row r="132" spans="2:3" x14ac:dyDescent="0.25">
      <c r="C132" s="399"/>
    </row>
    <row r="133" spans="2:3" ht="18.75" x14ac:dyDescent="0.3">
      <c r="B133" s="397" t="s">
        <v>86</v>
      </c>
      <c r="C133" s="399"/>
    </row>
    <row r="134" spans="2:3" x14ac:dyDescent="0.25">
      <c r="B134" s="395" t="s">
        <v>87</v>
      </c>
      <c r="C134" s="399" t="str">
        <f>'Porra Mundial'!F80</f>
        <v>W57</v>
      </c>
    </row>
    <row r="135" spans="2:3" x14ac:dyDescent="0.25">
      <c r="B135" s="395" t="s">
        <v>87</v>
      </c>
      <c r="C135" s="399" t="str">
        <f>'Porra Mundial'!F81</f>
        <v>W59</v>
      </c>
    </row>
    <row r="136" spans="2:3" x14ac:dyDescent="0.25">
      <c r="B136" s="395" t="s">
        <v>87</v>
      </c>
      <c r="C136" s="399" t="str">
        <f>'Porra Mundial'!K80</f>
        <v>W58</v>
      </c>
    </row>
    <row r="137" spans="2:3" x14ac:dyDescent="0.25">
      <c r="B137" s="395" t="s">
        <v>87</v>
      </c>
      <c r="C137" s="399" t="str">
        <f>'Porra Mundial'!K81</f>
        <v>W60</v>
      </c>
    </row>
    <row r="138" spans="2:3" x14ac:dyDescent="0.25">
      <c r="C138" s="399"/>
    </row>
    <row r="139" spans="2:3" ht="18.75" x14ac:dyDescent="0.3">
      <c r="B139" s="397" t="s">
        <v>98</v>
      </c>
      <c r="C139" s="399"/>
    </row>
    <row r="140" spans="2:3" x14ac:dyDescent="0.25">
      <c r="B140" s="395" t="str">
        <f>CONCATENATE('Porra Mundial'!F80,"-",'Porra Mundial'!K80)</f>
        <v>W57-W58</v>
      </c>
      <c r="C140" s="399" t="str">
        <f>CONCATENATE('Porra Mundial'!F80,"-",'Porra Mundial'!K80,"· ",IF('Porra Mundial'!H80&gt;'Porra Mundial'!I80,1,IF('Porra Mundial'!H80&lt;'Porra Mundial'!I80,2,IF(AND('Porra Mundial'!H80='Porra Mundial'!I80,'Porra Mundial'!H80&lt;&gt;"",'Porra Mundial'!I80&lt;&gt;""),"X",0))),"|",'Porra Mundial'!H80,"-",'Porra Mundial'!I80)</f>
        <v>W57-W58· 0|-</v>
      </c>
    </row>
    <row r="141" spans="2:3" x14ac:dyDescent="0.25">
      <c r="B141" s="395" t="str">
        <f>CONCATENATE('Porra Mundial'!F81,"-",'Porra Mundial'!K81)</f>
        <v>W59-W60</v>
      </c>
      <c r="C141" s="399" t="str">
        <f>CONCATENATE('Porra Mundial'!F81,"-",'Porra Mundial'!K81,"· ",IF('Porra Mundial'!H81&gt;'Porra Mundial'!I81,1,IF('Porra Mundial'!H81&lt;'Porra Mundial'!I81,2,IF(AND('Porra Mundial'!H81='Porra Mundial'!I81,'Porra Mundial'!H81&lt;&gt;"",'Porra Mundial'!I81&lt;&gt;""),"X",0))),"|",'Porra Mundial'!H81,"-",'Porra Mundial'!I81)</f>
        <v>W59-W60· 0|-</v>
      </c>
    </row>
    <row r="142" spans="2:3" x14ac:dyDescent="0.25">
      <c r="C142" s="399"/>
    </row>
    <row r="143" spans="2:3" ht="18.75" x14ac:dyDescent="0.3">
      <c r="B143" s="397" t="s">
        <v>110</v>
      </c>
      <c r="C143" s="399"/>
    </row>
    <row r="144" spans="2:3" x14ac:dyDescent="0.25">
      <c r="B144" s="395" t="s">
        <v>129</v>
      </c>
      <c r="C144" s="399" t="str">
        <f>'Porra Mundial'!F84</f>
        <v>L61</v>
      </c>
    </row>
    <row r="145" spans="2:3" x14ac:dyDescent="0.25">
      <c r="B145" s="395" t="s">
        <v>130</v>
      </c>
      <c r="C145" s="399" t="str">
        <f>'Porra Mundial'!K84</f>
        <v>L62</v>
      </c>
    </row>
    <row r="146" spans="2:3" x14ac:dyDescent="0.25">
      <c r="C146" s="399"/>
    </row>
    <row r="147" spans="2:3" ht="18.75" x14ac:dyDescent="0.3">
      <c r="B147" s="397" t="s">
        <v>127</v>
      </c>
      <c r="C147" s="399"/>
    </row>
    <row r="148" spans="2:3" x14ac:dyDescent="0.25">
      <c r="B148" s="395" t="str">
        <f>CONCATENATE('Porra Mundial'!F84,"-",'Porra Mundial'!K84)</f>
        <v>L61-L62</v>
      </c>
      <c r="C148" s="399" t="str">
        <f>CONCATENATE('Porra Mundial'!F84,"-",'Porra Mundial'!K84,"· ",IF('Porra Mundial'!H84&gt;'Porra Mundial'!I84,1,IF('Porra Mundial'!H84&lt;'Porra Mundial'!I84,2,IF(AND('Porra Mundial'!H84='Porra Mundial'!I84,'Porra Mundial'!H84&lt;&gt;"",'Porra Mundial'!I84&lt;&gt;""),"X",0))),"|",'Porra Mundial'!H84,"-",'Porra Mundial'!I84)</f>
        <v>L61-L62· 0|-</v>
      </c>
    </row>
    <row r="149" spans="2:3" x14ac:dyDescent="0.25">
      <c r="C149" s="399"/>
    </row>
    <row r="150" spans="2:3" ht="18.75" x14ac:dyDescent="0.3">
      <c r="B150" s="397" t="s">
        <v>88</v>
      </c>
      <c r="C150" s="399"/>
    </row>
    <row r="151" spans="2:3" x14ac:dyDescent="0.25">
      <c r="B151" s="395" t="s">
        <v>90</v>
      </c>
      <c r="C151" s="399" t="str">
        <f>'Porra Mundial'!F87</f>
        <v>W61</v>
      </c>
    </row>
    <row r="152" spans="2:3" x14ac:dyDescent="0.25">
      <c r="B152" s="395" t="s">
        <v>90</v>
      </c>
      <c r="C152" s="399" t="str">
        <f>'Porra Mundial'!K87</f>
        <v>W62</v>
      </c>
    </row>
    <row r="153" spans="2:3" x14ac:dyDescent="0.25">
      <c r="C153" s="399"/>
    </row>
    <row r="154" spans="2:3" ht="18.75" x14ac:dyDescent="0.3">
      <c r="B154" s="397" t="s">
        <v>99</v>
      </c>
      <c r="C154" s="399"/>
    </row>
    <row r="155" spans="2:3" x14ac:dyDescent="0.25">
      <c r="B155" s="395" t="str">
        <f>CONCATENATE('Porra Mundial'!F87,"-",'Porra Mundial'!K87)</f>
        <v>W61-W62</v>
      </c>
      <c r="C155" s="399" t="str">
        <f>CONCATENATE('Porra Mundial'!F87,"-",'Porra Mundial'!K87,"· ",IF('Porra Mundial'!H87&gt;'Porra Mundial'!I87,1,IF('Porra Mundial'!H87&lt;'Porra Mundial'!I87,2,IF(AND('Porra Mundial'!H87='Porra Mundial'!I87,'Porra Mundial'!H87&lt;&gt;"",'Porra Mundial'!I87&lt;&gt;""),"X",0))),"|",'Porra Mundial'!H87,"-",'Porra Mundial'!I87)</f>
        <v>W61-W62· 0|-</v>
      </c>
    </row>
    <row r="156" spans="2:3" x14ac:dyDescent="0.25">
      <c r="C156" s="399"/>
    </row>
    <row r="157" spans="2:3" ht="18.75" x14ac:dyDescent="0.3">
      <c r="B157" s="397" t="s">
        <v>91</v>
      </c>
      <c r="C157" s="399"/>
    </row>
    <row r="158" spans="2:3" x14ac:dyDescent="0.25">
      <c r="B158" s="395" t="s">
        <v>128</v>
      </c>
      <c r="C158" s="399" t="str">
        <f>'Porra Mundial'!F89</f>
        <v>W64</v>
      </c>
    </row>
    <row r="159" spans="2:3" x14ac:dyDescent="0.25">
      <c r="B159" s="395" t="s">
        <v>131</v>
      </c>
      <c r="C159" s="399" t="str">
        <f>'Porra Mundial'!F90</f>
        <v>L64</v>
      </c>
    </row>
    <row r="160" spans="2:3" x14ac:dyDescent="0.25">
      <c r="B160" s="395" t="s">
        <v>132</v>
      </c>
      <c r="C160" s="399" t="str">
        <f>'Porra Mundial'!F91</f>
        <v>W63</v>
      </c>
    </row>
    <row r="161" spans="2:3" x14ac:dyDescent="0.25">
      <c r="B161" s="395" t="s">
        <v>133</v>
      </c>
      <c r="C161" s="399" t="str">
        <f>'Porra Mundial'!F93</f>
        <v>Escribe un jugador</v>
      </c>
    </row>
    <row r="162" spans="2:3" x14ac:dyDescent="0.25">
      <c r="B162" s="395" t="s">
        <v>134</v>
      </c>
      <c r="C162" s="399" t="str">
        <f>'Porra Mundial'!F94</f>
        <v>Escribe un jugador</v>
      </c>
    </row>
    <row r="163" spans="2:3" x14ac:dyDescent="0.25">
      <c r="B163" s="395" t="s">
        <v>135</v>
      </c>
      <c r="C163" s="399" t="str">
        <f>'Porra Mundial'!F95</f>
        <v>Escribe un jugador</v>
      </c>
    </row>
    <row r="164" spans="2:3" x14ac:dyDescent="0.25">
      <c r="B164" s="395" t="s">
        <v>136</v>
      </c>
      <c r="C164" s="399" t="str">
        <f>'Porra Mundial'!F97</f>
        <v>Escribe un jugador</v>
      </c>
    </row>
    <row r="165" spans="2:3" x14ac:dyDescent="0.25">
      <c r="B165" s="395" t="s">
        <v>137</v>
      </c>
      <c r="C165" s="399" t="str">
        <f>'Porra Mundial'!F98</f>
        <v>Escribe un jugador</v>
      </c>
    </row>
    <row r="166" spans="2:3" x14ac:dyDescent="0.25">
      <c r="B166" s="395" t="s">
        <v>138</v>
      </c>
      <c r="C166" s="399" t="str">
        <f>'Porra Mundial'!F99</f>
        <v>Escribe un jugador</v>
      </c>
    </row>
    <row r="167" spans="2:3" x14ac:dyDescent="0.25"/>
    <row r="168" spans="2:3" x14ac:dyDescent="0.25"/>
  </sheetData>
  <sheetProtection algorithmName="SHA-512" hashValue="1gXCbtY1pP3c6gzfx6cLsaiwYhsRCEx4PCtKkuE8QvIFw99pSzTBX2IJEdpq4JF4CN2WEqkzdJDizozULnVC4Q==" saltValue="liG1MKi9TDgUuS1af2ruGg=="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showRowColHeaders="0" workbookViewId="0"/>
  </sheetViews>
  <sheetFormatPr baseColWidth="10" defaultColWidth="10.85546875" defaultRowHeight="15" x14ac:dyDescent="0.25"/>
  <cols>
    <col min="1" max="1" width="6" style="1" customWidth="1"/>
    <col min="2" max="2" width="7.42578125" style="1" customWidth="1"/>
    <col min="3" max="6" width="10.85546875" style="1"/>
    <col min="7" max="7" width="39.7109375" style="1" customWidth="1"/>
    <col min="8" max="16384" width="10.85546875" style="1"/>
  </cols>
  <sheetData>
    <row r="1" spans="1:7" x14ac:dyDescent="0.25">
      <c r="A1" s="2"/>
      <c r="B1" s="2"/>
      <c r="C1" s="498"/>
      <c r="D1" s="498"/>
      <c r="E1" s="498"/>
      <c r="F1" s="498"/>
      <c r="G1" s="498"/>
    </row>
    <row r="2" spans="1:7" x14ac:dyDescent="0.25">
      <c r="A2" s="499"/>
      <c r="B2" s="500" t="s">
        <v>221</v>
      </c>
      <c r="C2" s="501"/>
      <c r="D2" s="501"/>
      <c r="E2" s="501"/>
      <c r="F2" s="501"/>
      <c r="G2" s="501"/>
    </row>
    <row r="3" spans="1:7" x14ac:dyDescent="0.25">
      <c r="A3" s="2"/>
      <c r="B3" s="568" t="s">
        <v>222</v>
      </c>
      <c r="C3" s="568"/>
      <c r="D3" s="568"/>
      <c r="E3" s="568"/>
      <c r="F3" s="568"/>
      <c r="G3" s="568"/>
    </row>
    <row r="4" spans="1:7" x14ac:dyDescent="0.25">
      <c r="A4" s="2"/>
      <c r="B4" s="568"/>
      <c r="C4" s="568"/>
      <c r="D4" s="568"/>
      <c r="E4" s="568"/>
      <c r="F4" s="568"/>
      <c r="G4" s="568"/>
    </row>
    <row r="5" spans="1:7" x14ac:dyDescent="0.25">
      <c r="A5" s="2"/>
      <c r="B5" s="568"/>
      <c r="C5" s="568"/>
      <c r="D5" s="568"/>
      <c r="E5" s="568"/>
      <c r="F5" s="568"/>
      <c r="G5" s="568"/>
    </row>
    <row r="6" spans="1:7" x14ac:dyDescent="0.25">
      <c r="A6" s="2"/>
      <c r="B6" s="568"/>
      <c r="C6" s="568"/>
      <c r="D6" s="568"/>
      <c r="E6" s="568"/>
      <c r="F6" s="568"/>
      <c r="G6" s="568"/>
    </row>
    <row r="7" spans="1:7" x14ac:dyDescent="0.25">
      <c r="A7" s="2"/>
      <c r="B7" s="568"/>
      <c r="C7" s="568"/>
      <c r="D7" s="568"/>
      <c r="E7" s="568"/>
      <c r="F7" s="568"/>
      <c r="G7" s="568"/>
    </row>
    <row r="8" spans="1:7" x14ac:dyDescent="0.25">
      <c r="A8" s="2"/>
      <c r="B8" s="568"/>
      <c r="C8" s="568"/>
      <c r="D8" s="568"/>
      <c r="E8" s="568"/>
      <c r="F8" s="568"/>
      <c r="G8" s="568"/>
    </row>
    <row r="9" spans="1:7" x14ac:dyDescent="0.25">
      <c r="A9" s="2"/>
      <c r="B9" s="568"/>
      <c r="C9" s="568"/>
      <c r="D9" s="568"/>
      <c r="E9" s="568"/>
      <c r="F9" s="568"/>
      <c r="G9" s="568"/>
    </row>
    <row r="10" spans="1:7" x14ac:dyDescent="0.25">
      <c r="A10" s="2"/>
      <c r="B10" s="568"/>
      <c r="C10" s="568"/>
      <c r="D10" s="568"/>
      <c r="E10" s="568"/>
      <c r="F10" s="568"/>
      <c r="G10" s="568"/>
    </row>
    <row r="11" spans="1:7" x14ac:dyDescent="0.25">
      <c r="A11" s="2"/>
      <c r="B11" s="568"/>
      <c r="C11" s="568"/>
      <c r="D11" s="568"/>
      <c r="E11" s="568"/>
      <c r="F11" s="568"/>
      <c r="G11" s="568"/>
    </row>
    <row r="12" spans="1:7" x14ac:dyDescent="0.25">
      <c r="A12" s="2"/>
      <c r="B12" s="568"/>
      <c r="C12" s="568"/>
      <c r="D12" s="568"/>
      <c r="E12" s="568"/>
      <c r="F12" s="568"/>
      <c r="G12" s="568"/>
    </row>
    <row r="13" spans="1:7" x14ac:dyDescent="0.25">
      <c r="A13" s="2"/>
      <c r="B13" s="502"/>
      <c r="C13" s="502"/>
      <c r="D13" s="502"/>
      <c r="E13" s="502"/>
      <c r="F13" s="502"/>
      <c r="G13" s="502"/>
    </row>
    <row r="14" spans="1:7" x14ac:dyDescent="0.25">
      <c r="A14" s="2"/>
      <c r="B14" s="503" t="s">
        <v>223</v>
      </c>
      <c r="C14" s="504" t="s">
        <v>224</v>
      </c>
      <c r="D14" s="505"/>
      <c r="E14" s="505"/>
      <c r="F14" s="502"/>
      <c r="G14" s="502"/>
    </row>
    <row r="15" spans="1:7" x14ac:dyDescent="0.25">
      <c r="A15" s="2"/>
      <c r="B15" s="501" t="s">
        <v>225</v>
      </c>
      <c r="C15" s="501"/>
      <c r="D15" s="501"/>
      <c r="E15" s="501"/>
      <c r="F15" s="498"/>
      <c r="G15" s="498"/>
    </row>
    <row r="16" spans="1:7" x14ac:dyDescent="0.25">
      <c r="A16" s="2"/>
      <c r="B16" s="506" t="s">
        <v>226</v>
      </c>
      <c r="C16" s="499"/>
      <c r="D16" s="499"/>
      <c r="E16" s="499"/>
      <c r="F16" s="2"/>
      <c r="G16" s="2"/>
    </row>
    <row r="17" spans="1:7" x14ac:dyDescent="0.25">
      <c r="A17" s="2"/>
      <c r="B17" s="2"/>
      <c r="C17" s="2"/>
      <c r="D17" s="2"/>
      <c r="E17" s="2"/>
      <c r="F17" s="2"/>
      <c r="G17" s="2"/>
    </row>
    <row r="18" spans="1:7" x14ac:dyDescent="0.25">
      <c r="A18" s="2"/>
      <c r="B18" s="507" t="s">
        <v>227</v>
      </c>
      <c r="C18" s="2"/>
      <c r="D18" s="2"/>
      <c r="E18" s="2"/>
      <c r="F18" s="2"/>
      <c r="G18" s="2"/>
    </row>
  </sheetData>
  <sheetProtection password="9663" sheet="1" objects="1" scenarios="1" selectLockedCells="1" selectUnlockedCells="1"/>
  <mergeCells count="1">
    <mergeCell ref="B3:G12"/>
  </mergeCells>
  <hyperlinks>
    <hyperlink ref="C14" r:id="rId1" xr:uid="{00000000-0004-0000-0400-000000000000}"/>
    <hyperlink ref="B16" r:id="rId2" xr:uid="{00000000-0004-0000-0400-000001000000}"/>
    <hyperlink ref="B18" r:id="rId3" xr:uid="{00000000-0004-0000-0400-000002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Inicio</vt:lpstr>
      <vt:lpstr>Porra Mundial</vt:lpstr>
      <vt:lpstr>La Apuesta</vt:lpstr>
      <vt:lpstr>Creditos</vt:lpstr>
      <vt:lpstr>·······</vt:lpstr>
      <vt:lpstr>gwgvftwvn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aeruano</cp:lastModifiedBy>
  <dcterms:created xsi:type="dcterms:W3CDTF">2015-10-31T09:41:54Z</dcterms:created>
  <dcterms:modified xsi:type="dcterms:W3CDTF">2018-06-14T14:20:36Z</dcterms:modified>
</cp:coreProperties>
</file>