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330"/>
  <workbookPr codeName="ThisWorkbook" autoCompressPictures="0" defaultThemeVersion="124226"/>
  <mc:AlternateContent xmlns:mc="http://schemas.openxmlformats.org/markup-compatibility/2006">
    <mc:Choice Requires="x15">
      <x15ac:absPath xmlns:x15ac="http://schemas.microsoft.com/office/spreadsheetml/2010/11/ac" url="C:\Users\ludwin.ayala\Videos\"/>
    </mc:Choice>
  </mc:AlternateContent>
  <xr:revisionPtr revIDLastSave="0" documentId="10_ncr:8108000_{090AA20A-F65E-46CF-A5E2-26B15F846BC3}" xr6:coauthVersionLast="33" xr6:coauthVersionMax="33" xr10:uidLastSave="{00000000-0000-0000-0000-000000000000}"/>
  <workbookProtection workbookPassword="E0B3" lockStructure="1"/>
  <bookViews>
    <workbookView xWindow="0" yWindow="0" windowWidth="24420" windowHeight="13740" activeTab="1" xr2:uid="{00000000-000D-0000-FFFF-FFFF00000000}"/>
  </bookViews>
  <sheets>
    <sheet name="Inicio" sheetId="10" r:id="rId1"/>
    <sheet name="Porra Mundial" sheetId="3" r:id="rId2"/>
    <sheet name="Rank" sheetId="6" state="veryHidden" r:id="rId3"/>
    <sheet name="La Apuesta" sheetId="8" r:id="rId4"/>
    <sheet name="Creditos" sheetId="11" r:id="rId5"/>
  </sheets>
  <definedNames>
    <definedName name="·······">Tabla3[]</definedName>
    <definedName name="gwgvftwvn">Tabla3[]</definedName>
  </definedNames>
  <calcPr calcId="162913" concurrentCalc="0"/>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H27" i="3" l="1"/>
  <c r="AH28" i="3"/>
  <c r="AH29" i="3"/>
  <c r="AH30" i="3"/>
  <c r="AI27" i="3" a="1"/>
  <c r="AI27" i="3"/>
  <c r="AJ27" i="3" a="1"/>
  <c r="AJ27" i="3"/>
  <c r="AK27" i="3" a="1"/>
  <c r="AK27" i="3"/>
  <c r="AG27" i="3"/>
  <c r="AL27" i="3" a="1"/>
  <c r="AL27" i="3"/>
  <c r="AM27" i="3" a="1"/>
  <c r="AM27" i="3"/>
  <c r="AN27" i="3"/>
  <c r="AI28" i="3" a="1"/>
  <c r="AI28" i="3"/>
  <c r="AJ28" i="3" a="1"/>
  <c r="AJ28" i="3"/>
  <c r="AK28" i="3" a="1"/>
  <c r="AK28" i="3"/>
  <c r="AG28" i="3"/>
  <c r="AL28" i="3" a="1"/>
  <c r="AL28" i="3"/>
  <c r="AM28" i="3" a="1"/>
  <c r="AM28" i="3"/>
  <c r="AN28" i="3"/>
  <c r="AI29" i="3" a="1"/>
  <c r="AI29" i="3"/>
  <c r="AJ29" i="3" a="1"/>
  <c r="AJ29" i="3"/>
  <c r="AK29" i="3" a="1"/>
  <c r="AK29" i="3"/>
  <c r="AG29" i="3"/>
  <c r="AL29" i="3" a="1"/>
  <c r="AL29" i="3"/>
  <c r="AM29" i="3" a="1"/>
  <c r="AM29" i="3"/>
  <c r="AN29" i="3"/>
  <c r="AI30" i="3" a="1"/>
  <c r="AI30" i="3"/>
  <c r="AJ30" i="3" a="1"/>
  <c r="AJ30" i="3"/>
  <c r="AK30" i="3" a="1"/>
  <c r="AK30" i="3"/>
  <c r="AG30" i="3"/>
  <c r="AL30" i="3" a="1"/>
  <c r="AL30" i="3"/>
  <c r="AM30" i="3" a="1"/>
  <c r="AM30" i="3"/>
  <c r="AN30" i="3"/>
  <c r="BB27" i="3"/>
  <c r="BC27" i="3"/>
  <c r="BD27" i="3"/>
  <c r="AZ27" i="3"/>
  <c r="BC28" i="3"/>
  <c r="BD28" i="3"/>
  <c r="BA28" i="3"/>
  <c r="AZ28" i="3"/>
  <c r="BD29" i="3"/>
  <c r="BA29" i="3"/>
  <c r="BB29" i="3"/>
  <c r="AZ29" i="3"/>
  <c r="BA30" i="3"/>
  <c r="BB30" i="3"/>
  <c r="BC30" i="3"/>
  <c r="AZ30" i="3"/>
  <c r="AY27" i="3"/>
  <c r="BH27" i="3"/>
  <c r="BI27" i="3"/>
  <c r="BJ27" i="3"/>
  <c r="BF27" i="3"/>
  <c r="BI28" i="3"/>
  <c r="BJ28" i="3"/>
  <c r="BG28" i="3"/>
  <c r="BF28" i="3"/>
  <c r="BJ29" i="3"/>
  <c r="BG29" i="3"/>
  <c r="BH29" i="3"/>
  <c r="BF29" i="3"/>
  <c r="BG30" i="3"/>
  <c r="BH30" i="3"/>
  <c r="BI30" i="3"/>
  <c r="BF30" i="3"/>
  <c r="BE27" i="3"/>
  <c r="AT12" i="3"/>
  <c r="AT11" i="3"/>
  <c r="AX27" i="3"/>
  <c r="AT9" i="3"/>
  <c r="AT8" i="3"/>
  <c r="AT7" i="3"/>
  <c r="AO27" i="3"/>
  <c r="AY28" i="3"/>
  <c r="BE28" i="3"/>
  <c r="AX28" i="3"/>
  <c r="AO28" i="3"/>
  <c r="AY29" i="3"/>
  <c r="BE29" i="3"/>
  <c r="AX29" i="3"/>
  <c r="AO29" i="3"/>
  <c r="AY30" i="3"/>
  <c r="BE30" i="3"/>
  <c r="AX30" i="3"/>
  <c r="AO30" i="3"/>
  <c r="AE27" i="3"/>
  <c r="BO27" i="3"/>
  <c r="BP27" i="3"/>
  <c r="AE28" i="3"/>
  <c r="AE29" i="3"/>
  <c r="BO28" i="3"/>
  <c r="BP28" i="3"/>
  <c r="X27" i="3"/>
  <c r="AE30" i="3"/>
  <c r="BO29" i="3"/>
  <c r="BP29" i="3"/>
  <c r="X28" i="3"/>
  <c r="BO30" i="3"/>
  <c r="BP30" i="3"/>
  <c r="X29" i="3"/>
  <c r="X30" i="3"/>
  <c r="AH6" i="3"/>
  <c r="AH7" i="3"/>
  <c r="AH8" i="3"/>
  <c r="AH9" i="3"/>
  <c r="AI6" i="3" a="1"/>
  <c r="AI6" i="3"/>
  <c r="AJ6" i="3" a="1"/>
  <c r="AJ6" i="3"/>
  <c r="AK6" i="3" a="1"/>
  <c r="AK6" i="3"/>
  <c r="AG6" i="3"/>
  <c r="AL6" i="3" a="1"/>
  <c r="AL6" i="3"/>
  <c r="AM6" i="3" a="1"/>
  <c r="AM6" i="3"/>
  <c r="AN6" i="3"/>
  <c r="AI7" i="3" a="1"/>
  <c r="AI7" i="3"/>
  <c r="AJ7" i="3" a="1"/>
  <c r="AJ7" i="3"/>
  <c r="AK7" i="3" a="1"/>
  <c r="AK7" i="3"/>
  <c r="AG7" i="3"/>
  <c r="AL7" i="3" a="1"/>
  <c r="AL7" i="3"/>
  <c r="AM7" i="3" a="1"/>
  <c r="AM7" i="3"/>
  <c r="AN7" i="3"/>
  <c r="AI8" i="3" a="1"/>
  <c r="AI8" i="3"/>
  <c r="AJ8" i="3" a="1"/>
  <c r="AJ8" i="3"/>
  <c r="AK8" i="3" a="1"/>
  <c r="AK8" i="3"/>
  <c r="AG8" i="3"/>
  <c r="AL8" i="3" a="1"/>
  <c r="AL8" i="3"/>
  <c r="AM8" i="3" a="1"/>
  <c r="AM8" i="3"/>
  <c r="AN8" i="3"/>
  <c r="AI9" i="3" a="1"/>
  <c r="AI9" i="3"/>
  <c r="AJ9" i="3" a="1"/>
  <c r="AJ9" i="3"/>
  <c r="AK9" i="3" a="1"/>
  <c r="AK9" i="3"/>
  <c r="AG9" i="3"/>
  <c r="AL9" i="3" a="1"/>
  <c r="AL9" i="3"/>
  <c r="AM9" i="3" a="1"/>
  <c r="AM9" i="3"/>
  <c r="AN9" i="3"/>
  <c r="BB6" i="3"/>
  <c r="BC6" i="3"/>
  <c r="BD6" i="3"/>
  <c r="AZ6" i="3"/>
  <c r="BD7" i="3"/>
  <c r="BA7" i="3"/>
  <c r="BC7" i="3"/>
  <c r="AZ7" i="3"/>
  <c r="BA8" i="3"/>
  <c r="BD8" i="3"/>
  <c r="BB8" i="3"/>
  <c r="AZ8" i="3"/>
  <c r="BC9" i="3"/>
  <c r="BA9" i="3"/>
  <c r="BB9" i="3"/>
  <c r="AZ9" i="3"/>
  <c r="AY6" i="3"/>
  <c r="BH6" i="3"/>
  <c r="BI6" i="3"/>
  <c r="BJ6" i="3"/>
  <c r="BF6" i="3"/>
  <c r="BJ7" i="3"/>
  <c r="BG7" i="3"/>
  <c r="BI7" i="3"/>
  <c r="BF7" i="3"/>
  <c r="BJ8" i="3"/>
  <c r="BG8" i="3"/>
  <c r="BH8" i="3"/>
  <c r="BF8" i="3"/>
  <c r="BH9" i="3"/>
  <c r="BI9" i="3"/>
  <c r="BG9" i="3"/>
  <c r="BF9" i="3"/>
  <c r="BE6" i="3"/>
  <c r="AX6" i="3"/>
  <c r="AO6" i="3"/>
  <c r="AY7" i="3"/>
  <c r="BE7" i="3"/>
  <c r="AX7" i="3"/>
  <c r="AO7" i="3"/>
  <c r="AY8" i="3"/>
  <c r="BE8" i="3"/>
  <c r="AX8" i="3"/>
  <c r="AO8" i="3"/>
  <c r="AY9" i="3"/>
  <c r="BE9" i="3"/>
  <c r="AX9" i="3"/>
  <c r="AO9" i="3"/>
  <c r="AE6" i="3"/>
  <c r="AE7" i="3"/>
  <c r="AE8" i="3"/>
  <c r="AE9" i="3"/>
  <c r="BO6" i="3"/>
  <c r="BP6" i="3"/>
  <c r="BO7" i="3"/>
  <c r="BP7" i="3"/>
  <c r="X6" i="3"/>
  <c r="BO8" i="3"/>
  <c r="BP8" i="3"/>
  <c r="X7" i="3"/>
  <c r="BO9" i="3"/>
  <c r="BP9" i="3"/>
  <c r="X8" i="3"/>
  <c r="X9" i="3"/>
  <c r="AH13" i="3"/>
  <c r="AH14" i="3"/>
  <c r="AH15" i="3"/>
  <c r="AH16" i="3"/>
  <c r="AI13" i="3" a="1"/>
  <c r="AI13" i="3"/>
  <c r="AJ13" i="3" a="1"/>
  <c r="AJ13" i="3"/>
  <c r="AK13" i="3" a="1"/>
  <c r="AK13" i="3"/>
  <c r="AG13" i="3"/>
  <c r="AL13" i="3" a="1"/>
  <c r="AL13" i="3"/>
  <c r="AM13" i="3" a="1"/>
  <c r="AM13" i="3"/>
  <c r="AN13" i="3"/>
  <c r="AI14" i="3" a="1"/>
  <c r="AI14" i="3"/>
  <c r="AJ14" i="3" a="1"/>
  <c r="AJ14" i="3"/>
  <c r="AK14" i="3" a="1"/>
  <c r="AK14" i="3"/>
  <c r="AG14" i="3"/>
  <c r="AL14" i="3" a="1"/>
  <c r="AL14" i="3"/>
  <c r="AM14" i="3" a="1"/>
  <c r="AM14" i="3"/>
  <c r="AN14" i="3"/>
  <c r="AI15" i="3" a="1"/>
  <c r="AI15" i="3"/>
  <c r="AJ15" i="3" a="1"/>
  <c r="AJ15" i="3"/>
  <c r="AK15" i="3" a="1"/>
  <c r="AK15" i="3"/>
  <c r="AG15" i="3"/>
  <c r="AL15" i="3" a="1"/>
  <c r="AL15" i="3"/>
  <c r="AM15" i="3" a="1"/>
  <c r="AM15" i="3"/>
  <c r="AN15" i="3"/>
  <c r="AI16" i="3" a="1"/>
  <c r="AI16" i="3"/>
  <c r="AJ16" i="3" a="1"/>
  <c r="AJ16" i="3"/>
  <c r="AK16" i="3" a="1"/>
  <c r="AK16" i="3"/>
  <c r="AG16" i="3"/>
  <c r="AL16" i="3" a="1"/>
  <c r="AL16" i="3"/>
  <c r="AM16" i="3" a="1"/>
  <c r="AM16" i="3"/>
  <c r="AN16" i="3"/>
  <c r="BB13" i="3"/>
  <c r="BC13" i="3"/>
  <c r="BD13" i="3"/>
  <c r="AZ13" i="3"/>
  <c r="BC14" i="3"/>
  <c r="BD14" i="3"/>
  <c r="BA14" i="3"/>
  <c r="AZ14" i="3"/>
  <c r="BD15" i="3"/>
  <c r="BA15" i="3"/>
  <c r="BB15" i="3"/>
  <c r="AZ15" i="3"/>
  <c r="BA16" i="3"/>
  <c r="BB16" i="3"/>
  <c r="BC16" i="3"/>
  <c r="AZ16" i="3"/>
  <c r="AY13" i="3"/>
  <c r="BH13" i="3"/>
  <c r="BI13" i="3"/>
  <c r="BJ13" i="3"/>
  <c r="BF13" i="3"/>
  <c r="BI14" i="3"/>
  <c r="BJ14" i="3"/>
  <c r="BG14" i="3"/>
  <c r="BF14" i="3"/>
  <c r="BJ15" i="3"/>
  <c r="BG15" i="3"/>
  <c r="BH15" i="3"/>
  <c r="BF15" i="3"/>
  <c r="BG16" i="3"/>
  <c r="BH16" i="3"/>
  <c r="BI16" i="3"/>
  <c r="BF16" i="3"/>
  <c r="BE13" i="3"/>
  <c r="AX13" i="3"/>
  <c r="AO13" i="3"/>
  <c r="AY14" i="3"/>
  <c r="BE14" i="3"/>
  <c r="AX14" i="3"/>
  <c r="AO14" i="3"/>
  <c r="AY15" i="3"/>
  <c r="BE15" i="3"/>
  <c r="AX15" i="3"/>
  <c r="AO15" i="3"/>
  <c r="AY16" i="3"/>
  <c r="BE16" i="3"/>
  <c r="AX16" i="3"/>
  <c r="AO16" i="3"/>
  <c r="AE13" i="3"/>
  <c r="AE14" i="3"/>
  <c r="BO13" i="3"/>
  <c r="BP13" i="3"/>
  <c r="BO14" i="3"/>
  <c r="BP14" i="3"/>
  <c r="X13" i="3"/>
  <c r="AE15" i="3"/>
  <c r="AE16" i="3"/>
  <c r="BO15" i="3"/>
  <c r="BP15" i="3"/>
  <c r="X14" i="3"/>
  <c r="BO16" i="3"/>
  <c r="BP16" i="3"/>
  <c r="X15" i="3"/>
  <c r="X16" i="3"/>
  <c r="AH20" i="3"/>
  <c r="AH21" i="3"/>
  <c r="AH22" i="3"/>
  <c r="AH23" i="3"/>
  <c r="AI20" i="3" a="1"/>
  <c r="AI20" i="3"/>
  <c r="AJ20" i="3" a="1"/>
  <c r="AJ20" i="3"/>
  <c r="AK20" i="3" a="1"/>
  <c r="AK20" i="3"/>
  <c r="AG20" i="3"/>
  <c r="AL20" i="3" a="1"/>
  <c r="AL20" i="3"/>
  <c r="AM20" i="3" a="1"/>
  <c r="AM20" i="3"/>
  <c r="AN20" i="3"/>
  <c r="AI21" i="3" a="1"/>
  <c r="AI21" i="3"/>
  <c r="AJ21" i="3" a="1"/>
  <c r="AJ21" i="3"/>
  <c r="AK21" i="3" a="1"/>
  <c r="AK21" i="3"/>
  <c r="AG21" i="3"/>
  <c r="AL21" i="3" a="1"/>
  <c r="AL21" i="3"/>
  <c r="AM21" i="3" a="1"/>
  <c r="AM21" i="3"/>
  <c r="AN21" i="3"/>
  <c r="AI22" i="3" a="1"/>
  <c r="AI22" i="3"/>
  <c r="AJ22" i="3" a="1"/>
  <c r="AJ22" i="3"/>
  <c r="AK22" i="3" a="1"/>
  <c r="AK22" i="3"/>
  <c r="AG22" i="3"/>
  <c r="AL22" i="3" a="1"/>
  <c r="AL22" i="3"/>
  <c r="AM22" i="3" a="1"/>
  <c r="AM22" i="3"/>
  <c r="AN22" i="3"/>
  <c r="AI23" i="3" a="1"/>
  <c r="AI23" i="3"/>
  <c r="AJ23" i="3" a="1"/>
  <c r="AJ23" i="3"/>
  <c r="AK23" i="3" a="1"/>
  <c r="AK23" i="3"/>
  <c r="AG23" i="3"/>
  <c r="AL23" i="3" a="1"/>
  <c r="AL23" i="3"/>
  <c r="AM23" i="3" a="1"/>
  <c r="AM23" i="3"/>
  <c r="AN23" i="3"/>
  <c r="BB20" i="3"/>
  <c r="BC20" i="3"/>
  <c r="BD20" i="3"/>
  <c r="AZ20" i="3"/>
  <c r="BC21" i="3"/>
  <c r="BD21" i="3"/>
  <c r="BA21" i="3"/>
  <c r="AZ21" i="3"/>
  <c r="BD22" i="3"/>
  <c r="BA22" i="3"/>
  <c r="BB22" i="3"/>
  <c r="AZ22" i="3"/>
  <c r="BA23" i="3"/>
  <c r="BB23" i="3"/>
  <c r="BC23" i="3"/>
  <c r="AZ23" i="3"/>
  <c r="AY20" i="3"/>
  <c r="BH20" i="3"/>
  <c r="BI20" i="3"/>
  <c r="BJ20" i="3"/>
  <c r="BF20" i="3"/>
  <c r="BI21" i="3"/>
  <c r="BJ21" i="3"/>
  <c r="BG21" i="3"/>
  <c r="BF21" i="3"/>
  <c r="BJ22" i="3"/>
  <c r="BG22" i="3"/>
  <c r="BH22" i="3"/>
  <c r="BF22" i="3"/>
  <c r="BG23" i="3"/>
  <c r="BH23" i="3"/>
  <c r="BI23" i="3"/>
  <c r="BF23" i="3"/>
  <c r="BE20" i="3"/>
  <c r="AX20" i="3"/>
  <c r="AO20" i="3"/>
  <c r="AY21" i="3"/>
  <c r="BE21" i="3"/>
  <c r="AX21" i="3"/>
  <c r="AO21" i="3"/>
  <c r="AY22" i="3"/>
  <c r="BE22" i="3"/>
  <c r="AX22" i="3"/>
  <c r="AO22" i="3"/>
  <c r="AY23" i="3"/>
  <c r="BE23" i="3"/>
  <c r="AX23" i="3"/>
  <c r="AO23" i="3"/>
  <c r="AE20" i="3"/>
  <c r="BO20" i="3"/>
  <c r="BP20" i="3"/>
  <c r="AE21" i="3"/>
  <c r="AE22" i="3"/>
  <c r="AE23" i="3"/>
  <c r="BO21" i="3"/>
  <c r="BP21" i="3"/>
  <c r="X20" i="3"/>
  <c r="BO22" i="3"/>
  <c r="BP22" i="3"/>
  <c r="X21" i="3"/>
  <c r="BO23" i="3"/>
  <c r="BP23" i="3"/>
  <c r="X22" i="3"/>
  <c r="X23" i="3"/>
  <c r="AH34" i="3"/>
  <c r="AH35" i="3"/>
  <c r="AH36" i="3"/>
  <c r="AH37" i="3"/>
  <c r="AI34" i="3" a="1"/>
  <c r="AI34" i="3"/>
  <c r="AJ34" i="3" a="1"/>
  <c r="AJ34" i="3"/>
  <c r="AK34" i="3" a="1"/>
  <c r="AK34" i="3"/>
  <c r="AG34" i="3"/>
  <c r="AL34" i="3" a="1"/>
  <c r="AL34" i="3"/>
  <c r="AM34" i="3" a="1"/>
  <c r="AM34" i="3"/>
  <c r="AN34" i="3"/>
  <c r="AI35" i="3" a="1"/>
  <c r="AI35" i="3"/>
  <c r="AJ35" i="3" a="1"/>
  <c r="AJ35" i="3"/>
  <c r="AK35" i="3" a="1"/>
  <c r="AK35" i="3"/>
  <c r="AG35" i="3"/>
  <c r="AL35" i="3" a="1"/>
  <c r="AL35" i="3"/>
  <c r="AM35" i="3" a="1"/>
  <c r="AM35" i="3"/>
  <c r="AN35" i="3"/>
  <c r="AI36" i="3" a="1"/>
  <c r="AI36" i="3"/>
  <c r="AJ36" i="3" a="1"/>
  <c r="AJ36" i="3"/>
  <c r="AK36" i="3" a="1"/>
  <c r="AK36" i="3"/>
  <c r="AG36" i="3"/>
  <c r="AL36" i="3" a="1"/>
  <c r="AL36" i="3"/>
  <c r="AM36" i="3" a="1"/>
  <c r="AM36" i="3"/>
  <c r="AN36" i="3"/>
  <c r="AI37" i="3" a="1"/>
  <c r="AI37" i="3"/>
  <c r="AJ37" i="3" a="1"/>
  <c r="AJ37" i="3"/>
  <c r="AK37" i="3" a="1"/>
  <c r="AK37" i="3"/>
  <c r="AG37" i="3"/>
  <c r="AL37" i="3" a="1"/>
  <c r="AL37" i="3"/>
  <c r="AM37" i="3" a="1"/>
  <c r="AM37" i="3"/>
  <c r="AN37" i="3"/>
  <c r="BB34" i="3"/>
  <c r="BC34" i="3"/>
  <c r="BD34" i="3"/>
  <c r="AZ34" i="3"/>
  <c r="BC35" i="3"/>
  <c r="BD35" i="3"/>
  <c r="BA35" i="3"/>
  <c r="AZ35" i="3"/>
  <c r="BD36" i="3"/>
  <c r="BA36" i="3"/>
  <c r="BB36" i="3"/>
  <c r="AZ36" i="3"/>
  <c r="BA37" i="3"/>
  <c r="BB37" i="3"/>
  <c r="BC37" i="3"/>
  <c r="AZ37" i="3"/>
  <c r="AY34" i="3"/>
  <c r="BH34" i="3"/>
  <c r="BI34" i="3"/>
  <c r="BJ34" i="3"/>
  <c r="BF34" i="3"/>
  <c r="BI35" i="3"/>
  <c r="BJ35" i="3"/>
  <c r="BG35" i="3"/>
  <c r="BF35" i="3"/>
  <c r="BJ36" i="3"/>
  <c r="BG36" i="3"/>
  <c r="BH36" i="3"/>
  <c r="BF36" i="3"/>
  <c r="BG37" i="3"/>
  <c r="BH37" i="3"/>
  <c r="BI37" i="3"/>
  <c r="BF37" i="3"/>
  <c r="BE34" i="3"/>
  <c r="AX34" i="3"/>
  <c r="AO34" i="3"/>
  <c r="AY35" i="3"/>
  <c r="BE35" i="3"/>
  <c r="AX35" i="3"/>
  <c r="AO35" i="3"/>
  <c r="AY36" i="3"/>
  <c r="BE36" i="3"/>
  <c r="AX36" i="3"/>
  <c r="AO36" i="3"/>
  <c r="AY37" i="3"/>
  <c r="BE37" i="3"/>
  <c r="AX37" i="3"/>
  <c r="AO37" i="3"/>
  <c r="AE34" i="3"/>
  <c r="BO34" i="3"/>
  <c r="BP34" i="3"/>
  <c r="AE35" i="3"/>
  <c r="BO35" i="3"/>
  <c r="BP35" i="3"/>
  <c r="X34" i="3"/>
  <c r="AE36" i="3"/>
  <c r="AE37" i="3"/>
  <c r="BO36" i="3"/>
  <c r="BP36" i="3"/>
  <c r="X35" i="3"/>
  <c r="BO37" i="3"/>
  <c r="BP37" i="3"/>
  <c r="X36" i="3"/>
  <c r="X37" i="3"/>
  <c r="AH41" i="3"/>
  <c r="AH42" i="3"/>
  <c r="AH43" i="3"/>
  <c r="AH44" i="3"/>
  <c r="AI41" i="3" a="1"/>
  <c r="AI41" i="3"/>
  <c r="AJ41" i="3" a="1"/>
  <c r="AJ41" i="3"/>
  <c r="AK41" i="3" a="1"/>
  <c r="AK41" i="3"/>
  <c r="AG41" i="3"/>
  <c r="AL41" i="3" a="1"/>
  <c r="AL41" i="3"/>
  <c r="AM41" i="3" a="1"/>
  <c r="AM41" i="3"/>
  <c r="AN41" i="3"/>
  <c r="AI42" i="3" a="1"/>
  <c r="AI42" i="3"/>
  <c r="AJ42" i="3" a="1"/>
  <c r="AJ42" i="3"/>
  <c r="AK42" i="3" a="1"/>
  <c r="AK42" i="3"/>
  <c r="AG42" i="3"/>
  <c r="AL42" i="3" a="1"/>
  <c r="AL42" i="3"/>
  <c r="AM42" i="3" a="1"/>
  <c r="AM42" i="3"/>
  <c r="AN42" i="3"/>
  <c r="AI43" i="3" a="1"/>
  <c r="AI43" i="3"/>
  <c r="AJ43" i="3" a="1"/>
  <c r="AJ43" i="3"/>
  <c r="AK43" i="3" a="1"/>
  <c r="AK43" i="3"/>
  <c r="AG43" i="3"/>
  <c r="AL43" i="3" a="1"/>
  <c r="AL43" i="3"/>
  <c r="AM43" i="3" a="1"/>
  <c r="AM43" i="3"/>
  <c r="AN43" i="3"/>
  <c r="AI44" i="3" a="1"/>
  <c r="AI44" i="3"/>
  <c r="AJ44" i="3" a="1"/>
  <c r="AJ44" i="3"/>
  <c r="AK44" i="3" a="1"/>
  <c r="AK44" i="3"/>
  <c r="AG44" i="3"/>
  <c r="AL44" i="3" a="1"/>
  <c r="AL44" i="3"/>
  <c r="AM44" i="3" a="1"/>
  <c r="AM44" i="3"/>
  <c r="AN44" i="3"/>
  <c r="BB41" i="3"/>
  <c r="BC41" i="3"/>
  <c r="BD41" i="3"/>
  <c r="AZ41" i="3"/>
  <c r="BC42" i="3"/>
  <c r="BD42" i="3"/>
  <c r="BA42" i="3"/>
  <c r="AZ42" i="3"/>
  <c r="BD43" i="3"/>
  <c r="BA43" i="3"/>
  <c r="BB43" i="3"/>
  <c r="AZ43" i="3"/>
  <c r="BA44" i="3"/>
  <c r="BB44" i="3"/>
  <c r="BC44" i="3"/>
  <c r="AZ44" i="3"/>
  <c r="AY41" i="3"/>
  <c r="BH41" i="3"/>
  <c r="BI41" i="3"/>
  <c r="BJ41" i="3"/>
  <c r="BF41" i="3"/>
  <c r="BI42" i="3"/>
  <c r="BJ42" i="3"/>
  <c r="BG42" i="3"/>
  <c r="BF42" i="3"/>
  <c r="BJ43" i="3"/>
  <c r="BG43" i="3"/>
  <c r="BH43" i="3"/>
  <c r="BF43" i="3"/>
  <c r="BG44" i="3"/>
  <c r="BH44" i="3"/>
  <c r="BI44" i="3"/>
  <c r="BF44" i="3"/>
  <c r="BE41" i="3"/>
  <c r="AX41" i="3"/>
  <c r="AO41" i="3"/>
  <c r="AY42" i="3"/>
  <c r="BE42" i="3"/>
  <c r="AX42" i="3"/>
  <c r="AO42" i="3"/>
  <c r="AY43" i="3"/>
  <c r="BE43" i="3"/>
  <c r="AX43" i="3"/>
  <c r="AO43" i="3"/>
  <c r="AY44" i="3"/>
  <c r="BE44" i="3"/>
  <c r="AX44" i="3"/>
  <c r="AO44" i="3"/>
  <c r="AE41" i="3"/>
  <c r="BO41" i="3"/>
  <c r="BP41" i="3"/>
  <c r="AE42" i="3"/>
  <c r="BO42" i="3"/>
  <c r="BP42" i="3"/>
  <c r="X41" i="3"/>
  <c r="AE43" i="3"/>
  <c r="BO43" i="3"/>
  <c r="BP43" i="3"/>
  <c r="X42" i="3"/>
  <c r="AE44" i="3"/>
  <c r="BO44" i="3"/>
  <c r="BP44" i="3"/>
  <c r="X43" i="3"/>
  <c r="X44" i="3"/>
  <c r="AH48" i="3"/>
  <c r="AH49" i="3"/>
  <c r="AH50" i="3"/>
  <c r="AH51" i="3"/>
  <c r="AI48" i="3" a="1"/>
  <c r="AI48" i="3"/>
  <c r="AJ48" i="3" a="1"/>
  <c r="AJ48" i="3"/>
  <c r="AK48" i="3" a="1"/>
  <c r="AK48" i="3"/>
  <c r="AG48" i="3"/>
  <c r="AL48" i="3" a="1"/>
  <c r="AL48" i="3"/>
  <c r="AM48" i="3" a="1"/>
  <c r="AM48" i="3"/>
  <c r="AN48" i="3"/>
  <c r="AI49" i="3" a="1"/>
  <c r="AI49" i="3"/>
  <c r="AJ49" i="3" a="1"/>
  <c r="AJ49" i="3"/>
  <c r="AK49" i="3" a="1"/>
  <c r="AK49" i="3"/>
  <c r="AG49" i="3"/>
  <c r="AL49" i="3" a="1"/>
  <c r="AL49" i="3"/>
  <c r="AM49" i="3" a="1"/>
  <c r="AM49" i="3"/>
  <c r="AN49" i="3"/>
  <c r="AI50" i="3" a="1"/>
  <c r="AI50" i="3"/>
  <c r="AJ50" i="3" a="1"/>
  <c r="AJ50" i="3"/>
  <c r="AK50" i="3" a="1"/>
  <c r="AK50" i="3"/>
  <c r="AG50" i="3"/>
  <c r="AL50" i="3" a="1"/>
  <c r="AL50" i="3"/>
  <c r="AM50" i="3" a="1"/>
  <c r="AM50" i="3"/>
  <c r="AN50" i="3"/>
  <c r="AI51" i="3" a="1"/>
  <c r="AI51" i="3"/>
  <c r="AJ51" i="3" a="1"/>
  <c r="AJ51" i="3"/>
  <c r="AK51" i="3" a="1"/>
  <c r="AK51" i="3"/>
  <c r="AG51" i="3"/>
  <c r="AL51" i="3" a="1"/>
  <c r="AL51" i="3"/>
  <c r="AM51" i="3" a="1"/>
  <c r="AM51" i="3"/>
  <c r="AN51" i="3"/>
  <c r="BB48" i="3"/>
  <c r="BC48" i="3"/>
  <c r="BD48" i="3"/>
  <c r="AZ48" i="3"/>
  <c r="BC49" i="3"/>
  <c r="BD49" i="3"/>
  <c r="BA49" i="3"/>
  <c r="AZ49" i="3"/>
  <c r="BD50" i="3"/>
  <c r="BA50" i="3"/>
  <c r="BB50" i="3"/>
  <c r="AZ50" i="3"/>
  <c r="BA51" i="3"/>
  <c r="BB51" i="3"/>
  <c r="BC51" i="3"/>
  <c r="AZ51" i="3"/>
  <c r="AY48" i="3"/>
  <c r="BH48" i="3"/>
  <c r="BI48" i="3"/>
  <c r="BJ48" i="3"/>
  <c r="BF48" i="3"/>
  <c r="BI49" i="3"/>
  <c r="BJ49" i="3"/>
  <c r="BG49" i="3"/>
  <c r="BF49" i="3"/>
  <c r="BJ50" i="3"/>
  <c r="BG50" i="3"/>
  <c r="BH50" i="3"/>
  <c r="BF50" i="3"/>
  <c r="BG51" i="3"/>
  <c r="BH51" i="3"/>
  <c r="BI51" i="3"/>
  <c r="BF51" i="3"/>
  <c r="BE48" i="3"/>
  <c r="AX48" i="3"/>
  <c r="AO48" i="3"/>
  <c r="AY49" i="3"/>
  <c r="BE49" i="3"/>
  <c r="AX49" i="3"/>
  <c r="AO49" i="3"/>
  <c r="AY50" i="3"/>
  <c r="BE50" i="3"/>
  <c r="AX50" i="3"/>
  <c r="AO50" i="3"/>
  <c r="AY51" i="3"/>
  <c r="BE51" i="3"/>
  <c r="AX51" i="3"/>
  <c r="AO51" i="3"/>
  <c r="AE48" i="3"/>
  <c r="BO48" i="3"/>
  <c r="BP48" i="3"/>
  <c r="AE49" i="3"/>
  <c r="AE50" i="3"/>
  <c r="AE51" i="3"/>
  <c r="BO49" i="3"/>
  <c r="BP49" i="3"/>
  <c r="X48" i="3"/>
  <c r="BO50" i="3"/>
  <c r="BP50" i="3"/>
  <c r="X49" i="3"/>
  <c r="BO51" i="3"/>
  <c r="BP51" i="3"/>
  <c r="X50" i="3"/>
  <c r="X51" i="3"/>
  <c r="AH55" i="3"/>
  <c r="AH56" i="3"/>
  <c r="AH57" i="3"/>
  <c r="AH58" i="3"/>
  <c r="AI55" i="3" a="1"/>
  <c r="AI55" i="3"/>
  <c r="AJ55" i="3" a="1"/>
  <c r="AJ55" i="3"/>
  <c r="AK55" i="3" a="1"/>
  <c r="AK55" i="3"/>
  <c r="AG55" i="3"/>
  <c r="AL55" i="3" a="1"/>
  <c r="AL55" i="3"/>
  <c r="AM55" i="3" a="1"/>
  <c r="AM55" i="3"/>
  <c r="AN55" i="3"/>
  <c r="AI56" i="3" a="1"/>
  <c r="AI56" i="3"/>
  <c r="AJ56" i="3" a="1"/>
  <c r="AJ56" i="3"/>
  <c r="AK56" i="3" a="1"/>
  <c r="AK56" i="3"/>
  <c r="AG56" i="3"/>
  <c r="AL56" i="3" a="1"/>
  <c r="AL56" i="3"/>
  <c r="AM56" i="3" a="1"/>
  <c r="AM56" i="3"/>
  <c r="AN56" i="3"/>
  <c r="AI57" i="3" a="1"/>
  <c r="AI57" i="3"/>
  <c r="AJ57" i="3" a="1"/>
  <c r="AJ57" i="3"/>
  <c r="AK57" i="3" a="1"/>
  <c r="AK57" i="3"/>
  <c r="AG57" i="3"/>
  <c r="AL57" i="3" a="1"/>
  <c r="AL57" i="3"/>
  <c r="AM57" i="3" a="1"/>
  <c r="AM57" i="3"/>
  <c r="AN57" i="3"/>
  <c r="AI58" i="3" a="1"/>
  <c r="AI58" i="3"/>
  <c r="AJ58" i="3" a="1"/>
  <c r="AJ58" i="3"/>
  <c r="AK58" i="3" a="1"/>
  <c r="AK58" i="3"/>
  <c r="AG58" i="3"/>
  <c r="AL58" i="3" a="1"/>
  <c r="AL58" i="3"/>
  <c r="AM58" i="3" a="1"/>
  <c r="AM58" i="3"/>
  <c r="AN58" i="3"/>
  <c r="BB55" i="3"/>
  <c r="BC55" i="3"/>
  <c r="AZ55" i="3"/>
  <c r="BC56" i="3"/>
  <c r="BD56" i="3"/>
  <c r="BA56" i="3"/>
  <c r="AZ56" i="3"/>
  <c r="BD57" i="3"/>
  <c r="BA57" i="3"/>
  <c r="BB57" i="3"/>
  <c r="AZ57" i="3"/>
  <c r="BA58" i="3"/>
  <c r="BB58" i="3"/>
  <c r="BC58" i="3"/>
  <c r="AZ58" i="3"/>
  <c r="AY55" i="3"/>
  <c r="BH55" i="3"/>
  <c r="BI55" i="3"/>
  <c r="BD55" i="3"/>
  <c r="BJ55" i="3"/>
  <c r="BF55" i="3"/>
  <c r="BI56" i="3"/>
  <c r="BJ56" i="3"/>
  <c r="BG56" i="3"/>
  <c r="BF56" i="3"/>
  <c r="BJ57" i="3"/>
  <c r="BG57" i="3"/>
  <c r="BH57" i="3"/>
  <c r="BF57" i="3"/>
  <c r="BG58" i="3"/>
  <c r="BH58" i="3"/>
  <c r="BI58" i="3"/>
  <c r="BF58" i="3"/>
  <c r="BE55" i="3"/>
  <c r="AX55" i="3"/>
  <c r="AO55" i="3"/>
  <c r="AY56" i="3"/>
  <c r="BE56" i="3"/>
  <c r="AX56" i="3"/>
  <c r="AO56" i="3"/>
  <c r="AY57" i="3"/>
  <c r="BE57" i="3"/>
  <c r="AX57" i="3"/>
  <c r="AO57" i="3"/>
  <c r="AY58" i="3"/>
  <c r="BE58" i="3"/>
  <c r="AX58" i="3"/>
  <c r="AO58" i="3"/>
  <c r="AE55" i="3"/>
  <c r="AE56" i="3"/>
  <c r="AE57" i="3"/>
  <c r="BO55" i="3"/>
  <c r="BP55" i="3"/>
  <c r="BO56" i="3"/>
  <c r="BP56" i="3"/>
  <c r="X55" i="3"/>
  <c r="AE58" i="3"/>
  <c r="BO57" i="3"/>
  <c r="BP57" i="3"/>
  <c r="X56" i="3"/>
  <c r="BO58" i="3"/>
  <c r="BP58" i="3"/>
  <c r="X57" i="3"/>
  <c r="X58" i="3"/>
  <c r="C61" i="3"/>
  <c r="B60" i="3"/>
  <c r="C60" i="3"/>
  <c r="BN48" i="3"/>
  <c r="BN49" i="3"/>
  <c r="BN50" i="3"/>
  <c r="BN51" i="3"/>
  <c r="BL48" i="3"/>
  <c r="Y48" i="3"/>
  <c r="BL49" i="3"/>
  <c r="Y49" i="3"/>
  <c r="BL50" i="3"/>
  <c r="Y50" i="3"/>
  <c r="BL51" i="3"/>
  <c r="Y51" i="3"/>
  <c r="AR48" i="3"/>
  <c r="AR49" i="3"/>
  <c r="AR50" i="3"/>
  <c r="AR51" i="3"/>
  <c r="AD48" i="3"/>
  <c r="AD49" i="3"/>
  <c r="AD50" i="3"/>
  <c r="AD51" i="3"/>
  <c r="O49" i="3"/>
  <c r="K71" i="3"/>
  <c r="BN34" i="3"/>
  <c r="BN35" i="3"/>
  <c r="BN36" i="3"/>
  <c r="BN37" i="3"/>
  <c r="BL34" i="3"/>
  <c r="Y34" i="3"/>
  <c r="Y35" i="3"/>
  <c r="Y36" i="3"/>
  <c r="Y37" i="3"/>
  <c r="AR34" i="3"/>
  <c r="BL35" i="3"/>
  <c r="AR35" i="3"/>
  <c r="BL36" i="3"/>
  <c r="AR36" i="3"/>
  <c r="BL37" i="3"/>
  <c r="AR37" i="3"/>
  <c r="AD34" i="3"/>
  <c r="AD35" i="3"/>
  <c r="AD36" i="3"/>
  <c r="AD37" i="3"/>
  <c r="O35" i="3"/>
  <c r="K70" i="3"/>
  <c r="BN55" i="3"/>
  <c r="BN56" i="3"/>
  <c r="BN57" i="3"/>
  <c r="BN58" i="3"/>
  <c r="BL55" i="3"/>
  <c r="Y55" i="3"/>
  <c r="BL56" i="3"/>
  <c r="Y56" i="3"/>
  <c r="BL57" i="3"/>
  <c r="Y57" i="3"/>
  <c r="BL58" i="3"/>
  <c r="Y58" i="3"/>
  <c r="AR55" i="3"/>
  <c r="AR56" i="3"/>
  <c r="AR57" i="3"/>
  <c r="AR58" i="3"/>
  <c r="AD55" i="3"/>
  <c r="AD56" i="3"/>
  <c r="AD57" i="3"/>
  <c r="AD58" i="3"/>
  <c r="O56" i="3"/>
  <c r="K69" i="3"/>
  <c r="BN41" i="3"/>
  <c r="BN42" i="3"/>
  <c r="BN43" i="3"/>
  <c r="BN44" i="3"/>
  <c r="BL41" i="3"/>
  <c r="Y41" i="3"/>
  <c r="Y42" i="3"/>
  <c r="Y43" i="3"/>
  <c r="Y44" i="3"/>
  <c r="AR41" i="3"/>
  <c r="BL42" i="3"/>
  <c r="AR42" i="3"/>
  <c r="BL43" i="3"/>
  <c r="AR43" i="3"/>
  <c r="BL44" i="3"/>
  <c r="AR44" i="3"/>
  <c r="AD41" i="3"/>
  <c r="AD42" i="3"/>
  <c r="AD43" i="3"/>
  <c r="AD44" i="3"/>
  <c r="O42" i="3"/>
  <c r="K68" i="3"/>
  <c r="BN20" i="3"/>
  <c r="BN21" i="3"/>
  <c r="BN22" i="3"/>
  <c r="BN23" i="3"/>
  <c r="BL20" i="3"/>
  <c r="Y20" i="3"/>
  <c r="Y21" i="3"/>
  <c r="Y22" i="3"/>
  <c r="Y23" i="3"/>
  <c r="AR20" i="3"/>
  <c r="BL21" i="3"/>
  <c r="AR21" i="3"/>
  <c r="BL22" i="3"/>
  <c r="AR22" i="3"/>
  <c r="BL23" i="3"/>
  <c r="AR23" i="3"/>
  <c r="AD20" i="3"/>
  <c r="AD21" i="3"/>
  <c r="AD22" i="3"/>
  <c r="AD23" i="3"/>
  <c r="O21" i="3"/>
  <c r="K67" i="3"/>
  <c r="BN27" i="3"/>
  <c r="BN28" i="3"/>
  <c r="BN29" i="3"/>
  <c r="BN30" i="3"/>
  <c r="BL27" i="3"/>
  <c r="Y27" i="3"/>
  <c r="BL28" i="3"/>
  <c r="BL29" i="3"/>
  <c r="Y28" i="3"/>
  <c r="BL30" i="3"/>
  <c r="Y29" i="3"/>
  <c r="Y30" i="3"/>
  <c r="AR27" i="3"/>
  <c r="AR28" i="3"/>
  <c r="AR29" i="3"/>
  <c r="AR30" i="3"/>
  <c r="AD27" i="3"/>
  <c r="AD28" i="3"/>
  <c r="AD29" i="3"/>
  <c r="AD30" i="3"/>
  <c r="O28" i="3"/>
  <c r="K65" i="3"/>
  <c r="BN13" i="3"/>
  <c r="BN14" i="3"/>
  <c r="BN15" i="3"/>
  <c r="BN16" i="3"/>
  <c r="BL13" i="3"/>
  <c r="Y13" i="3"/>
  <c r="BL14" i="3"/>
  <c r="BL15" i="3"/>
  <c r="Y14" i="3"/>
  <c r="BL16" i="3"/>
  <c r="Y15" i="3"/>
  <c r="Y16" i="3"/>
  <c r="AR13" i="3"/>
  <c r="AR14" i="3"/>
  <c r="AR15" i="3"/>
  <c r="AR16" i="3"/>
  <c r="AD13" i="3"/>
  <c r="AD14" i="3"/>
  <c r="AD15" i="3"/>
  <c r="AD16" i="3"/>
  <c r="O14" i="3"/>
  <c r="K64" i="3"/>
  <c r="O55" i="3"/>
  <c r="F71" i="3"/>
  <c r="O41" i="3"/>
  <c r="F70" i="3"/>
  <c r="O48" i="3"/>
  <c r="F69" i="3"/>
  <c r="O34" i="3"/>
  <c r="F68" i="3"/>
  <c r="O27" i="3"/>
  <c r="F67" i="3"/>
  <c r="O13" i="3"/>
  <c r="F66" i="3"/>
  <c r="O20" i="3"/>
  <c r="F65" i="3"/>
  <c r="BN6" i="3"/>
  <c r="BN7" i="3"/>
  <c r="BN8" i="3"/>
  <c r="BN9" i="3"/>
  <c r="BL6" i="3"/>
  <c r="Y6" i="3"/>
  <c r="BL7" i="3"/>
  <c r="BL8" i="3"/>
  <c r="Y7" i="3"/>
  <c r="BL9" i="3"/>
  <c r="Y8" i="3"/>
  <c r="Y9" i="3"/>
  <c r="AR6" i="3"/>
  <c r="AR7" i="3"/>
  <c r="AR8" i="3"/>
  <c r="AR9" i="3"/>
  <c r="AD6" i="3"/>
  <c r="AD7" i="3"/>
  <c r="AD8" i="3"/>
  <c r="AD9" i="3"/>
  <c r="O7" i="3"/>
  <c r="K66" i="3"/>
  <c r="O6" i="3"/>
  <c r="F64" i="3"/>
  <c r="X5" i="3"/>
  <c r="X54" i="3"/>
  <c r="X47" i="3"/>
  <c r="X40" i="3"/>
  <c r="X33" i="3"/>
  <c r="X26" i="3"/>
  <c r="X12" i="3"/>
  <c r="X19" i="3"/>
  <c r="Q6" i="3"/>
  <c r="Q7" i="3"/>
  <c r="O8" i="3"/>
  <c r="Q8" i="3"/>
  <c r="O9" i="3"/>
  <c r="Q9" i="3"/>
  <c r="C56" i="8"/>
  <c r="BS58" i="3"/>
  <c r="BT58" i="3"/>
  <c r="BS56" i="3"/>
  <c r="BT56" i="3"/>
  <c r="BS57" i="3"/>
  <c r="BT57" i="3"/>
  <c r="CN58" i="3" a="1"/>
  <c r="CN58" i="3"/>
  <c r="BS55" i="3"/>
  <c r="BT55" i="3"/>
  <c r="BU58" i="3"/>
  <c r="BU56" i="3"/>
  <c r="BU57" i="3"/>
  <c r="CL58" i="3" a="1"/>
  <c r="CL58" i="3"/>
  <c r="BU55" i="3"/>
  <c r="CK58" i="3" a="1"/>
  <c r="CK58" i="3"/>
  <c r="CH58" i="3" a="1"/>
  <c r="CH58" i="3"/>
  <c r="CG58" i="3" a="1"/>
  <c r="CG58" i="3"/>
  <c r="CF58" i="3" a="1"/>
  <c r="CF58" i="3"/>
  <c r="CE58" i="3" a="1"/>
  <c r="CE58" i="3"/>
  <c r="CD58" i="3" a="1"/>
  <c r="CD58" i="3"/>
  <c r="CC58" i="3" a="1"/>
  <c r="CC58" i="3"/>
  <c r="CB58" i="3" a="1"/>
  <c r="CB58" i="3"/>
  <c r="CP57" i="3" a="1"/>
  <c r="CP57" i="3"/>
  <c r="CO57" i="3" a="1"/>
  <c r="CO57" i="3"/>
  <c r="CN57" i="3" a="1"/>
  <c r="CN57" i="3"/>
  <c r="CM57" i="3" a="1"/>
  <c r="CM57" i="3"/>
  <c r="CL57" i="3" a="1"/>
  <c r="CL57" i="3"/>
  <c r="CK57" i="3" a="1"/>
  <c r="CK57" i="3"/>
  <c r="CH57" i="3" a="1"/>
  <c r="CH57" i="3"/>
  <c r="CG57" i="3" a="1"/>
  <c r="CG57" i="3"/>
  <c r="CF57" i="3" a="1"/>
  <c r="CF57" i="3"/>
  <c r="CE57" i="3" a="1"/>
  <c r="CE57" i="3"/>
  <c r="CD57" i="3" a="1"/>
  <c r="CD57" i="3"/>
  <c r="CC57" i="3" a="1"/>
  <c r="CC57" i="3"/>
  <c r="CB57" i="3" a="1"/>
  <c r="CB57" i="3"/>
  <c r="CP56" i="3" a="1"/>
  <c r="CP56" i="3"/>
  <c r="CO56" i="3" a="1"/>
  <c r="CO56" i="3"/>
  <c r="CN56" i="3" a="1"/>
  <c r="CN56" i="3"/>
  <c r="CM56" i="3" a="1"/>
  <c r="CM56" i="3"/>
  <c r="CL56" i="3" a="1"/>
  <c r="CL56" i="3"/>
  <c r="CK56" i="3" a="1"/>
  <c r="CK56" i="3"/>
  <c r="CF56" i="3" a="1"/>
  <c r="CF56" i="3"/>
  <c r="CE56" i="3" a="1"/>
  <c r="CE56" i="3"/>
  <c r="CD56" i="3" a="1"/>
  <c r="CD56" i="3"/>
  <c r="CC56" i="3" a="1"/>
  <c r="CC56" i="3"/>
  <c r="CB56" i="3" a="1"/>
  <c r="CB56" i="3"/>
  <c r="CP55" i="3" a="1"/>
  <c r="CP55" i="3"/>
  <c r="CO55" i="3" a="1"/>
  <c r="CO55" i="3"/>
  <c r="CN55" i="3" a="1"/>
  <c r="CN55" i="3"/>
  <c r="CK55" i="3" a="1"/>
  <c r="CK55" i="3"/>
  <c r="CH55" i="3" a="1"/>
  <c r="CH55" i="3"/>
  <c r="CG55" i="3" a="1"/>
  <c r="CG55" i="3"/>
  <c r="CF55" i="3" a="1"/>
  <c r="CF55" i="3"/>
  <c r="CE55" i="3" a="1"/>
  <c r="CE55" i="3"/>
  <c r="CD55" i="3" a="1"/>
  <c r="CD55" i="3"/>
  <c r="CC55" i="3" a="1"/>
  <c r="CC55" i="3"/>
  <c r="CB55" i="3" a="1"/>
  <c r="CB55" i="3"/>
  <c r="CH56" i="3" a="1"/>
  <c r="CH56" i="3"/>
  <c r="CG56" i="3" a="1"/>
  <c r="CG56" i="3"/>
  <c r="CM55" i="3" a="1"/>
  <c r="CM55" i="3"/>
  <c r="CL55" i="3" a="1"/>
  <c r="CL55" i="3"/>
  <c r="CX53" i="3"/>
  <c r="CW53" i="3"/>
  <c r="CN53" i="3"/>
  <c r="CL53" i="3"/>
  <c r="CK53" i="3"/>
  <c r="CH53" i="3"/>
  <c r="CG53" i="3"/>
  <c r="CF53" i="3"/>
  <c r="CE53" i="3"/>
  <c r="CD53" i="3"/>
  <c r="CC53" i="3"/>
  <c r="CB53" i="3"/>
  <c r="BS51" i="3"/>
  <c r="BT51" i="3"/>
  <c r="BS49" i="3"/>
  <c r="BT49" i="3"/>
  <c r="BS50" i="3"/>
  <c r="BT50" i="3"/>
  <c r="CN51" i="3" a="1"/>
  <c r="CN51" i="3"/>
  <c r="BS48" i="3"/>
  <c r="BT48" i="3"/>
  <c r="BU51" i="3"/>
  <c r="BU49" i="3"/>
  <c r="BU50" i="3"/>
  <c r="CL51" i="3" a="1"/>
  <c r="CL51" i="3"/>
  <c r="BU48" i="3"/>
  <c r="CK51" i="3" a="1"/>
  <c r="CK51" i="3"/>
  <c r="CH51" i="3" a="1"/>
  <c r="CH51" i="3"/>
  <c r="CG51" i="3" a="1"/>
  <c r="CG51" i="3"/>
  <c r="CF51" i="3" a="1"/>
  <c r="CF51" i="3"/>
  <c r="CE51" i="3" a="1"/>
  <c r="CE51" i="3"/>
  <c r="CD51" i="3" a="1"/>
  <c r="CD51" i="3"/>
  <c r="CC51" i="3" a="1"/>
  <c r="CC51" i="3"/>
  <c r="CB51" i="3" a="1"/>
  <c r="CB51" i="3"/>
  <c r="CP50" i="3" a="1"/>
  <c r="CP50" i="3"/>
  <c r="CO50" i="3" a="1"/>
  <c r="CO50" i="3"/>
  <c r="CN50" i="3" a="1"/>
  <c r="CN50" i="3"/>
  <c r="CM50" i="3" a="1"/>
  <c r="CM50" i="3"/>
  <c r="CL50" i="3" a="1"/>
  <c r="CL50" i="3"/>
  <c r="CK50" i="3" a="1"/>
  <c r="CK50" i="3"/>
  <c r="CH50" i="3" a="1"/>
  <c r="CH50" i="3"/>
  <c r="CG50" i="3" a="1"/>
  <c r="CG50" i="3"/>
  <c r="CF50" i="3" a="1"/>
  <c r="CF50" i="3"/>
  <c r="CE50" i="3" a="1"/>
  <c r="CE50" i="3"/>
  <c r="CD50" i="3" a="1"/>
  <c r="CD50" i="3"/>
  <c r="CC50" i="3" a="1"/>
  <c r="CC50" i="3"/>
  <c r="CB50" i="3" a="1"/>
  <c r="CB50" i="3"/>
  <c r="CP49" i="3" a="1"/>
  <c r="CP49" i="3"/>
  <c r="CO49" i="3" a="1"/>
  <c r="CO49" i="3"/>
  <c r="CN49" i="3" a="1"/>
  <c r="CN49" i="3"/>
  <c r="CM49" i="3" a="1"/>
  <c r="CM49" i="3"/>
  <c r="CL49" i="3" a="1"/>
  <c r="CL49" i="3"/>
  <c r="CK49" i="3" a="1"/>
  <c r="CK49" i="3"/>
  <c r="CF49" i="3" a="1"/>
  <c r="CF49" i="3"/>
  <c r="CE49" i="3" a="1"/>
  <c r="CE49" i="3"/>
  <c r="CD49" i="3" a="1"/>
  <c r="CD49" i="3"/>
  <c r="CC49" i="3" a="1"/>
  <c r="CC49" i="3"/>
  <c r="CB49" i="3" a="1"/>
  <c r="CB49" i="3"/>
  <c r="CP48" i="3" a="1"/>
  <c r="CP48" i="3"/>
  <c r="CO48" i="3" a="1"/>
  <c r="CO48" i="3"/>
  <c r="CN48" i="3" a="1"/>
  <c r="CN48" i="3"/>
  <c r="CK48" i="3" a="1"/>
  <c r="CK48" i="3"/>
  <c r="CH48" i="3" a="1"/>
  <c r="CH48" i="3"/>
  <c r="CG48" i="3" a="1"/>
  <c r="CG48" i="3"/>
  <c r="CF48" i="3" a="1"/>
  <c r="CF48" i="3"/>
  <c r="CE48" i="3" a="1"/>
  <c r="CE48" i="3"/>
  <c r="CD48" i="3" a="1"/>
  <c r="CD48" i="3"/>
  <c r="CC48" i="3" a="1"/>
  <c r="CC48" i="3"/>
  <c r="CB48" i="3" a="1"/>
  <c r="CB48" i="3"/>
  <c r="CH49" i="3" a="1"/>
  <c r="CH49" i="3"/>
  <c r="CG49" i="3" a="1"/>
  <c r="CG49" i="3"/>
  <c r="CM48" i="3" a="1"/>
  <c r="CM48" i="3"/>
  <c r="CL48" i="3" a="1"/>
  <c r="CL48" i="3"/>
  <c r="CX46" i="3"/>
  <c r="CW46" i="3"/>
  <c r="CN46" i="3"/>
  <c r="CL46" i="3"/>
  <c r="CK46" i="3"/>
  <c r="CH46" i="3"/>
  <c r="CG46" i="3"/>
  <c r="CF46" i="3"/>
  <c r="CE46" i="3"/>
  <c r="CD46" i="3"/>
  <c r="CC46" i="3"/>
  <c r="CB46" i="3"/>
  <c r="BS44" i="3"/>
  <c r="BT44" i="3"/>
  <c r="BS42" i="3"/>
  <c r="BT42" i="3"/>
  <c r="BS43" i="3"/>
  <c r="BT43" i="3"/>
  <c r="CN44" i="3" a="1"/>
  <c r="CN44" i="3"/>
  <c r="BS41" i="3"/>
  <c r="BT41" i="3"/>
  <c r="BU44" i="3"/>
  <c r="BU42" i="3"/>
  <c r="BU43" i="3"/>
  <c r="CL44" i="3" a="1"/>
  <c r="CL44" i="3"/>
  <c r="BU41" i="3"/>
  <c r="CK44" i="3" a="1"/>
  <c r="CK44" i="3"/>
  <c r="CH44" i="3" a="1"/>
  <c r="CH44" i="3"/>
  <c r="CG44" i="3" a="1"/>
  <c r="CG44" i="3"/>
  <c r="CF44" i="3" a="1"/>
  <c r="CF44" i="3"/>
  <c r="CE44" i="3" a="1"/>
  <c r="CE44" i="3"/>
  <c r="CD44" i="3" a="1"/>
  <c r="CD44" i="3"/>
  <c r="CC44" i="3" a="1"/>
  <c r="CC44" i="3"/>
  <c r="CB44" i="3" a="1"/>
  <c r="CB44" i="3"/>
  <c r="CP43" i="3" a="1"/>
  <c r="CP43" i="3"/>
  <c r="CO43" i="3" a="1"/>
  <c r="CO43" i="3"/>
  <c r="CN43" i="3" a="1"/>
  <c r="CN43" i="3"/>
  <c r="CM43" i="3" a="1"/>
  <c r="CM43" i="3"/>
  <c r="CL43" i="3" a="1"/>
  <c r="CL43" i="3"/>
  <c r="CK43" i="3" a="1"/>
  <c r="CK43" i="3"/>
  <c r="CH43" i="3" a="1"/>
  <c r="CH43" i="3"/>
  <c r="CG43" i="3" a="1"/>
  <c r="CG43" i="3"/>
  <c r="CF43" i="3" a="1"/>
  <c r="CF43" i="3"/>
  <c r="CE43" i="3" a="1"/>
  <c r="CE43" i="3"/>
  <c r="CD43" i="3" a="1"/>
  <c r="CD43" i="3"/>
  <c r="CC43" i="3" a="1"/>
  <c r="CC43" i="3"/>
  <c r="CB43" i="3" a="1"/>
  <c r="CB43" i="3"/>
  <c r="CP42" i="3" a="1"/>
  <c r="CP42" i="3"/>
  <c r="CO42" i="3" a="1"/>
  <c r="CO42" i="3"/>
  <c r="CN42" i="3" a="1"/>
  <c r="CN42" i="3"/>
  <c r="CM42" i="3" a="1"/>
  <c r="CM42" i="3"/>
  <c r="CL42" i="3" a="1"/>
  <c r="CL42" i="3"/>
  <c r="CK42" i="3" a="1"/>
  <c r="CK42" i="3"/>
  <c r="CF42" i="3" a="1"/>
  <c r="CF42" i="3"/>
  <c r="CE42" i="3" a="1"/>
  <c r="CE42" i="3"/>
  <c r="CD42" i="3" a="1"/>
  <c r="CD42" i="3"/>
  <c r="CC42" i="3" a="1"/>
  <c r="CC42" i="3"/>
  <c r="CB42" i="3" a="1"/>
  <c r="CB42" i="3"/>
  <c r="CP41" i="3" a="1"/>
  <c r="CP41" i="3"/>
  <c r="CO41" i="3" a="1"/>
  <c r="CO41" i="3"/>
  <c r="CN41" i="3" a="1"/>
  <c r="CN41" i="3"/>
  <c r="CK41" i="3" a="1"/>
  <c r="CK41" i="3"/>
  <c r="CH41" i="3" a="1"/>
  <c r="CH41" i="3"/>
  <c r="CG41" i="3" a="1"/>
  <c r="CG41" i="3"/>
  <c r="CF41" i="3" a="1"/>
  <c r="CF41" i="3"/>
  <c r="CE41" i="3" a="1"/>
  <c r="CE41" i="3"/>
  <c r="CD41" i="3" a="1"/>
  <c r="CD41" i="3"/>
  <c r="CC41" i="3" a="1"/>
  <c r="CC41" i="3"/>
  <c r="CB41" i="3" a="1"/>
  <c r="CB41" i="3"/>
  <c r="CH42" i="3" a="1"/>
  <c r="CH42" i="3"/>
  <c r="CG42" i="3" a="1"/>
  <c r="CG42" i="3"/>
  <c r="CM41" i="3" a="1"/>
  <c r="CM41" i="3"/>
  <c r="CL41" i="3" a="1"/>
  <c r="CL41" i="3"/>
  <c r="CX39" i="3"/>
  <c r="CW39" i="3"/>
  <c r="CN39" i="3"/>
  <c r="CL39" i="3"/>
  <c r="CK39" i="3"/>
  <c r="CH39" i="3"/>
  <c r="CG39" i="3"/>
  <c r="CF39" i="3"/>
  <c r="CE39" i="3"/>
  <c r="CD39" i="3"/>
  <c r="CC39" i="3"/>
  <c r="CB39" i="3"/>
  <c r="BS37" i="3"/>
  <c r="BT37" i="3"/>
  <c r="BS35" i="3"/>
  <c r="BT35" i="3"/>
  <c r="BS36" i="3"/>
  <c r="BT36" i="3"/>
  <c r="CN37" i="3" a="1"/>
  <c r="CN37" i="3"/>
  <c r="BS34" i="3"/>
  <c r="BT34" i="3"/>
  <c r="BU37" i="3"/>
  <c r="BU35" i="3"/>
  <c r="BU36" i="3"/>
  <c r="CL37" i="3" a="1"/>
  <c r="CL37" i="3"/>
  <c r="BU34" i="3"/>
  <c r="CK37" i="3" a="1"/>
  <c r="CK37" i="3"/>
  <c r="CH37" i="3" a="1"/>
  <c r="CH37" i="3"/>
  <c r="CG37" i="3" a="1"/>
  <c r="CG37" i="3"/>
  <c r="CF37" i="3" a="1"/>
  <c r="CF37" i="3"/>
  <c r="CE37" i="3" a="1"/>
  <c r="CE37" i="3"/>
  <c r="CD37" i="3" a="1"/>
  <c r="CD37" i="3"/>
  <c r="CC37" i="3" a="1"/>
  <c r="CC37" i="3"/>
  <c r="CB37" i="3" a="1"/>
  <c r="CB37" i="3"/>
  <c r="CP36" i="3" a="1"/>
  <c r="CP36" i="3"/>
  <c r="CO36" i="3" a="1"/>
  <c r="CO36" i="3"/>
  <c r="CN36" i="3" a="1"/>
  <c r="CN36" i="3"/>
  <c r="CM36" i="3" a="1"/>
  <c r="CM36" i="3"/>
  <c r="CL36" i="3" a="1"/>
  <c r="CL36" i="3"/>
  <c r="CK36" i="3" a="1"/>
  <c r="CK36" i="3"/>
  <c r="CH36" i="3" a="1"/>
  <c r="CH36" i="3"/>
  <c r="CG36" i="3" a="1"/>
  <c r="CG36" i="3"/>
  <c r="CF36" i="3" a="1"/>
  <c r="CF36" i="3"/>
  <c r="CE36" i="3" a="1"/>
  <c r="CE36" i="3"/>
  <c r="CD36" i="3" a="1"/>
  <c r="CD36" i="3"/>
  <c r="CC36" i="3" a="1"/>
  <c r="CC36" i="3"/>
  <c r="CB36" i="3" a="1"/>
  <c r="CB36" i="3"/>
  <c r="CP35" i="3" a="1"/>
  <c r="CP35" i="3"/>
  <c r="CO35" i="3" a="1"/>
  <c r="CO35" i="3"/>
  <c r="CN35" i="3" a="1"/>
  <c r="CN35" i="3"/>
  <c r="CM35" i="3" a="1"/>
  <c r="CM35" i="3"/>
  <c r="CL35" i="3" a="1"/>
  <c r="CL35" i="3"/>
  <c r="CK35" i="3" a="1"/>
  <c r="CK35" i="3"/>
  <c r="CF35" i="3" a="1"/>
  <c r="CF35" i="3"/>
  <c r="CE35" i="3" a="1"/>
  <c r="CE35" i="3"/>
  <c r="CD35" i="3" a="1"/>
  <c r="CD35" i="3"/>
  <c r="CC35" i="3" a="1"/>
  <c r="CC35" i="3"/>
  <c r="CB35" i="3" a="1"/>
  <c r="CB35" i="3"/>
  <c r="CP34" i="3" a="1"/>
  <c r="CP34" i="3"/>
  <c r="CO34" i="3" a="1"/>
  <c r="CO34" i="3"/>
  <c r="CN34" i="3" a="1"/>
  <c r="CN34" i="3"/>
  <c r="CK34" i="3" a="1"/>
  <c r="CK34" i="3"/>
  <c r="CH34" i="3" a="1"/>
  <c r="CH34" i="3"/>
  <c r="CG34" i="3" a="1"/>
  <c r="CG34" i="3"/>
  <c r="CF34" i="3" a="1"/>
  <c r="CF34" i="3"/>
  <c r="CE34" i="3" a="1"/>
  <c r="CE34" i="3"/>
  <c r="CD34" i="3" a="1"/>
  <c r="CD34" i="3"/>
  <c r="CC34" i="3" a="1"/>
  <c r="CC34" i="3"/>
  <c r="CB34" i="3" a="1"/>
  <c r="CB34" i="3"/>
  <c r="CH35" i="3" a="1"/>
  <c r="CH35" i="3"/>
  <c r="CG35" i="3" a="1"/>
  <c r="CG35" i="3"/>
  <c r="CM34" i="3" a="1"/>
  <c r="CM34" i="3"/>
  <c r="CL34" i="3" a="1"/>
  <c r="CL34" i="3"/>
  <c r="CX32" i="3"/>
  <c r="CW32" i="3"/>
  <c r="CN32" i="3"/>
  <c r="CL32" i="3"/>
  <c r="CK32" i="3"/>
  <c r="CH32" i="3"/>
  <c r="CG32" i="3"/>
  <c r="CF32" i="3"/>
  <c r="CE32" i="3"/>
  <c r="CD32" i="3"/>
  <c r="CC32" i="3"/>
  <c r="CB32" i="3"/>
  <c r="BS30" i="3"/>
  <c r="BT30" i="3"/>
  <c r="BS28" i="3"/>
  <c r="BT28" i="3"/>
  <c r="BS29" i="3"/>
  <c r="BT29" i="3"/>
  <c r="CN30" i="3" a="1"/>
  <c r="CN30" i="3"/>
  <c r="BS27" i="3"/>
  <c r="BT27" i="3"/>
  <c r="BU30" i="3"/>
  <c r="BU28" i="3"/>
  <c r="BU29" i="3"/>
  <c r="CL30" i="3" a="1"/>
  <c r="CL30" i="3"/>
  <c r="BU27" i="3"/>
  <c r="CK30" i="3" a="1"/>
  <c r="CK30" i="3"/>
  <c r="CH30" i="3" a="1"/>
  <c r="CH30" i="3"/>
  <c r="CG30" i="3" a="1"/>
  <c r="CG30" i="3"/>
  <c r="CF30" i="3" a="1"/>
  <c r="CF30" i="3"/>
  <c r="CE30" i="3" a="1"/>
  <c r="CE30" i="3"/>
  <c r="CD30" i="3" a="1"/>
  <c r="CD30" i="3"/>
  <c r="CC30" i="3" a="1"/>
  <c r="CC30" i="3"/>
  <c r="CB30" i="3" a="1"/>
  <c r="CB30" i="3"/>
  <c r="CP29" i="3" a="1"/>
  <c r="CP29" i="3"/>
  <c r="CO29" i="3" a="1"/>
  <c r="CO29" i="3"/>
  <c r="CN29" i="3" a="1"/>
  <c r="CN29" i="3"/>
  <c r="CM29" i="3" a="1"/>
  <c r="CM29" i="3"/>
  <c r="CL29" i="3" a="1"/>
  <c r="CL29" i="3"/>
  <c r="CK29" i="3" a="1"/>
  <c r="CK29" i="3"/>
  <c r="CH29" i="3" a="1"/>
  <c r="CH29" i="3"/>
  <c r="CG29" i="3" a="1"/>
  <c r="CG29" i="3"/>
  <c r="CF29" i="3" a="1"/>
  <c r="CF29" i="3"/>
  <c r="CE29" i="3" a="1"/>
  <c r="CE29" i="3"/>
  <c r="CD29" i="3" a="1"/>
  <c r="CD29" i="3"/>
  <c r="CC29" i="3" a="1"/>
  <c r="CC29" i="3"/>
  <c r="CB29" i="3" a="1"/>
  <c r="CB29" i="3"/>
  <c r="CP28" i="3" a="1"/>
  <c r="CP28" i="3"/>
  <c r="CO28" i="3" a="1"/>
  <c r="CO28" i="3"/>
  <c r="CN28" i="3" a="1"/>
  <c r="CN28" i="3"/>
  <c r="CM28" i="3" a="1"/>
  <c r="CM28" i="3"/>
  <c r="CL28" i="3" a="1"/>
  <c r="CL28" i="3"/>
  <c r="CK28" i="3" a="1"/>
  <c r="CK28" i="3"/>
  <c r="CF28" i="3" a="1"/>
  <c r="CF28" i="3"/>
  <c r="CE28" i="3" a="1"/>
  <c r="CE28" i="3"/>
  <c r="CD28" i="3" a="1"/>
  <c r="CD28" i="3"/>
  <c r="CC28" i="3" a="1"/>
  <c r="CC28" i="3"/>
  <c r="CB28" i="3" a="1"/>
  <c r="CB28" i="3"/>
  <c r="CP27" i="3" a="1"/>
  <c r="CP27" i="3"/>
  <c r="CO27" i="3" a="1"/>
  <c r="CO27" i="3"/>
  <c r="CN27" i="3" a="1"/>
  <c r="CN27" i="3"/>
  <c r="CK27" i="3" a="1"/>
  <c r="CK27" i="3"/>
  <c r="CH27" i="3" a="1"/>
  <c r="CH27" i="3"/>
  <c r="CG27" i="3" a="1"/>
  <c r="CG27" i="3"/>
  <c r="CF27" i="3" a="1"/>
  <c r="CF27" i="3"/>
  <c r="CE27" i="3" a="1"/>
  <c r="CE27" i="3"/>
  <c r="CD27" i="3" a="1"/>
  <c r="CD27" i="3"/>
  <c r="CC27" i="3" a="1"/>
  <c r="CC27" i="3"/>
  <c r="CB27" i="3" a="1"/>
  <c r="CB27" i="3"/>
  <c r="CH28" i="3" a="1"/>
  <c r="CH28" i="3"/>
  <c r="CG28" i="3" a="1"/>
  <c r="CG28" i="3"/>
  <c r="CM27" i="3" a="1"/>
  <c r="CM27" i="3"/>
  <c r="CL27" i="3" a="1"/>
  <c r="CL27" i="3"/>
  <c r="CX25" i="3"/>
  <c r="CW25" i="3"/>
  <c r="CN25" i="3"/>
  <c r="CL25" i="3"/>
  <c r="CK25" i="3"/>
  <c r="CH25" i="3"/>
  <c r="CG25" i="3"/>
  <c r="CF25" i="3"/>
  <c r="CE25" i="3"/>
  <c r="CD25" i="3"/>
  <c r="CC25" i="3"/>
  <c r="CB25" i="3"/>
  <c r="BS23" i="3"/>
  <c r="BT23" i="3"/>
  <c r="BU23" i="3"/>
  <c r="BW23" i="3"/>
  <c r="BS21" i="3"/>
  <c r="BT21" i="3"/>
  <c r="BS22" i="3"/>
  <c r="BT22" i="3"/>
  <c r="CN23" i="3" a="1"/>
  <c r="CN23" i="3"/>
  <c r="BS20" i="3"/>
  <c r="BT20" i="3"/>
  <c r="BU21" i="3"/>
  <c r="BU22" i="3"/>
  <c r="CL23" i="3" a="1"/>
  <c r="CL23" i="3"/>
  <c r="BU20" i="3"/>
  <c r="CK23" i="3" a="1"/>
  <c r="CK23" i="3"/>
  <c r="CH23" i="3" a="1"/>
  <c r="CH23" i="3"/>
  <c r="CG23" i="3" a="1"/>
  <c r="CG23" i="3"/>
  <c r="CF23" i="3" a="1"/>
  <c r="CF23" i="3"/>
  <c r="CE23" i="3" a="1"/>
  <c r="CE23" i="3"/>
  <c r="CD23" i="3" a="1"/>
  <c r="CD23" i="3"/>
  <c r="CC23" i="3" a="1"/>
  <c r="CC23" i="3"/>
  <c r="CB23" i="3" a="1"/>
  <c r="CB23" i="3"/>
  <c r="CP22" i="3" a="1"/>
  <c r="CP22" i="3"/>
  <c r="CO22" i="3" a="1"/>
  <c r="CO22" i="3"/>
  <c r="CN22" i="3" a="1"/>
  <c r="CN22" i="3"/>
  <c r="CM22" i="3" a="1"/>
  <c r="CM22" i="3"/>
  <c r="CL22" i="3" a="1"/>
  <c r="CL22" i="3"/>
  <c r="CK22" i="3" a="1"/>
  <c r="CK22" i="3"/>
  <c r="CH22" i="3" a="1"/>
  <c r="CH22" i="3"/>
  <c r="CG22" i="3" a="1"/>
  <c r="CG22" i="3"/>
  <c r="CF22" i="3" a="1"/>
  <c r="CF22" i="3"/>
  <c r="CE22" i="3" a="1"/>
  <c r="CE22" i="3"/>
  <c r="CD22" i="3" a="1"/>
  <c r="CD22" i="3"/>
  <c r="CC22" i="3" a="1"/>
  <c r="CC22" i="3"/>
  <c r="CB22" i="3" a="1"/>
  <c r="CB22" i="3"/>
  <c r="CP21" i="3" a="1"/>
  <c r="CP21" i="3"/>
  <c r="CO21" i="3" a="1"/>
  <c r="CO21" i="3"/>
  <c r="CN21" i="3" a="1"/>
  <c r="CN21" i="3"/>
  <c r="CM21" i="3" a="1"/>
  <c r="CM21" i="3"/>
  <c r="CL21" i="3" a="1"/>
  <c r="CL21" i="3"/>
  <c r="CK21" i="3" a="1"/>
  <c r="CK21" i="3"/>
  <c r="CF21" i="3" a="1"/>
  <c r="CF21" i="3"/>
  <c r="CE21" i="3" a="1"/>
  <c r="CE21" i="3"/>
  <c r="CD21" i="3" a="1"/>
  <c r="CD21" i="3"/>
  <c r="CC21" i="3" a="1"/>
  <c r="CC21" i="3"/>
  <c r="CB21" i="3" a="1"/>
  <c r="CB21" i="3"/>
  <c r="CP20" i="3" a="1"/>
  <c r="CP20" i="3"/>
  <c r="CO20" i="3" a="1"/>
  <c r="CO20" i="3"/>
  <c r="CN20" i="3" a="1"/>
  <c r="CN20" i="3"/>
  <c r="CK20" i="3" a="1"/>
  <c r="CK20" i="3"/>
  <c r="CH20" i="3" a="1"/>
  <c r="CH20" i="3"/>
  <c r="CG20" i="3" a="1"/>
  <c r="CG20" i="3"/>
  <c r="CF20" i="3" a="1"/>
  <c r="CF20" i="3"/>
  <c r="CE20" i="3" a="1"/>
  <c r="CE20" i="3"/>
  <c r="CD20" i="3" a="1"/>
  <c r="CD20" i="3"/>
  <c r="CC20" i="3" a="1"/>
  <c r="CC20" i="3"/>
  <c r="CB20" i="3" a="1"/>
  <c r="CB20" i="3"/>
  <c r="CH21" i="3" a="1"/>
  <c r="CH21" i="3"/>
  <c r="CG21" i="3" a="1"/>
  <c r="CG21" i="3"/>
  <c r="CM20" i="3" a="1"/>
  <c r="CM20" i="3"/>
  <c r="CL20" i="3" a="1"/>
  <c r="CL20" i="3"/>
  <c r="CX18" i="3"/>
  <c r="CW18" i="3"/>
  <c r="CN18" i="3"/>
  <c r="CL18" i="3"/>
  <c r="CK18" i="3"/>
  <c r="CH18" i="3"/>
  <c r="CG18" i="3"/>
  <c r="CF18" i="3"/>
  <c r="CE18" i="3"/>
  <c r="CD18" i="3"/>
  <c r="CC18" i="3"/>
  <c r="CB18" i="3"/>
  <c r="O57" i="3"/>
  <c r="O58" i="3"/>
  <c r="O50" i="3"/>
  <c r="P48" i="3"/>
  <c r="Q48" i="3"/>
  <c r="R48" i="3"/>
  <c r="S48" i="3"/>
  <c r="T48" i="3"/>
  <c r="U48" i="3"/>
  <c r="V48" i="3"/>
  <c r="W48" i="3"/>
  <c r="P49" i="3"/>
  <c r="Q49" i="3"/>
  <c r="R49" i="3"/>
  <c r="S49" i="3"/>
  <c r="T49" i="3"/>
  <c r="U49" i="3"/>
  <c r="V49" i="3"/>
  <c r="W49" i="3"/>
  <c r="P50" i="3"/>
  <c r="Q50" i="3"/>
  <c r="R50" i="3"/>
  <c r="S50" i="3"/>
  <c r="T50" i="3"/>
  <c r="U50" i="3"/>
  <c r="V50" i="3"/>
  <c r="W50" i="3"/>
  <c r="O51" i="3"/>
  <c r="P51" i="3"/>
  <c r="Q51" i="3"/>
  <c r="R51" i="3"/>
  <c r="S51" i="3"/>
  <c r="T51" i="3"/>
  <c r="U51" i="3"/>
  <c r="V51" i="3"/>
  <c r="W51" i="3"/>
  <c r="O43" i="3"/>
  <c r="P41" i="3"/>
  <c r="Q41" i="3"/>
  <c r="R41" i="3"/>
  <c r="S41" i="3"/>
  <c r="T41" i="3"/>
  <c r="U41" i="3"/>
  <c r="V41" i="3"/>
  <c r="W41" i="3"/>
  <c r="P42" i="3"/>
  <c r="Q42" i="3"/>
  <c r="R42" i="3"/>
  <c r="S42" i="3"/>
  <c r="T42" i="3"/>
  <c r="U42" i="3"/>
  <c r="V42" i="3"/>
  <c r="W42" i="3"/>
  <c r="P43" i="3"/>
  <c r="Q43" i="3"/>
  <c r="R43" i="3"/>
  <c r="S43" i="3"/>
  <c r="T43" i="3"/>
  <c r="U43" i="3"/>
  <c r="V43" i="3"/>
  <c r="W43" i="3"/>
  <c r="O44" i="3"/>
  <c r="P44" i="3"/>
  <c r="Q44" i="3"/>
  <c r="R44" i="3"/>
  <c r="S44" i="3"/>
  <c r="T44" i="3"/>
  <c r="U44" i="3"/>
  <c r="V44" i="3"/>
  <c r="W44" i="3"/>
  <c r="O36" i="3"/>
  <c r="P34" i="3"/>
  <c r="Q34" i="3"/>
  <c r="R34" i="3"/>
  <c r="S34" i="3"/>
  <c r="T34" i="3"/>
  <c r="U34" i="3"/>
  <c r="V34" i="3"/>
  <c r="W34" i="3"/>
  <c r="P35" i="3"/>
  <c r="Q35" i="3"/>
  <c r="R35" i="3"/>
  <c r="S35" i="3"/>
  <c r="T35" i="3"/>
  <c r="U35" i="3"/>
  <c r="V35" i="3"/>
  <c r="W35" i="3"/>
  <c r="P36" i="3"/>
  <c r="Q36" i="3"/>
  <c r="R36" i="3"/>
  <c r="S36" i="3"/>
  <c r="T36" i="3"/>
  <c r="U36" i="3"/>
  <c r="V36" i="3"/>
  <c r="W36" i="3"/>
  <c r="O37" i="3"/>
  <c r="P37" i="3"/>
  <c r="Q37" i="3"/>
  <c r="R37" i="3"/>
  <c r="S37" i="3"/>
  <c r="T37" i="3"/>
  <c r="U37" i="3"/>
  <c r="V37" i="3"/>
  <c r="W37" i="3"/>
  <c r="BS16" i="3"/>
  <c r="BT16" i="3"/>
  <c r="BS14" i="3"/>
  <c r="BT14" i="3"/>
  <c r="BS15" i="3"/>
  <c r="BT15" i="3"/>
  <c r="CN16" i="3" a="1"/>
  <c r="CN16" i="3"/>
  <c r="BS13" i="3"/>
  <c r="BT13" i="3"/>
  <c r="BU16" i="3"/>
  <c r="BU14" i="3"/>
  <c r="BU15" i="3"/>
  <c r="CL16" i="3" a="1"/>
  <c r="CL16" i="3"/>
  <c r="BU13" i="3"/>
  <c r="CK16" i="3" a="1"/>
  <c r="CK16" i="3"/>
  <c r="CH16" i="3" a="1"/>
  <c r="CH16" i="3"/>
  <c r="CG16" i="3" a="1"/>
  <c r="CG16" i="3"/>
  <c r="CF16" i="3" a="1"/>
  <c r="CF16" i="3"/>
  <c r="CE16" i="3" a="1"/>
  <c r="CE16" i="3"/>
  <c r="CD16" i="3" a="1"/>
  <c r="CD16" i="3"/>
  <c r="CC16" i="3" a="1"/>
  <c r="CC16" i="3"/>
  <c r="CB16" i="3" a="1"/>
  <c r="CB16" i="3"/>
  <c r="CP15" i="3" a="1"/>
  <c r="CP15" i="3"/>
  <c r="CO15" i="3" a="1"/>
  <c r="CO15" i="3"/>
  <c r="CN15" i="3" a="1"/>
  <c r="CN15" i="3"/>
  <c r="CM15" i="3" a="1"/>
  <c r="CM15" i="3"/>
  <c r="CL15" i="3" a="1"/>
  <c r="CL15" i="3"/>
  <c r="CK15" i="3" a="1"/>
  <c r="CK15" i="3"/>
  <c r="CH15" i="3" a="1"/>
  <c r="CH15" i="3"/>
  <c r="CG15" i="3" a="1"/>
  <c r="CG15" i="3"/>
  <c r="CF15" i="3" a="1"/>
  <c r="CF15" i="3"/>
  <c r="CE15" i="3" a="1"/>
  <c r="CE15" i="3"/>
  <c r="CD15" i="3" a="1"/>
  <c r="CD15" i="3"/>
  <c r="CC15" i="3" a="1"/>
  <c r="CC15" i="3"/>
  <c r="CB15" i="3" a="1"/>
  <c r="CB15" i="3"/>
  <c r="CP14" i="3" a="1"/>
  <c r="CP14" i="3"/>
  <c r="CO14" i="3" a="1"/>
  <c r="CO14" i="3"/>
  <c r="CN14" i="3" a="1"/>
  <c r="CN14" i="3"/>
  <c r="CM14" i="3" a="1"/>
  <c r="CM14" i="3"/>
  <c r="CL14" i="3" a="1"/>
  <c r="CL14" i="3"/>
  <c r="CK14" i="3" a="1"/>
  <c r="CK14" i="3"/>
  <c r="CF14" i="3" a="1"/>
  <c r="CF14" i="3"/>
  <c r="CE14" i="3" a="1"/>
  <c r="CE14" i="3"/>
  <c r="CD14" i="3" a="1"/>
  <c r="CD14" i="3"/>
  <c r="CC14" i="3" a="1"/>
  <c r="CC14" i="3"/>
  <c r="CB14" i="3" a="1"/>
  <c r="CB14" i="3"/>
  <c r="CP13" i="3" a="1"/>
  <c r="CP13" i="3"/>
  <c r="CO13" i="3" a="1"/>
  <c r="CO13" i="3"/>
  <c r="CN13" i="3" a="1"/>
  <c r="CN13" i="3"/>
  <c r="CK13" i="3" a="1"/>
  <c r="CK13" i="3"/>
  <c r="CH13" i="3" a="1"/>
  <c r="CH13" i="3"/>
  <c r="CG13" i="3" a="1"/>
  <c r="CG13" i="3"/>
  <c r="CF13" i="3" a="1"/>
  <c r="CF13" i="3"/>
  <c r="CE13" i="3" a="1"/>
  <c r="CE13" i="3"/>
  <c r="CD13" i="3" a="1"/>
  <c r="CD13" i="3"/>
  <c r="CC13" i="3" a="1"/>
  <c r="CC13" i="3"/>
  <c r="CB13" i="3" a="1"/>
  <c r="CB13" i="3"/>
  <c r="CH14" i="3" a="1"/>
  <c r="CH14" i="3"/>
  <c r="CG14" i="3" a="1"/>
  <c r="CG14" i="3"/>
  <c r="CM13" i="3" a="1"/>
  <c r="CM13" i="3"/>
  <c r="CL13" i="3" a="1"/>
  <c r="CL13" i="3"/>
  <c r="BS9" i="3"/>
  <c r="BT9" i="3"/>
  <c r="BS7" i="3"/>
  <c r="BT7" i="3"/>
  <c r="BS8" i="3"/>
  <c r="BT8" i="3"/>
  <c r="BS6" i="3"/>
  <c r="BT6" i="3"/>
  <c r="BU9" i="3"/>
  <c r="BU7" i="3"/>
  <c r="BU8" i="3"/>
  <c r="BU6" i="3"/>
  <c r="CX11" i="3"/>
  <c r="CW11" i="3"/>
  <c r="CN11" i="3"/>
  <c r="CL11" i="3"/>
  <c r="CK11" i="3"/>
  <c r="CH11" i="3"/>
  <c r="CG11" i="3"/>
  <c r="CF11" i="3"/>
  <c r="CE11" i="3"/>
  <c r="CD11" i="3"/>
  <c r="CC11" i="3"/>
  <c r="CB11" i="3"/>
  <c r="CP6" i="3" a="1"/>
  <c r="CP6" i="3"/>
  <c r="CP7" i="3" a="1"/>
  <c r="CP7" i="3"/>
  <c r="CP8" i="3" a="1"/>
  <c r="CP8" i="3"/>
  <c r="CP9" i="3" a="1"/>
  <c r="CP9" i="3"/>
  <c r="CO9" i="3" a="1"/>
  <c r="CO9" i="3"/>
  <c r="CO8" i="3" a="1"/>
  <c r="CO8" i="3"/>
  <c r="CO7" i="3" a="1"/>
  <c r="CO7" i="3"/>
  <c r="CO6" i="3" a="1"/>
  <c r="CO6" i="3"/>
  <c r="CL9" i="3" a="1"/>
  <c r="CL9" i="3"/>
  <c r="CK9" i="3" a="1"/>
  <c r="CK9" i="3"/>
  <c r="CK8" i="3" a="1"/>
  <c r="CK8" i="3"/>
  <c r="CK7" i="3" a="1"/>
  <c r="CK7" i="3"/>
  <c r="CK6" i="3" a="1"/>
  <c r="CK6" i="3"/>
  <c r="CG9" i="3" a="1"/>
  <c r="CG9" i="3"/>
  <c r="CG8" i="3" a="1"/>
  <c r="CG8" i="3"/>
  <c r="CF7" i="3" a="1"/>
  <c r="CF7" i="3"/>
  <c r="CF8" i="3" a="1"/>
  <c r="CF8" i="3"/>
  <c r="CE9" i="3" a="1"/>
  <c r="CE9" i="3"/>
  <c r="CE8" i="3" a="1"/>
  <c r="CE8" i="3"/>
  <c r="CE7" i="3" a="1"/>
  <c r="CE7" i="3"/>
  <c r="CE6" i="3" a="1"/>
  <c r="CE6" i="3"/>
  <c r="CD6" i="3" a="1"/>
  <c r="CD6" i="3"/>
  <c r="CD7" i="3" a="1"/>
  <c r="CD7" i="3"/>
  <c r="CD8" i="3" a="1"/>
  <c r="CD8" i="3"/>
  <c r="CC9" i="3" a="1"/>
  <c r="CC9" i="3"/>
  <c r="CC8" i="3" a="1"/>
  <c r="CC8" i="3"/>
  <c r="CC7" i="3" a="1"/>
  <c r="CC7" i="3"/>
  <c r="CC6" i="3" a="1"/>
  <c r="CC6" i="3"/>
  <c r="CB6" i="3" a="1"/>
  <c r="CB6" i="3"/>
  <c r="CB7" i="3" a="1"/>
  <c r="CB7" i="3"/>
  <c r="CB8" i="3" a="1"/>
  <c r="CB8" i="3"/>
  <c r="CB9" i="3" a="1"/>
  <c r="CB9" i="3"/>
  <c r="CN9" i="3" a="1"/>
  <c r="CN9" i="3"/>
  <c r="CM6" i="3" a="1"/>
  <c r="CM6" i="3"/>
  <c r="CL8" i="3" a="1"/>
  <c r="CL8" i="3"/>
  <c r="CL7" i="3" a="1"/>
  <c r="CL7" i="3"/>
  <c r="CL6" i="3" a="1"/>
  <c r="CL6" i="3"/>
  <c r="CH9" i="3" a="1"/>
  <c r="CH9" i="3"/>
  <c r="CH8" i="3" a="1"/>
  <c r="CH8" i="3"/>
  <c r="CH7" i="3" a="1"/>
  <c r="CH7" i="3"/>
  <c r="CH6" i="3" a="1"/>
  <c r="CH6" i="3"/>
  <c r="CG6" i="3" a="1"/>
  <c r="CG6" i="3"/>
  <c r="CG7" i="3" a="1"/>
  <c r="CG7" i="3"/>
  <c r="CF9" i="3" a="1"/>
  <c r="CF9" i="3"/>
  <c r="CF6" i="3" a="1"/>
  <c r="CF6" i="3"/>
  <c r="CD9" i="3" a="1"/>
  <c r="CD9" i="3"/>
  <c r="BW56" i="3"/>
  <c r="BW57" i="3"/>
  <c r="BW58" i="3"/>
  <c r="BW55" i="3"/>
  <c r="BW49" i="3"/>
  <c r="BW50" i="3"/>
  <c r="BW51" i="3"/>
  <c r="BW48" i="3"/>
  <c r="BW42" i="3"/>
  <c r="BW43" i="3"/>
  <c r="BW44" i="3"/>
  <c r="BW41" i="3"/>
  <c r="BW35" i="3"/>
  <c r="BW36" i="3"/>
  <c r="BW37" i="3"/>
  <c r="BW34" i="3"/>
  <c r="BW28" i="3"/>
  <c r="BW29" i="3"/>
  <c r="BW30" i="3"/>
  <c r="BW27" i="3"/>
  <c r="BW21" i="3"/>
  <c r="BW22" i="3"/>
  <c r="BW20" i="3"/>
  <c r="BW14" i="3"/>
  <c r="BW15" i="3"/>
  <c r="BW16" i="3"/>
  <c r="BW13" i="3"/>
  <c r="BV56" i="3"/>
  <c r="BV57" i="3"/>
  <c r="BV58" i="3"/>
  <c r="BV55" i="3"/>
  <c r="BV49" i="3"/>
  <c r="BV50" i="3"/>
  <c r="BV51" i="3"/>
  <c r="BV48" i="3"/>
  <c r="BV42" i="3"/>
  <c r="BV43" i="3"/>
  <c r="BV44" i="3"/>
  <c r="BV41" i="3"/>
  <c r="BV35" i="3"/>
  <c r="BV36" i="3"/>
  <c r="BV37" i="3"/>
  <c r="BV34" i="3"/>
  <c r="BV28" i="3"/>
  <c r="BV29" i="3"/>
  <c r="BV30" i="3"/>
  <c r="BV27" i="3"/>
  <c r="BV21" i="3" a="1"/>
  <c r="BV21" i="3"/>
  <c r="BV22" i="3" a="1"/>
  <c r="BV22" i="3"/>
  <c r="BV23" i="3" a="1"/>
  <c r="BV23" i="3"/>
  <c r="BV20" i="3" a="1"/>
  <c r="BV20" i="3"/>
  <c r="BV14" i="3"/>
  <c r="BV15" i="3"/>
  <c r="BV16" i="3"/>
  <c r="BV13" i="3"/>
  <c r="BW7" i="3"/>
  <c r="BW8" i="3"/>
  <c r="BW9" i="3"/>
  <c r="BW6" i="3"/>
  <c r="BV7" i="3"/>
  <c r="BV8" i="3"/>
  <c r="BV9" i="3"/>
  <c r="BV6" i="3"/>
  <c r="CH4" i="3"/>
  <c r="CL4" i="3"/>
  <c r="CW4" i="3"/>
  <c r="CX4" i="3"/>
  <c r="O30" i="3"/>
  <c r="O29" i="3"/>
  <c r="O23" i="3"/>
  <c r="O22" i="3"/>
  <c r="O16" i="3"/>
  <c r="O15" i="3"/>
  <c r="Q55" i="3"/>
  <c r="Q56" i="3"/>
  <c r="Q57" i="3"/>
  <c r="Q58" i="3"/>
  <c r="AC55" i="3"/>
  <c r="AC56" i="3"/>
  <c r="AC57" i="3"/>
  <c r="AC58" i="3"/>
  <c r="AC48" i="3"/>
  <c r="AC49" i="3"/>
  <c r="AC50" i="3"/>
  <c r="AC51" i="3"/>
  <c r="AC41" i="3"/>
  <c r="AC42" i="3"/>
  <c r="AC43" i="3"/>
  <c r="AC44" i="3"/>
  <c r="AC34" i="3"/>
  <c r="AC35" i="3"/>
  <c r="AC36" i="3"/>
  <c r="AC37" i="3"/>
  <c r="Q27" i="3"/>
  <c r="Q28" i="3"/>
  <c r="Q29" i="3"/>
  <c r="Q30" i="3"/>
  <c r="AC27" i="3"/>
  <c r="AC28" i="3"/>
  <c r="AC29" i="3"/>
  <c r="AC30" i="3"/>
  <c r="Q20" i="3"/>
  <c r="Q21" i="3"/>
  <c r="Q22" i="3"/>
  <c r="Q23" i="3"/>
  <c r="AC20" i="3"/>
  <c r="AC21" i="3"/>
  <c r="AC22" i="3"/>
  <c r="AC23" i="3"/>
  <c r="Q14" i="3"/>
  <c r="Q15" i="3"/>
  <c r="Q16" i="3"/>
  <c r="AC14" i="3"/>
  <c r="AC15" i="3"/>
  <c r="AC16" i="3"/>
  <c r="AC7" i="3"/>
  <c r="AC8" i="3"/>
  <c r="AC9" i="3"/>
  <c r="C6" i="8"/>
  <c r="C85" i="8"/>
  <c r="C86" i="8"/>
  <c r="C87" i="8"/>
  <c r="C84" i="8"/>
  <c r="C81" i="8"/>
  <c r="C82" i="8"/>
  <c r="C83" i="8"/>
  <c r="C80" i="8"/>
  <c r="C77" i="8"/>
  <c r="C78" i="8"/>
  <c r="C79" i="8"/>
  <c r="C76" i="8"/>
  <c r="C73" i="8"/>
  <c r="C74" i="8"/>
  <c r="C75" i="8"/>
  <c r="C72" i="8"/>
  <c r="C69" i="8"/>
  <c r="C70" i="8"/>
  <c r="C71" i="8"/>
  <c r="C68" i="8"/>
  <c r="C65" i="8"/>
  <c r="C66" i="8"/>
  <c r="C67" i="8"/>
  <c r="C64" i="8"/>
  <c r="K74" i="3"/>
  <c r="F80" i="3"/>
  <c r="F87" i="3"/>
  <c r="F76" i="3"/>
  <c r="F81" i="3"/>
  <c r="K87" i="3"/>
  <c r="C155" i="8"/>
  <c r="F75" i="3"/>
  <c r="K80" i="3"/>
  <c r="F84" i="3"/>
  <c r="F77" i="3"/>
  <c r="K81" i="3"/>
  <c r="K84" i="3"/>
  <c r="C148" i="8"/>
  <c r="C141" i="8"/>
  <c r="C140" i="8"/>
  <c r="K77" i="3"/>
  <c r="C131" i="8"/>
  <c r="K76" i="3"/>
  <c r="C130" i="8"/>
  <c r="K75" i="3"/>
  <c r="C129" i="8"/>
  <c r="F74" i="3"/>
  <c r="C128" i="8"/>
  <c r="C115" i="8"/>
  <c r="C114" i="8"/>
  <c r="C113" i="8"/>
  <c r="C112" i="8"/>
  <c r="C111" i="8"/>
  <c r="C110" i="8"/>
  <c r="C109" i="8"/>
  <c r="C108" i="8"/>
  <c r="L101" i="3"/>
  <c r="L98" i="3"/>
  <c r="L99" i="3"/>
  <c r="L97" i="3"/>
  <c r="L95" i="3"/>
  <c r="L93" i="3"/>
  <c r="L94" i="3"/>
  <c r="C53" i="8"/>
  <c r="B53" i="8"/>
  <c r="L64" i="3"/>
  <c r="L65" i="3"/>
  <c r="L66" i="3"/>
  <c r="L67" i="3"/>
  <c r="L68" i="3"/>
  <c r="L69" i="3"/>
  <c r="L70" i="3"/>
  <c r="L71" i="3"/>
  <c r="L74" i="3"/>
  <c r="L75" i="3"/>
  <c r="L76" i="3"/>
  <c r="L77" i="3"/>
  <c r="L80" i="3"/>
  <c r="L81" i="3"/>
  <c r="F91" i="3"/>
  <c r="L84" i="3"/>
  <c r="F89" i="3"/>
  <c r="L87" i="3"/>
  <c r="L89" i="3"/>
  <c r="F90" i="3"/>
  <c r="L90" i="3"/>
  <c r="L91" i="3"/>
  <c r="L4" i="3"/>
  <c r="L5" i="3"/>
  <c r="L6" i="3"/>
  <c r="L7" i="3"/>
  <c r="L8" i="3"/>
  <c r="L9" i="3"/>
  <c r="L11" i="3"/>
  <c r="L12" i="3"/>
  <c r="L13" i="3"/>
  <c r="L14" i="3"/>
  <c r="L15" i="3"/>
  <c r="L16" i="3"/>
  <c r="L18" i="3"/>
  <c r="L19" i="3"/>
  <c r="L20" i="3"/>
  <c r="L21" i="3"/>
  <c r="L22" i="3"/>
  <c r="L23" i="3"/>
  <c r="L25" i="3"/>
  <c r="L26" i="3"/>
  <c r="L27" i="3"/>
  <c r="L28" i="3"/>
  <c r="L29" i="3"/>
  <c r="L30" i="3"/>
  <c r="L32" i="3"/>
  <c r="L33" i="3"/>
  <c r="L34" i="3"/>
  <c r="L35" i="3"/>
  <c r="L36" i="3"/>
  <c r="L37" i="3"/>
  <c r="L39" i="3"/>
  <c r="L40" i="3"/>
  <c r="L41" i="3"/>
  <c r="L42" i="3"/>
  <c r="L43" i="3"/>
  <c r="L44" i="3"/>
  <c r="L46" i="3"/>
  <c r="L47" i="3"/>
  <c r="L48" i="3"/>
  <c r="L49" i="3"/>
  <c r="L50" i="3"/>
  <c r="L51" i="3"/>
  <c r="L53" i="3"/>
  <c r="L54" i="3"/>
  <c r="L55" i="3"/>
  <c r="L56" i="3"/>
  <c r="L57" i="3"/>
  <c r="L58" i="3"/>
  <c r="N93" i="3"/>
  <c r="N89" i="3"/>
  <c r="AW14" i="3"/>
  <c r="AW15" i="3"/>
  <c r="AW16" i="3"/>
  <c r="AW13" i="3"/>
  <c r="B148" i="8"/>
  <c r="C159" i="8"/>
  <c r="C160" i="8"/>
  <c r="C161" i="8"/>
  <c r="C162" i="8"/>
  <c r="C163" i="8"/>
  <c r="C164" i="8"/>
  <c r="C165" i="8"/>
  <c r="C166" i="8"/>
  <c r="C145" i="8"/>
  <c r="C144" i="8"/>
  <c r="B52" i="8"/>
  <c r="C52" i="8"/>
  <c r="B50" i="8"/>
  <c r="C50" i="8"/>
  <c r="B51" i="8"/>
  <c r="C51" i="8"/>
  <c r="B48" i="8"/>
  <c r="C48" i="8"/>
  <c r="B49" i="8"/>
  <c r="C49" i="8"/>
  <c r="B42" i="8"/>
  <c r="C42" i="8"/>
  <c r="B43" i="8"/>
  <c r="C43" i="8"/>
  <c r="B44" i="8"/>
  <c r="C44" i="8"/>
  <c r="B45" i="8"/>
  <c r="C45" i="8"/>
  <c r="B46" i="8"/>
  <c r="C46" i="8"/>
  <c r="B47" i="8"/>
  <c r="C47" i="8"/>
  <c r="A2"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V58" i="3"/>
  <c r="BD54" i="3"/>
  <c r="BJ54" i="3"/>
  <c r="AV57" i="3"/>
  <c r="AV56" i="3"/>
  <c r="BB54" i="3"/>
  <c r="BH54" i="3"/>
  <c r="AV55" i="3"/>
  <c r="BA54" i="3"/>
  <c r="BG54" i="3"/>
  <c r="BC54" i="3"/>
  <c r="BI54" i="3"/>
  <c r="AV53" i="3"/>
  <c r="AV51" i="3"/>
  <c r="AV50" i="3"/>
  <c r="AV49" i="3"/>
  <c r="AV48" i="3"/>
  <c r="BA47" i="3"/>
  <c r="BG47" i="3"/>
  <c r="AP48" i="3"/>
  <c r="BD47" i="3"/>
  <c r="BJ47" i="3"/>
  <c r="BC47" i="3"/>
  <c r="BI47" i="3"/>
  <c r="BB47" i="3"/>
  <c r="BH47" i="3"/>
  <c r="AV46" i="3"/>
  <c r="AP56" i="3"/>
  <c r="AP58" i="3"/>
  <c r="AP57" i="3"/>
  <c r="AP51" i="3"/>
  <c r="AP50" i="3"/>
  <c r="AP49" i="3"/>
  <c r="AP55" i="3"/>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AW58" i="3"/>
  <c r="AW57" i="3"/>
  <c r="AW56" i="3"/>
  <c r="P58" i="3"/>
  <c r="AW55" i="3"/>
  <c r="V55" i="3"/>
  <c r="R55" i="3"/>
  <c r="W55" i="3"/>
  <c r="W56" i="3"/>
  <c r="S56" i="3"/>
  <c r="T56" i="3"/>
  <c r="V56" i="3"/>
  <c r="AW51" i="3"/>
  <c r="AW48" i="3"/>
  <c r="AW49" i="3"/>
  <c r="AW50" i="3"/>
  <c r="S58" i="3"/>
  <c r="R56" i="3"/>
  <c r="P56" i="3"/>
  <c r="U56" i="3"/>
  <c r="U55" i="3"/>
  <c r="S55" i="3"/>
  <c r="P55" i="3"/>
  <c r="T55" i="3"/>
  <c r="V57" i="3"/>
  <c r="W58" i="3"/>
  <c r="T58" i="3"/>
  <c r="U58" i="3"/>
  <c r="R58" i="3"/>
  <c r="V58" i="3"/>
  <c r="S57" i="3"/>
  <c r="R57" i="3"/>
  <c r="U57" i="3"/>
  <c r="W57" i="3"/>
  <c r="P57" i="3"/>
  <c r="T57" i="3"/>
  <c r="C3" i="8"/>
  <c r="B7" i="8"/>
  <c r="B8" i="8"/>
  <c r="B9" i="8"/>
  <c r="B10" i="8"/>
  <c r="B11" i="8"/>
  <c r="B12" i="8"/>
  <c r="B13" i="8"/>
  <c r="B14" i="8"/>
  <c r="B15" i="8"/>
  <c r="B16" i="8"/>
  <c r="B17" i="8"/>
  <c r="B18" i="8"/>
  <c r="B19" i="8"/>
  <c r="B20" i="8"/>
  <c r="B21" i="8"/>
  <c r="B22" i="8"/>
  <c r="B23" i="8"/>
  <c r="B24" i="8"/>
  <c r="B25" i="8"/>
  <c r="B26" i="8"/>
  <c r="B27" i="8"/>
  <c r="B28" i="8"/>
  <c r="B29" i="8"/>
  <c r="B30" i="8"/>
  <c r="B31" i="8"/>
  <c r="B32" i="8"/>
  <c r="B33" i="8"/>
  <c r="B34" i="8"/>
  <c r="B35" i="8"/>
  <c r="B36" i="8"/>
  <c r="B37" i="8"/>
  <c r="B38" i="8"/>
  <c r="B39" i="8"/>
  <c r="B40" i="8"/>
  <c r="B41" i="8"/>
  <c r="B6" i="8"/>
  <c r="AV44" i="3"/>
  <c r="BD40" i="3"/>
  <c r="BJ40" i="3"/>
  <c r="AV43" i="3"/>
  <c r="BC40" i="3"/>
  <c r="BI40" i="3"/>
  <c r="AV42" i="3"/>
  <c r="BB40" i="3"/>
  <c r="BH40" i="3"/>
  <c r="AV41" i="3"/>
  <c r="BA40" i="3"/>
  <c r="BG40" i="3"/>
  <c r="AV39" i="3"/>
  <c r="AV37" i="3"/>
  <c r="BD33" i="3"/>
  <c r="BJ33" i="3"/>
  <c r="AV36" i="3"/>
  <c r="BC33" i="3"/>
  <c r="BI33" i="3"/>
  <c r="AV35" i="3"/>
  <c r="BB33" i="3"/>
  <c r="BH33" i="3"/>
  <c r="AV34" i="3"/>
  <c r="BA33" i="3"/>
  <c r="BG33" i="3"/>
  <c r="AV32" i="3"/>
  <c r="AV30" i="3"/>
  <c r="BD26" i="3"/>
  <c r="BJ26" i="3"/>
  <c r="AV29" i="3"/>
  <c r="BC26" i="3"/>
  <c r="BI26" i="3"/>
  <c r="AV28" i="3"/>
  <c r="BB26" i="3"/>
  <c r="BH26" i="3"/>
  <c r="AV27" i="3"/>
  <c r="BA26" i="3"/>
  <c r="BG26" i="3"/>
  <c r="AV25" i="3"/>
  <c r="AV23" i="3"/>
  <c r="BD19" i="3"/>
  <c r="BJ19" i="3"/>
  <c r="AV22" i="3"/>
  <c r="BC19" i="3"/>
  <c r="BI19" i="3"/>
  <c r="AV21" i="3"/>
  <c r="BB19" i="3"/>
  <c r="BH19" i="3"/>
  <c r="AV20" i="3"/>
  <c r="BA19" i="3"/>
  <c r="BG19" i="3"/>
  <c r="AV18" i="3"/>
  <c r="AV11" i="3"/>
  <c r="AV4" i="3"/>
  <c r="AV16" i="3"/>
  <c r="BD12" i="3"/>
  <c r="BJ12" i="3"/>
  <c r="AV15" i="3"/>
  <c r="BC12" i="3"/>
  <c r="BI12" i="3"/>
  <c r="AV14" i="3"/>
  <c r="BB12" i="3"/>
  <c r="BH12" i="3"/>
  <c r="AV13" i="3"/>
  <c r="BA12" i="3"/>
  <c r="BG12" i="3"/>
  <c r="AV7" i="3"/>
  <c r="BB5" i="3"/>
  <c r="BH5" i="3"/>
  <c r="AV8" i="3"/>
  <c r="BC5" i="3"/>
  <c r="BI5" i="3"/>
  <c r="AV9" i="3"/>
  <c r="BD5" i="3"/>
  <c r="BJ5" i="3"/>
  <c r="AV6" i="3"/>
  <c r="BA5" i="3"/>
  <c r="BG5" i="3"/>
  <c r="AT6" i="3"/>
  <c r="AW35" i="3"/>
  <c r="AW34" i="3"/>
  <c r="AW37" i="3"/>
  <c r="AW36" i="3"/>
  <c r="AW27" i="3"/>
  <c r="AW29" i="3"/>
  <c r="AW43" i="3"/>
  <c r="AW42" i="3"/>
  <c r="AW30" i="3"/>
  <c r="AW28" i="3"/>
  <c r="AW41" i="3"/>
  <c r="AW44" i="3"/>
  <c r="AW22" i="3"/>
  <c r="AW21" i="3"/>
  <c r="AW23" i="3"/>
  <c r="AW20" i="3"/>
  <c r="AW7" i="3"/>
  <c r="AW6" i="3"/>
  <c r="AW9" i="3"/>
  <c r="AW8" i="3"/>
  <c r="AP34" i="3"/>
  <c r="AP37" i="3"/>
  <c r="AP36" i="3"/>
  <c r="AP42" i="3"/>
  <c r="AP35" i="3"/>
  <c r="AP30" i="3"/>
  <c r="AP28" i="3"/>
  <c r="AP29" i="3"/>
  <c r="AP44" i="3"/>
  <c r="AP43" i="3"/>
  <c r="AP22" i="3"/>
  <c r="AP23" i="3"/>
  <c r="AP21" i="3"/>
  <c r="AP14" i="3"/>
  <c r="AP9" i="3"/>
  <c r="AP7" i="3"/>
  <c r="AP8" i="3"/>
  <c r="C96" i="8"/>
  <c r="C103" i="8"/>
  <c r="AP41" i="3"/>
  <c r="AP27" i="3"/>
  <c r="B114" i="8"/>
  <c r="AP20" i="3"/>
  <c r="C98" i="8"/>
  <c r="AP16" i="3"/>
  <c r="AP13" i="3"/>
  <c r="AP15" i="3"/>
  <c r="AP6" i="3"/>
  <c r="C94" i="8"/>
  <c r="C95" i="8"/>
  <c r="B113" i="8"/>
  <c r="C93" i="8"/>
  <c r="C90" i="8"/>
  <c r="B108" i="8"/>
  <c r="C105" i="8"/>
  <c r="C92" i="8"/>
  <c r="C104" i="8"/>
  <c r="W28" i="3"/>
  <c r="T28" i="3"/>
  <c r="R28" i="3"/>
  <c r="V28" i="3"/>
  <c r="P28" i="3"/>
  <c r="S28" i="3"/>
  <c r="U28" i="3"/>
  <c r="P27" i="3"/>
  <c r="R27" i="3"/>
  <c r="U27" i="3"/>
  <c r="V27" i="3"/>
  <c r="S27" i="3"/>
  <c r="W27" i="3"/>
  <c r="T27" i="3"/>
  <c r="R30" i="3"/>
  <c r="S30" i="3"/>
  <c r="V30" i="3"/>
  <c r="P30" i="3"/>
  <c r="W30" i="3"/>
  <c r="T30" i="3"/>
  <c r="U30" i="3"/>
  <c r="T29" i="3"/>
  <c r="U29" i="3"/>
  <c r="V29" i="3"/>
  <c r="S29" i="3"/>
  <c r="P29" i="3"/>
  <c r="R29" i="3"/>
  <c r="W29" i="3"/>
  <c r="S21" i="3"/>
  <c r="W21" i="3"/>
  <c r="U21" i="3"/>
  <c r="T21" i="3"/>
  <c r="R21" i="3"/>
  <c r="P21" i="3"/>
  <c r="V21" i="3"/>
  <c r="U22" i="3"/>
  <c r="S22" i="3"/>
  <c r="T22" i="3"/>
  <c r="W22" i="3"/>
  <c r="V22" i="3"/>
  <c r="P22" i="3"/>
  <c r="R22" i="3"/>
  <c r="P20" i="3"/>
  <c r="S20" i="3"/>
  <c r="T20" i="3"/>
  <c r="R20" i="3"/>
  <c r="V20" i="3"/>
  <c r="W20" i="3"/>
  <c r="U20" i="3"/>
  <c r="U23" i="3"/>
  <c r="S23" i="3"/>
  <c r="P23" i="3"/>
  <c r="T23" i="3"/>
  <c r="W23" i="3"/>
  <c r="R23" i="3"/>
  <c r="V23" i="3"/>
  <c r="P8" i="3"/>
  <c r="V8" i="3"/>
  <c r="S8" i="3"/>
  <c r="W8" i="3"/>
  <c r="T8" i="3"/>
  <c r="R8" i="3"/>
  <c r="U8" i="3"/>
  <c r="U9" i="3"/>
  <c r="S9" i="3"/>
  <c r="W9" i="3"/>
  <c r="R9" i="3"/>
  <c r="T9" i="3"/>
  <c r="V9" i="3"/>
  <c r="P9" i="3"/>
  <c r="W7" i="3"/>
  <c r="P7" i="3"/>
  <c r="T7" i="3"/>
  <c r="V7" i="3"/>
  <c r="R7" i="3"/>
  <c r="U7" i="3"/>
  <c r="S7" i="3"/>
  <c r="C91" i="8"/>
  <c r="C97" i="8"/>
  <c r="B115" i="8"/>
  <c r="C124" i="8"/>
  <c r="C123" i="8"/>
  <c r="C125" i="8"/>
  <c r="C118" i="8"/>
  <c r="S15" i="3"/>
  <c r="V15" i="3"/>
  <c r="P16" i="3"/>
  <c r="P14" i="3"/>
  <c r="R16" i="3"/>
  <c r="T16" i="3"/>
  <c r="R15" i="3"/>
  <c r="U15" i="3"/>
  <c r="T15" i="3"/>
  <c r="T14" i="3"/>
  <c r="W15" i="3"/>
  <c r="P15" i="3"/>
  <c r="W14" i="3"/>
  <c r="V14" i="3"/>
  <c r="V16" i="3"/>
  <c r="W16" i="3"/>
  <c r="S16" i="3"/>
  <c r="U16" i="3"/>
  <c r="R14" i="3"/>
  <c r="U14" i="3"/>
  <c r="S14" i="3"/>
  <c r="B110" i="8"/>
  <c r="C99" i="8"/>
  <c r="B109" i="8"/>
  <c r="B130" i="8"/>
  <c r="C102" i="8"/>
  <c r="B112" i="8"/>
  <c r="B129" i="8"/>
  <c r="B111" i="8"/>
  <c r="C101" i="8"/>
  <c r="C100" i="8"/>
  <c r="C120" i="8"/>
  <c r="C119" i="8"/>
  <c r="B131" i="8"/>
  <c r="C121" i="8"/>
  <c r="B128" i="8"/>
  <c r="C122" i="8"/>
  <c r="C136" i="8"/>
  <c r="C135" i="8"/>
  <c r="C137" i="8"/>
  <c r="B141" i="8"/>
  <c r="B140" i="8"/>
  <c r="C134" i="8"/>
  <c r="C152" i="8"/>
  <c r="B155" i="8"/>
  <c r="C151" i="8"/>
  <c r="C158" i="8"/>
  <c r="S6" i="3"/>
  <c r="W6" i="3"/>
  <c r="T6" i="3"/>
  <c r="R6" i="3"/>
  <c r="U6" i="3"/>
  <c r="P6" i="3"/>
  <c r="V6" i="3"/>
  <c r="C59" i="8"/>
  <c r="C58" i="8"/>
  <c r="C57" i="8"/>
  <c r="AC6" i="3"/>
  <c r="AC13" i="3"/>
  <c r="Q13" i="3"/>
  <c r="C61" i="8"/>
  <c r="C62" i="8"/>
  <c r="C63" i="8"/>
  <c r="C60" i="8"/>
  <c r="V13" i="3"/>
  <c r="P13" i="3"/>
  <c r="U13" i="3"/>
  <c r="S13" i="3"/>
  <c r="R13" i="3"/>
  <c r="W13" i="3"/>
  <c r="T13" i="3"/>
  <c r="CA7" i="3" a="1"/>
  <c r="CA7" i="3"/>
  <c r="CB4" i="3"/>
  <c r="CC4" i="3"/>
  <c r="CD4" i="3"/>
  <c r="CE4" i="3"/>
  <c r="CF4" i="3"/>
  <c r="CG4" i="3"/>
  <c r="CK4" i="3"/>
  <c r="CM7" i="3" a="1"/>
  <c r="CM7" i="3"/>
  <c r="CM8" i="3" a="1"/>
  <c r="CM8" i="3"/>
  <c r="CM9" i="3" a="1"/>
  <c r="CM9" i="3"/>
  <c r="CM4" i="3"/>
  <c r="CN6" i="3" a="1"/>
  <c r="CN6" i="3"/>
  <c r="CN7" i="3" a="1"/>
  <c r="CN7" i="3"/>
  <c r="CN8" i="3" a="1"/>
  <c r="CN8" i="3"/>
  <c r="CN4" i="3"/>
  <c r="CO4" i="3"/>
  <c r="CP4" i="3"/>
  <c r="CA6" i="3" a="1"/>
  <c r="CA6" i="3"/>
  <c r="CI6" i="3" a="1"/>
  <c r="CI6" i="3"/>
  <c r="CI7" i="3" a="1"/>
  <c r="CI7" i="3"/>
  <c r="CI8" i="3" a="1"/>
  <c r="CI9" i="3" a="1"/>
  <c r="CI8" i="3"/>
  <c r="CI9" i="3"/>
  <c r="CI4" i="3"/>
  <c r="CJ6" i="3" a="1"/>
  <c r="CJ6" i="3"/>
  <c r="CJ7" i="3" a="1"/>
  <c r="CJ7" i="3"/>
  <c r="CJ8" i="3" a="1"/>
  <c r="CJ9" i="3" a="1"/>
  <c r="CJ8" i="3"/>
  <c r="CJ9" i="3"/>
  <c r="CJ4" i="3"/>
  <c r="CQ6" i="3" a="1"/>
  <c r="CQ6" i="3"/>
  <c r="CQ7" i="3" a="1"/>
  <c r="CQ7" i="3"/>
  <c r="CQ8" i="3" a="1"/>
  <c r="CQ9" i="3" a="1"/>
  <c r="CQ8" i="3"/>
  <c r="CQ9" i="3"/>
  <c r="CQ4" i="3"/>
  <c r="CR6" i="3" a="1"/>
  <c r="CR6" i="3"/>
  <c r="CR7" i="3" a="1"/>
  <c r="CR7" i="3"/>
  <c r="CR8" i="3" a="1"/>
  <c r="CR9" i="3" a="1"/>
  <c r="CR8" i="3"/>
  <c r="CR9" i="3"/>
  <c r="CR4" i="3"/>
  <c r="CS6" i="3" a="1"/>
  <c r="CS6" i="3"/>
  <c r="CS7" i="3" a="1"/>
  <c r="CS7" i="3"/>
  <c r="CS8" i="3" a="1"/>
  <c r="CS9" i="3" a="1"/>
  <c r="CS8" i="3"/>
  <c r="CS9" i="3"/>
  <c r="CS4" i="3"/>
  <c r="CT6" i="3" a="1"/>
  <c r="CT6" i="3"/>
  <c r="CT7" i="3" a="1"/>
  <c r="CT7" i="3"/>
  <c r="CT8" i="3" a="1"/>
  <c r="CT9" i="3" a="1"/>
  <c r="CT8" i="3"/>
  <c r="CT9" i="3"/>
  <c r="CT4" i="3"/>
  <c r="CU6" i="3" a="1"/>
  <c r="CU6" i="3"/>
  <c r="CU7" i="3" a="1"/>
  <c r="CU7" i="3"/>
  <c r="CU8" i="3" a="1"/>
  <c r="CU9" i="3" a="1"/>
  <c r="CU8" i="3"/>
  <c r="CU9" i="3"/>
  <c r="CU4" i="3"/>
  <c r="CV6" i="3" a="1"/>
  <c r="CV6" i="3"/>
  <c r="CV7" i="3" a="1"/>
  <c r="CV7" i="3"/>
  <c r="CV8" i="3" a="1"/>
  <c r="CV9" i="3" a="1"/>
  <c r="CV8" i="3"/>
  <c r="CV9" i="3"/>
  <c r="CV4" i="3"/>
  <c r="CA13" i="3" a="1"/>
  <c r="CA13" i="3"/>
  <c r="CA14" i="3" a="1"/>
  <c r="CA14" i="3"/>
  <c r="CI13" i="3" a="1"/>
  <c r="CI13" i="3"/>
  <c r="CI14" i="3" a="1"/>
  <c r="CI14" i="3"/>
  <c r="CI15" i="3" a="1"/>
  <c r="CI16" i="3" a="1"/>
  <c r="CI15" i="3"/>
  <c r="CI16" i="3"/>
  <c r="CI11" i="3"/>
  <c r="CJ13" i="3" a="1"/>
  <c r="CJ13" i="3"/>
  <c r="CJ14" i="3" a="1"/>
  <c r="CJ14" i="3"/>
  <c r="CJ15" i="3" a="1"/>
  <c r="CJ16" i="3" a="1"/>
  <c r="CJ15" i="3"/>
  <c r="CJ16" i="3"/>
  <c r="CJ11" i="3"/>
  <c r="CM16" i="3" a="1"/>
  <c r="CM16" i="3"/>
  <c r="CM11" i="3"/>
  <c r="CO16" i="3" a="1"/>
  <c r="CO16" i="3"/>
  <c r="CO11" i="3"/>
  <c r="CP16" i="3" a="1"/>
  <c r="CP16" i="3"/>
  <c r="CP11" i="3"/>
  <c r="CQ13" i="3" a="1"/>
  <c r="CQ13" i="3"/>
  <c r="CQ14" i="3" a="1"/>
  <c r="CQ14" i="3"/>
  <c r="CQ15" i="3" a="1"/>
  <c r="CQ16" i="3" a="1"/>
  <c r="CQ15" i="3"/>
  <c r="CQ16" i="3"/>
  <c r="CQ11" i="3"/>
  <c r="CR13" i="3" a="1"/>
  <c r="CR13" i="3"/>
  <c r="CR14" i="3" a="1"/>
  <c r="CR14" i="3"/>
  <c r="CR15" i="3" a="1"/>
  <c r="CR16" i="3" a="1"/>
  <c r="CR15" i="3"/>
  <c r="CR16" i="3"/>
  <c r="CR11" i="3"/>
  <c r="CS13" i="3" a="1"/>
  <c r="CS13" i="3"/>
  <c r="CS14" i="3" a="1"/>
  <c r="CS14" i="3"/>
  <c r="CS15" i="3" a="1"/>
  <c r="CS16" i="3" a="1"/>
  <c r="CS15" i="3"/>
  <c r="CS16" i="3"/>
  <c r="CS11" i="3"/>
  <c r="CT13" i="3" a="1"/>
  <c r="CT13" i="3"/>
  <c r="CT14" i="3" a="1"/>
  <c r="CT14" i="3"/>
  <c r="CT15" i="3" a="1"/>
  <c r="CT16" i="3" a="1"/>
  <c r="CT15" i="3"/>
  <c r="CT16" i="3"/>
  <c r="CT11" i="3"/>
  <c r="CU13" i="3" a="1"/>
  <c r="CU13" i="3"/>
  <c r="CU14" i="3" a="1"/>
  <c r="CU14" i="3"/>
  <c r="CU15" i="3" a="1"/>
  <c r="CU16" i="3" a="1"/>
  <c r="CU15" i="3"/>
  <c r="CU16" i="3"/>
  <c r="CU11" i="3"/>
  <c r="CV13" i="3" a="1"/>
  <c r="CV13" i="3"/>
  <c r="CV14" i="3" a="1"/>
  <c r="CV14" i="3"/>
  <c r="CV15" i="3" a="1"/>
  <c r="CV16" i="3" a="1"/>
  <c r="CV15" i="3"/>
  <c r="CV16" i="3"/>
  <c r="CV11" i="3"/>
  <c r="CI20" i="3" a="1"/>
  <c r="CI20" i="3"/>
  <c r="CI21" i="3" a="1"/>
  <c r="CI21" i="3"/>
  <c r="CI22" i="3" a="1"/>
  <c r="CI23" i="3" a="1"/>
  <c r="CI22" i="3"/>
  <c r="CI23" i="3"/>
  <c r="CI18" i="3"/>
  <c r="CJ20" i="3" a="1"/>
  <c r="CJ20" i="3"/>
  <c r="CJ21" i="3" a="1"/>
  <c r="CJ21" i="3"/>
  <c r="CJ22" i="3" a="1"/>
  <c r="CJ23" i="3" a="1"/>
  <c r="CJ22" i="3"/>
  <c r="CJ23" i="3"/>
  <c r="CJ18" i="3"/>
  <c r="CM23" i="3" a="1"/>
  <c r="CM23" i="3"/>
  <c r="CM18" i="3"/>
  <c r="CO23" i="3" a="1"/>
  <c r="CO23" i="3"/>
  <c r="CO18" i="3"/>
  <c r="CP23" i="3" a="1"/>
  <c r="CP23" i="3"/>
  <c r="CP18" i="3"/>
  <c r="CQ20" i="3" a="1"/>
  <c r="CQ20" i="3"/>
  <c r="CQ21" i="3" a="1"/>
  <c r="CQ21" i="3"/>
  <c r="CQ22" i="3" a="1"/>
  <c r="CQ23" i="3" a="1"/>
  <c r="CQ22" i="3"/>
  <c r="CQ23" i="3"/>
  <c r="CQ18" i="3"/>
  <c r="CR20" i="3" a="1"/>
  <c r="CR20" i="3"/>
  <c r="CR21" i="3" a="1"/>
  <c r="CR21" i="3"/>
  <c r="CR22" i="3" a="1"/>
  <c r="CR23" i="3" a="1"/>
  <c r="CR22" i="3"/>
  <c r="CR23" i="3"/>
  <c r="CR18" i="3"/>
  <c r="CS20" i="3" a="1"/>
  <c r="CS20" i="3"/>
  <c r="CS21" i="3" a="1"/>
  <c r="CS21" i="3"/>
  <c r="CS22" i="3" a="1"/>
  <c r="CS23" i="3" a="1"/>
  <c r="CS22" i="3"/>
  <c r="CS23" i="3"/>
  <c r="CS18" i="3"/>
  <c r="CT20" i="3" a="1"/>
  <c r="CT20" i="3"/>
  <c r="CT21" i="3" a="1"/>
  <c r="CT21" i="3"/>
  <c r="CT22" i="3" a="1"/>
  <c r="CT23" i="3" a="1"/>
  <c r="CT22" i="3"/>
  <c r="CT23" i="3"/>
  <c r="CT18" i="3"/>
  <c r="CU20" i="3" a="1"/>
  <c r="CU20" i="3"/>
  <c r="CU21" i="3" a="1"/>
  <c r="CU21" i="3"/>
  <c r="CU22" i="3" a="1"/>
  <c r="CU23" i="3" a="1"/>
  <c r="CU22" i="3"/>
  <c r="CU23" i="3"/>
  <c r="CU18" i="3"/>
  <c r="CV20" i="3" a="1"/>
  <c r="CV20" i="3"/>
  <c r="CV21" i="3" a="1"/>
  <c r="CV21" i="3"/>
  <c r="CV22" i="3" a="1"/>
  <c r="CV23" i="3" a="1"/>
  <c r="CV22" i="3"/>
  <c r="CV23" i="3"/>
  <c r="CV18" i="3"/>
  <c r="CA21" i="3" a="1"/>
  <c r="CA21" i="3"/>
  <c r="CA20" i="3" a="1"/>
  <c r="CA20" i="3"/>
  <c r="CA23" i="3" a="1"/>
  <c r="CA23" i="3"/>
  <c r="CI27" i="3" a="1"/>
  <c r="CI27" i="3"/>
  <c r="CI28" i="3" a="1"/>
  <c r="CI28" i="3"/>
  <c r="CI29" i="3" a="1"/>
  <c r="CI30" i="3" a="1"/>
  <c r="CI29" i="3"/>
  <c r="CI30" i="3"/>
  <c r="CI25" i="3"/>
  <c r="CJ27" i="3" a="1"/>
  <c r="CJ27" i="3"/>
  <c r="CJ28" i="3" a="1"/>
  <c r="CJ28" i="3"/>
  <c r="CJ29" i="3" a="1"/>
  <c r="CJ30" i="3" a="1"/>
  <c r="CJ29" i="3"/>
  <c r="CJ30" i="3"/>
  <c r="CJ25" i="3"/>
  <c r="CM30" i="3" a="1"/>
  <c r="CM30" i="3"/>
  <c r="CM25" i="3"/>
  <c r="CO30" i="3" a="1"/>
  <c r="CO30" i="3"/>
  <c r="CO25" i="3"/>
  <c r="CP30" i="3" a="1"/>
  <c r="CP30" i="3"/>
  <c r="CP25" i="3"/>
  <c r="CQ27" i="3" a="1"/>
  <c r="CQ27" i="3"/>
  <c r="CQ28" i="3" a="1"/>
  <c r="CQ28" i="3"/>
  <c r="CQ29" i="3" a="1"/>
  <c r="CQ30" i="3" a="1"/>
  <c r="CQ29" i="3"/>
  <c r="CQ30" i="3"/>
  <c r="CQ25" i="3"/>
  <c r="CR27" i="3" a="1"/>
  <c r="CR27" i="3"/>
  <c r="CR28" i="3" a="1"/>
  <c r="CR28" i="3"/>
  <c r="CR29" i="3" a="1"/>
  <c r="CR30" i="3" a="1"/>
  <c r="CR29" i="3"/>
  <c r="CR30" i="3"/>
  <c r="CR25" i="3"/>
  <c r="CS27" i="3" a="1"/>
  <c r="CS27" i="3"/>
  <c r="CS28" i="3" a="1"/>
  <c r="CS28" i="3"/>
  <c r="CS29" i="3" a="1"/>
  <c r="CS30" i="3" a="1"/>
  <c r="CS29" i="3"/>
  <c r="CS30" i="3"/>
  <c r="CS25" i="3"/>
  <c r="CT27" i="3" a="1"/>
  <c r="CT27" i="3"/>
  <c r="CT28" i="3" a="1"/>
  <c r="CT28" i="3"/>
  <c r="CT29" i="3" a="1"/>
  <c r="CT30" i="3" a="1"/>
  <c r="CT29" i="3"/>
  <c r="CT30" i="3"/>
  <c r="CT25" i="3"/>
  <c r="CU27" i="3" a="1"/>
  <c r="CU27" i="3"/>
  <c r="CU28" i="3" a="1"/>
  <c r="CU28" i="3"/>
  <c r="CU29" i="3" a="1"/>
  <c r="CU30" i="3" a="1"/>
  <c r="CU29" i="3"/>
  <c r="CU30" i="3"/>
  <c r="CU25" i="3"/>
  <c r="CV27" i="3" a="1"/>
  <c r="CV27" i="3"/>
  <c r="CV28" i="3" a="1"/>
  <c r="CV28" i="3"/>
  <c r="CV29" i="3" a="1"/>
  <c r="CV30" i="3" a="1"/>
  <c r="CV29" i="3"/>
  <c r="CV30" i="3"/>
  <c r="CV25" i="3"/>
  <c r="CA28" i="3" a="1"/>
  <c r="CA28" i="3"/>
  <c r="CA29" i="3" a="1"/>
  <c r="CA29" i="3"/>
  <c r="CA30" i="3" a="1"/>
  <c r="CA30" i="3"/>
  <c r="CA27" i="3" a="1"/>
  <c r="CA27" i="3"/>
  <c r="CA25" i="3"/>
  <c r="BY27" i="3"/>
  <c r="BX27" i="3"/>
  <c r="BX28" i="3"/>
  <c r="BX29" i="3"/>
  <c r="BX30" i="3"/>
  <c r="CA22" i="3" a="1"/>
  <c r="CA22" i="3"/>
  <c r="CA18" i="3"/>
  <c r="BY20" i="3"/>
  <c r="BX23" i="3"/>
  <c r="BX22" i="3"/>
  <c r="BX21" i="3"/>
  <c r="BX20" i="3"/>
  <c r="CA15" i="3" a="1"/>
  <c r="CA15" i="3"/>
  <c r="CA16" i="3" a="1"/>
  <c r="CA16" i="3"/>
  <c r="CA11" i="3"/>
  <c r="BY13" i="3"/>
  <c r="BX16" i="3"/>
  <c r="BX15" i="3"/>
  <c r="BX14" i="3"/>
  <c r="BX13" i="3"/>
  <c r="CA8" i="3" a="1"/>
  <c r="CA8" i="3"/>
  <c r="CA9" i="3" a="1"/>
  <c r="CA9" i="3"/>
  <c r="CA4" i="3"/>
  <c r="BY6" i="3"/>
  <c r="BX6" i="3"/>
  <c r="BX9" i="3"/>
  <c r="BX8" i="3"/>
  <c r="BX7" i="3"/>
  <c r="CI34" i="3" a="1"/>
  <c r="CI34" i="3"/>
  <c r="CI35" i="3" a="1"/>
  <c r="CI35" i="3"/>
  <c r="CI36" i="3" a="1"/>
  <c r="CI37" i="3" a="1"/>
  <c r="CI36" i="3"/>
  <c r="CI37" i="3"/>
  <c r="CI32" i="3"/>
  <c r="CJ34" i="3" a="1"/>
  <c r="CJ34" i="3"/>
  <c r="CJ35" i="3" a="1"/>
  <c r="CJ35" i="3"/>
  <c r="CJ36" i="3" a="1"/>
  <c r="CJ37" i="3" a="1"/>
  <c r="CJ36" i="3"/>
  <c r="CJ37" i="3"/>
  <c r="CJ32" i="3"/>
  <c r="CM37" i="3" a="1"/>
  <c r="CM37" i="3"/>
  <c r="CM32" i="3"/>
  <c r="CO37" i="3" a="1"/>
  <c r="CO37" i="3"/>
  <c r="CO32" i="3"/>
  <c r="CP37" i="3" a="1"/>
  <c r="CP37" i="3"/>
  <c r="CP32" i="3"/>
  <c r="CQ34" i="3" a="1"/>
  <c r="CQ34" i="3"/>
  <c r="CQ35" i="3" a="1"/>
  <c r="CQ35" i="3"/>
  <c r="CQ36" i="3" a="1"/>
  <c r="CQ37" i="3" a="1"/>
  <c r="CQ36" i="3"/>
  <c r="CQ37" i="3"/>
  <c r="CQ32" i="3"/>
  <c r="CR34" i="3" a="1"/>
  <c r="CR34" i="3"/>
  <c r="CR35" i="3" a="1"/>
  <c r="CR35" i="3"/>
  <c r="CR36" i="3" a="1"/>
  <c r="CR37" i="3" a="1"/>
  <c r="CR36" i="3"/>
  <c r="CR37" i="3"/>
  <c r="CR32" i="3"/>
  <c r="CS34" i="3" a="1"/>
  <c r="CS34" i="3"/>
  <c r="CS35" i="3" a="1"/>
  <c r="CS35" i="3"/>
  <c r="CS36" i="3" a="1"/>
  <c r="CS37" i="3" a="1"/>
  <c r="CS36" i="3"/>
  <c r="CS37" i="3"/>
  <c r="CS32" i="3"/>
  <c r="CT34" i="3" a="1"/>
  <c r="CT34" i="3"/>
  <c r="CT35" i="3" a="1"/>
  <c r="CT35" i="3"/>
  <c r="CT36" i="3" a="1"/>
  <c r="CT37" i="3" a="1"/>
  <c r="CT36" i="3"/>
  <c r="CT37" i="3"/>
  <c r="CT32" i="3"/>
  <c r="CU34" i="3" a="1"/>
  <c r="CU34" i="3"/>
  <c r="CU35" i="3" a="1"/>
  <c r="CU35" i="3"/>
  <c r="CU36" i="3" a="1"/>
  <c r="CU37" i="3" a="1"/>
  <c r="CU36" i="3"/>
  <c r="CU37" i="3"/>
  <c r="CU32" i="3"/>
  <c r="CV34" i="3" a="1"/>
  <c r="CV34" i="3"/>
  <c r="CV35" i="3" a="1"/>
  <c r="CV35" i="3"/>
  <c r="CV36" i="3" a="1"/>
  <c r="CV37" i="3" a="1"/>
  <c r="CV36" i="3"/>
  <c r="CV37" i="3"/>
  <c r="CV32" i="3"/>
  <c r="CA35" i="3" a="1"/>
  <c r="CA35" i="3"/>
  <c r="CA36" i="3" a="1"/>
  <c r="CA36" i="3"/>
  <c r="CA37" i="3" a="1"/>
  <c r="CA37" i="3"/>
  <c r="CA34" i="3" a="1"/>
  <c r="CA34" i="3"/>
  <c r="CA32" i="3"/>
  <c r="BY34" i="3"/>
  <c r="BX34" i="3"/>
  <c r="BX35" i="3"/>
  <c r="BX37" i="3"/>
  <c r="BX36" i="3"/>
  <c r="CI41" i="3" a="1"/>
  <c r="CI41" i="3"/>
  <c r="CI42" i="3" a="1"/>
  <c r="CI42" i="3"/>
  <c r="CI43" i="3" a="1"/>
  <c r="CI44" i="3" a="1"/>
  <c r="CI43" i="3"/>
  <c r="CI44" i="3"/>
  <c r="CI39" i="3"/>
  <c r="CJ41" i="3" a="1"/>
  <c r="CJ41" i="3"/>
  <c r="CJ42" i="3" a="1"/>
  <c r="CJ42" i="3"/>
  <c r="CJ43" i="3" a="1"/>
  <c r="CJ44" i="3" a="1"/>
  <c r="CJ43" i="3"/>
  <c r="CJ44" i="3"/>
  <c r="CJ39" i="3"/>
  <c r="CO44" i="3" a="1"/>
  <c r="CO44" i="3"/>
  <c r="CO39" i="3"/>
  <c r="CP44" i="3" a="1"/>
  <c r="CP44" i="3"/>
  <c r="CP39" i="3"/>
  <c r="CQ41" i="3" a="1"/>
  <c r="CQ41" i="3"/>
  <c r="CQ42" i="3" a="1"/>
  <c r="CQ42" i="3"/>
  <c r="CQ43" i="3" a="1"/>
  <c r="CQ44" i="3" a="1"/>
  <c r="CQ43" i="3"/>
  <c r="CQ44" i="3"/>
  <c r="CQ39" i="3"/>
  <c r="CR41" i="3" a="1"/>
  <c r="CR41" i="3"/>
  <c r="CR42" i="3" a="1"/>
  <c r="CR42" i="3"/>
  <c r="CR43" i="3" a="1"/>
  <c r="CR44" i="3" a="1"/>
  <c r="CR43" i="3"/>
  <c r="CR44" i="3"/>
  <c r="CR39" i="3"/>
  <c r="CS41" i="3" a="1"/>
  <c r="CS41" i="3"/>
  <c r="CS42" i="3" a="1"/>
  <c r="CS42" i="3"/>
  <c r="CS43" i="3" a="1"/>
  <c r="CS44" i="3" a="1"/>
  <c r="CS43" i="3"/>
  <c r="CS44" i="3"/>
  <c r="CS39" i="3"/>
  <c r="CT41" i="3" a="1"/>
  <c r="CT41" i="3"/>
  <c r="CT42" i="3" a="1"/>
  <c r="CT42" i="3"/>
  <c r="CT43" i="3" a="1"/>
  <c r="CT44" i="3" a="1"/>
  <c r="CT43" i="3"/>
  <c r="CT44" i="3"/>
  <c r="CT39" i="3"/>
  <c r="CU41" i="3" a="1"/>
  <c r="CU41" i="3"/>
  <c r="CU42" i="3" a="1"/>
  <c r="CU42" i="3"/>
  <c r="CU43" i="3" a="1"/>
  <c r="CU44" i="3" a="1"/>
  <c r="CU43" i="3"/>
  <c r="CU44" i="3"/>
  <c r="CU39" i="3"/>
  <c r="CV41" i="3" a="1"/>
  <c r="CV41" i="3"/>
  <c r="CV42" i="3" a="1"/>
  <c r="CV42" i="3"/>
  <c r="CV43" i="3" a="1"/>
  <c r="CV44" i="3" a="1"/>
  <c r="CV43" i="3"/>
  <c r="CV44" i="3"/>
  <c r="CV39" i="3"/>
  <c r="CA42" i="3" a="1"/>
  <c r="CA42" i="3"/>
  <c r="CA43" i="3" a="1"/>
  <c r="CA43" i="3"/>
  <c r="CA44" i="3" a="1"/>
  <c r="CA44" i="3"/>
  <c r="CA41" i="3" a="1"/>
  <c r="CA41" i="3"/>
  <c r="CA39" i="3"/>
  <c r="CM44" i="3" a="1"/>
  <c r="CM44" i="3"/>
  <c r="CM39" i="3"/>
  <c r="BY41" i="3"/>
  <c r="BX41" i="3"/>
  <c r="BX42" i="3"/>
  <c r="BX43" i="3"/>
  <c r="BX44" i="3"/>
  <c r="CI48" i="3" a="1"/>
  <c r="CI48" i="3"/>
  <c r="CI49" i="3" a="1"/>
  <c r="CI49" i="3"/>
  <c r="CI50" i="3" a="1"/>
  <c r="CI51" i="3" a="1"/>
  <c r="CI50" i="3"/>
  <c r="CI51" i="3"/>
  <c r="CI46" i="3"/>
  <c r="CJ48" i="3" a="1"/>
  <c r="CJ48" i="3"/>
  <c r="CJ49" i="3" a="1"/>
  <c r="CJ49" i="3"/>
  <c r="CJ50" i="3" a="1"/>
  <c r="CJ51" i="3" a="1"/>
  <c r="CJ50" i="3"/>
  <c r="CJ51" i="3"/>
  <c r="CJ46" i="3"/>
  <c r="CM51" i="3" a="1"/>
  <c r="CM51" i="3"/>
  <c r="CM46" i="3"/>
  <c r="CO51" i="3" a="1"/>
  <c r="CO51" i="3"/>
  <c r="CO46" i="3"/>
  <c r="CP51" i="3" a="1"/>
  <c r="CP51" i="3"/>
  <c r="CP46" i="3"/>
  <c r="CQ48" i="3" a="1"/>
  <c r="CQ48" i="3"/>
  <c r="CQ49" i="3" a="1"/>
  <c r="CQ49" i="3"/>
  <c r="CQ50" i="3" a="1"/>
  <c r="CQ51" i="3" a="1"/>
  <c r="CQ50" i="3"/>
  <c r="CQ51" i="3"/>
  <c r="CQ46" i="3"/>
  <c r="CR48" i="3" a="1"/>
  <c r="CR48" i="3"/>
  <c r="CR49" i="3" a="1"/>
  <c r="CR49" i="3"/>
  <c r="CR50" i="3" a="1"/>
  <c r="CR51" i="3" a="1"/>
  <c r="CR50" i="3"/>
  <c r="CR51" i="3"/>
  <c r="CR46" i="3"/>
  <c r="CS48" i="3" a="1"/>
  <c r="CS48" i="3"/>
  <c r="CS49" i="3" a="1"/>
  <c r="CS49" i="3"/>
  <c r="CS50" i="3" a="1"/>
  <c r="CS51" i="3" a="1"/>
  <c r="CS50" i="3"/>
  <c r="CS51" i="3"/>
  <c r="CS46" i="3"/>
  <c r="CT48" i="3" a="1"/>
  <c r="CT48" i="3"/>
  <c r="CT49" i="3" a="1"/>
  <c r="CT49" i="3"/>
  <c r="CT50" i="3" a="1"/>
  <c r="CT51" i="3" a="1"/>
  <c r="CT50" i="3"/>
  <c r="CT51" i="3"/>
  <c r="CT46" i="3"/>
  <c r="CU48" i="3" a="1"/>
  <c r="CU48" i="3"/>
  <c r="CU49" i="3" a="1"/>
  <c r="CU49" i="3"/>
  <c r="CU50" i="3" a="1"/>
  <c r="CU51" i="3" a="1"/>
  <c r="CU50" i="3"/>
  <c r="CU51" i="3"/>
  <c r="CU46" i="3"/>
  <c r="CV48" i="3" a="1"/>
  <c r="CV48" i="3"/>
  <c r="CV49" i="3" a="1"/>
  <c r="CV49" i="3"/>
  <c r="CV50" i="3" a="1"/>
  <c r="CV51" i="3" a="1"/>
  <c r="CV50" i="3"/>
  <c r="CV51" i="3"/>
  <c r="CV46" i="3"/>
  <c r="CA49" i="3" a="1"/>
  <c r="CA49" i="3"/>
  <c r="CA50" i="3" a="1"/>
  <c r="CA50" i="3"/>
  <c r="CA51" i="3" a="1"/>
  <c r="CA51" i="3"/>
  <c r="CA48" i="3" a="1"/>
  <c r="CA48" i="3"/>
  <c r="CA46" i="3"/>
  <c r="BY48" i="3"/>
  <c r="BX48" i="3"/>
  <c r="BX49" i="3"/>
  <c r="BX50" i="3"/>
  <c r="BX51" i="3"/>
  <c r="CI55" i="3" a="1"/>
  <c r="CI55" i="3"/>
  <c r="CI56" i="3" a="1"/>
  <c r="CI56" i="3"/>
  <c r="CI57" i="3" a="1"/>
  <c r="CI58" i="3" a="1"/>
  <c r="CI57" i="3"/>
  <c r="CI58" i="3"/>
  <c r="CI53" i="3"/>
  <c r="CJ55" i="3" a="1"/>
  <c r="CJ55" i="3"/>
  <c r="CJ56" i="3" a="1"/>
  <c r="CJ56" i="3"/>
  <c r="CJ57" i="3" a="1"/>
  <c r="CJ58" i="3" a="1"/>
  <c r="CJ57" i="3"/>
  <c r="CJ58" i="3"/>
  <c r="CJ53" i="3"/>
  <c r="CM58" i="3" a="1"/>
  <c r="CM58" i="3"/>
  <c r="CM53" i="3"/>
  <c r="CO58" i="3" a="1"/>
  <c r="CO58" i="3"/>
  <c r="CO53" i="3"/>
  <c r="CP58" i="3" a="1"/>
  <c r="CP58" i="3"/>
  <c r="CP53" i="3"/>
  <c r="CQ55" i="3" a="1"/>
  <c r="CQ55" i="3"/>
  <c r="CQ56" i="3" a="1"/>
  <c r="CQ56" i="3"/>
  <c r="CQ57" i="3" a="1"/>
  <c r="CQ58" i="3" a="1"/>
  <c r="CQ57" i="3"/>
  <c r="CQ58" i="3"/>
  <c r="CQ53" i="3"/>
  <c r="CR55" i="3" a="1"/>
  <c r="CR55" i="3"/>
  <c r="CR56" i="3" a="1"/>
  <c r="CR56" i="3"/>
  <c r="CR57" i="3" a="1"/>
  <c r="CR58" i="3" a="1"/>
  <c r="CR57" i="3"/>
  <c r="CR58" i="3"/>
  <c r="CR53" i="3"/>
  <c r="CS55" i="3" a="1"/>
  <c r="CS55" i="3"/>
  <c r="CS56" i="3" a="1"/>
  <c r="CS56" i="3"/>
  <c r="CS57" i="3" a="1"/>
  <c r="CS58" i="3" a="1"/>
  <c r="CS57" i="3"/>
  <c r="CS58" i="3"/>
  <c r="CS53" i="3"/>
  <c r="CT55" i="3" a="1"/>
  <c r="CT55" i="3"/>
  <c r="CT56" i="3" a="1"/>
  <c r="CT56" i="3"/>
  <c r="CT57" i="3" a="1"/>
  <c r="CT58" i="3" a="1"/>
  <c r="CT57" i="3"/>
  <c r="CT58" i="3"/>
  <c r="CT53" i="3"/>
  <c r="CU55" i="3" a="1"/>
  <c r="CU55" i="3"/>
  <c r="CU56" i="3" a="1"/>
  <c r="CU56" i="3"/>
  <c r="CU57" i="3" a="1"/>
  <c r="CU58" i="3" a="1"/>
  <c r="CU57" i="3"/>
  <c r="CU58" i="3"/>
  <c r="CU53" i="3"/>
  <c r="CV55" i="3" a="1"/>
  <c r="CV55" i="3"/>
  <c r="CV56" i="3" a="1"/>
  <c r="CV56" i="3"/>
  <c r="CV57" i="3" a="1"/>
  <c r="CV58" i="3" a="1"/>
  <c r="CV57" i="3"/>
  <c r="CV58" i="3"/>
  <c r="CV53" i="3"/>
  <c r="CA56" i="3" a="1"/>
  <c r="CA56" i="3"/>
  <c r="CA57" i="3" a="1"/>
  <c r="CA57" i="3"/>
  <c r="CA58" i="3" a="1"/>
  <c r="CA58" i="3"/>
  <c r="CA55" i="3" a="1"/>
  <c r="CA55" i="3"/>
  <c r="CA53" i="3"/>
  <c r="BY55" i="3"/>
  <c r="BX55" i="3"/>
  <c r="BX56" i="3"/>
  <c r="BX57" i="3"/>
  <c r="BX58" i="3"/>
</calcChain>
</file>

<file path=xl/sharedStrings.xml><?xml version="1.0" encoding="utf-8"?>
<sst xmlns="http://schemas.openxmlformats.org/spreadsheetml/2006/main" count="1003" uniqueCount="229">
  <si>
    <t>A</t>
  </si>
  <si>
    <t>B</t>
  </si>
  <si>
    <t>C</t>
  </si>
  <si>
    <t>D</t>
  </si>
  <si>
    <t>E</t>
  </si>
  <si>
    <t>F</t>
  </si>
  <si>
    <t>Equipo</t>
  </si>
  <si>
    <t>J</t>
  </si>
  <si>
    <t>G</t>
  </si>
  <si>
    <t>P</t>
  </si>
  <si>
    <t>GF</t>
  </si>
  <si>
    <t>GC</t>
  </si>
  <si>
    <t>Puntos</t>
  </si>
  <si>
    <t>FINAL</t>
  </si>
  <si>
    <t>Dif</t>
  </si>
  <si>
    <t>Fecha</t>
  </si>
  <si>
    <t>Puesto</t>
  </si>
  <si>
    <t>Ptos</t>
  </si>
  <si>
    <t>Rank</t>
  </si>
  <si>
    <t>Rusia</t>
  </si>
  <si>
    <t>Islandia</t>
  </si>
  <si>
    <t>OCTAVOS DE FINAL</t>
  </si>
  <si>
    <t>CUARTOS DE FINAL</t>
  </si>
  <si>
    <t>SEMIFINALES</t>
  </si>
  <si>
    <t>FASE DE GRUPOS</t>
  </si>
  <si>
    <t>X</t>
  </si>
  <si>
    <t>Pos</t>
  </si>
  <si>
    <t>Grupo A</t>
  </si>
  <si>
    <t>Grupo F</t>
  </si>
  <si>
    <t>Grupo E</t>
  </si>
  <si>
    <t>Grupo D</t>
  </si>
  <si>
    <t>Grupo C</t>
  </si>
  <si>
    <t>Grupo B</t>
  </si>
  <si>
    <t>AUXILIAR GRUPO A</t>
  </si>
  <si>
    <t>AUXILIAR GRUPO F</t>
  </si>
  <si>
    <t>AUXILIAR GRUPO E</t>
  </si>
  <si>
    <t>AUXILIAR GRUPO D</t>
  </si>
  <si>
    <t>AUXILIAR GRUPO C</t>
  </si>
  <si>
    <t>AUXILIAR GRUPO B</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</si>
  <si>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</si>
  <si>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</si>
  <si>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</si>
  <si>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</si>
  <si>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</si>
  <si>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</si>
  <si>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</si>
  <si>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</si>
  <si>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</si>
  <si>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</si>
  <si>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</si>
  <si>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</si>
  <si>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</si>
  <si>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</si>
  <si>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</si>
  <si>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GOLES General</t>
  </si>
  <si>
    <t>MÁS PUNTOS General</t>
  </si>
  <si>
    <t>Clasificada</t>
  </si>
  <si>
    <t>POSICIÓN GRUPOS</t>
  </si>
  <si>
    <t>1º GRUPO A</t>
  </si>
  <si>
    <t>2º GRUPO A</t>
  </si>
  <si>
    <t>3º GRUPO A</t>
  </si>
  <si>
    <t>4º GRUPO A</t>
  </si>
  <si>
    <t>1º GRUPO B</t>
  </si>
  <si>
    <t>2º GRUPO C</t>
  </si>
  <si>
    <t>3º GRUPO B</t>
  </si>
  <si>
    <t>2º GRUPO B</t>
  </si>
  <si>
    <t>4º GRUPO B</t>
  </si>
  <si>
    <t>1º GRUPO C</t>
  </si>
  <si>
    <t>3º GRUPO C</t>
  </si>
  <si>
    <t>4º GRUPO C</t>
  </si>
  <si>
    <t>1º GRUPO D</t>
  </si>
  <si>
    <t>2º GRUPO D</t>
  </si>
  <si>
    <t>3º GRUPO D</t>
  </si>
  <si>
    <t>4º GRUPO D</t>
  </si>
  <si>
    <t>1º GRUPO E</t>
  </si>
  <si>
    <t>2º GRUPO E</t>
  </si>
  <si>
    <t>3º GRUPO E</t>
  </si>
  <si>
    <t>4º GRUPO E</t>
  </si>
  <si>
    <t>1º GRUPO F</t>
  </si>
  <si>
    <t>2º GRUPO F</t>
  </si>
  <si>
    <t>3º GRUPO F</t>
  </si>
  <si>
    <t>4º GRUPO F</t>
  </si>
  <si>
    <t>Octavofinalista</t>
  </si>
  <si>
    <t>CLASIFICADOS PARA CUARTOS</t>
  </si>
  <si>
    <t>CLASIFICADOS PARA OCTAVOS</t>
  </si>
  <si>
    <t>Cuartofinalista</t>
  </si>
  <si>
    <t>CLASIFICADOS PARA SEMIFINALES</t>
  </si>
  <si>
    <t>Semifinalista</t>
  </si>
  <si>
    <t>CLASIFICADOS PARA LA FINAL</t>
  </si>
  <si>
    <t>PORRISTA</t>
  </si>
  <si>
    <t>Finalista</t>
  </si>
  <si>
    <t>CAMPEONES</t>
  </si>
  <si>
    <t>Nombre</t>
  </si>
  <si>
    <t>TU NOMBRE</t>
  </si>
  <si>
    <t>Para el administrador de la porra</t>
  </si>
  <si>
    <t>santi</t>
  </si>
  <si>
    <t>ENFRENTAMIENTOS OCTAVOS</t>
  </si>
  <si>
    <t>ENFRENTAMIENTOS CUARTOS</t>
  </si>
  <si>
    <t>ENFRENTAMIENTOS SEMIFINALES</t>
  </si>
  <si>
    <t>ENFRENTAMIENTO FINAL</t>
  </si>
  <si>
    <t>Ekaterimburgo Arena, Ekaterimburgo</t>
  </si>
  <si>
    <t>Rostov Arena, Rostov del Don</t>
  </si>
  <si>
    <t>Samara Arena, Samara</t>
  </si>
  <si>
    <t>Mordovia Arena, Saransk</t>
  </si>
  <si>
    <t>Kazan Arena, Kazán</t>
  </si>
  <si>
    <t>Grupo G</t>
  </si>
  <si>
    <t>AUXILIAR GRUPO G</t>
  </si>
  <si>
    <t>H</t>
  </si>
  <si>
    <t>Grupo H</t>
  </si>
  <si>
    <t>AUXILIAR GRUPO H</t>
  </si>
  <si>
    <t>3º y 4º PUESTO</t>
  </si>
  <si>
    <t>Estadio, Ciudad</t>
  </si>
  <si>
    <t>BOTA DE ORO (Máximo goleador)</t>
  </si>
  <si>
    <t>BOTA DE PLATA (2ºMáximo goleador)</t>
  </si>
  <si>
    <t>BOTA DE BRONCE (3ºMáximo goleador)</t>
  </si>
  <si>
    <t>ZfP4b()8G6b·$55Ma-t·%fv-ttyZxR-.R*+Fd</t>
  </si>
  <si>
    <t>BALÓN DE ORO (Mejor jugador)</t>
  </si>
  <si>
    <t>BALÓN DE PLATA (2ºMejor jugador)</t>
  </si>
  <si>
    <t>BALÓN DE BRONCE (3ºMejor jugador)</t>
  </si>
  <si>
    <t>1º GRUPO G</t>
  </si>
  <si>
    <t>2º GRUPO G</t>
  </si>
  <si>
    <t>3º GRUPO G</t>
  </si>
  <si>
    <t>4º GRUPO G</t>
  </si>
  <si>
    <t>1º GRUPO H</t>
  </si>
  <si>
    <t>2º GRUPO H</t>
  </si>
  <si>
    <t>3º GRUPO H</t>
  </si>
  <si>
    <t>4º GRUPO H</t>
  </si>
  <si>
    <t>Partido 3º y 4º Puesto</t>
  </si>
  <si>
    <t>Campeón</t>
  </si>
  <si>
    <t>3º y 4º puesto (1)</t>
  </si>
  <si>
    <t>3º y 4º puesto (2)</t>
  </si>
  <si>
    <t>Subcampeón</t>
  </si>
  <si>
    <t>3º Puesto</t>
  </si>
  <si>
    <t>Bota de Oro</t>
  </si>
  <si>
    <t>Bota de Plata</t>
  </si>
  <si>
    <t>Bota de Bronce</t>
  </si>
  <si>
    <t>Balón de Oro</t>
  </si>
  <si>
    <t>Balón de Plata</t>
  </si>
  <si>
    <t>Balón de Bronce</t>
  </si>
  <si>
    <t>EL ADMINISTRADOR DE LA PORRA COPIARA DE LA C6 A LA C166 Y LA PEGARÁ EN LA PLANTILLA DEL ADMINISTRADOR</t>
  </si>
  <si>
    <t>MÁS DIF GOLES General</t>
  </si>
  <si>
    <t>BOMBO</t>
  </si>
  <si>
    <t>⅛</t>
  </si>
  <si>
    <t>¼</t>
  </si>
  <si>
    <t>½</t>
  </si>
  <si>
    <t>¾</t>
  </si>
  <si>
    <t>CUADRO DE HONOR</t>
  </si>
  <si>
    <t>N!"kvfjM.%&amp;gk5kfmfvv)/%;V$&amp;VW</t>
  </si>
  <si>
    <t>Alemania</t>
  </si>
  <si>
    <t>Polonia</t>
  </si>
  <si>
    <t>Bélgica</t>
  </si>
  <si>
    <t>Francia</t>
  </si>
  <si>
    <t>Portugal</t>
  </si>
  <si>
    <t>Argentina</t>
  </si>
  <si>
    <t>Brasil</t>
  </si>
  <si>
    <t>España</t>
  </si>
  <si>
    <t>Suiza</t>
  </si>
  <si>
    <t>Croacia</t>
  </si>
  <si>
    <t>Inglaterra</t>
  </si>
  <si>
    <t>México</t>
  </si>
  <si>
    <t>Colombia</t>
  </si>
  <si>
    <t>Perú</t>
  </si>
  <si>
    <t>Uruguay</t>
  </si>
  <si>
    <t>Egipto</t>
  </si>
  <si>
    <t>Senegal</t>
  </si>
  <si>
    <t>Túnez</t>
  </si>
  <si>
    <t>Irán</t>
  </si>
  <si>
    <t>Suecia</t>
  </si>
  <si>
    <t>Dinamarca</t>
  </si>
  <si>
    <t>Costa Rica</t>
  </si>
  <si>
    <t>Marruecos</t>
  </si>
  <si>
    <t>Nigeria</t>
  </si>
  <si>
    <t>Arabia Saudí</t>
  </si>
  <si>
    <t>Australia</t>
  </si>
  <si>
    <t>Japón</t>
  </si>
  <si>
    <t>Serbia</t>
  </si>
  <si>
    <t>Panamá</t>
  </si>
  <si>
    <t>Rep. de Corea</t>
  </si>
  <si>
    <t>Hora (ESP)</t>
  </si>
  <si>
    <t>Escribe un jugador</t>
  </si>
  <si>
    <t>MÁS DIF GOLES X</t>
  </si>
  <si>
    <t>MÁS GOLES X</t>
  </si>
  <si>
    <t>¡No tocar nada, se rellena solo!</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</si>
  <si>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</si>
  <si>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</si>
  <si>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</si>
  <si>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</si>
  <si>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</si>
  <si>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</si>
  <si>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</si>
  <si>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</si>
  <si>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</si>
  <si>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</si>
  <si>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</si>
  <si>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</si>
  <si>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</si>
  <si>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</si>
  <si>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</si>
  <si>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</si>
  <si>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</si>
  <si>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</si>
  <si>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</si>
  <si>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</si>
  <si>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</si>
  <si>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</si>
  <si>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</si>
  <si>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Est. Luzhnikí, Moscú</t>
  </si>
  <si>
    <t>Est. Fisth, Sochi</t>
  </si>
  <si>
    <t>Est. de Kaliningrado, Kaliningrado</t>
  </si>
  <si>
    <t>Est. del Spartak, Moscú</t>
  </si>
  <si>
    <t>Est. de Nizhni Nóvgorod,  Nizhni Nóvgorod</t>
  </si>
  <si>
    <t>Est., Ciudad</t>
  </si>
  <si>
    <t>Est. de S. Petersburgo, S. Petersburgo</t>
  </si>
  <si>
    <t>-</t>
  </si>
  <si>
    <t>no</t>
  </si>
  <si>
    <t>Valor</t>
  </si>
  <si>
    <t>Sum</t>
  </si>
  <si>
    <t>Com</t>
  </si>
  <si>
    <t>¡EMPATE! Puedes seleccionar el orden de los empatados.</t>
  </si>
  <si>
    <t>mat</t>
  </si>
  <si>
    <t>ESCRIBE TU NOMBRE</t>
  </si>
  <si>
    <t>Volgogrado Arena, Volgogrado</t>
  </si>
  <si>
    <t>Limitación de responsabilidad:</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</si>
  <si>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Este archivo está disponible de manera gratuita y queda prohibida la venta del mismo. Si el archivo es compartido en internet, se debe mencionar el origen del mismo. El archivo no se debe editar salvo en los lugares establecidos para ello (introducir los resultados, el nombre, establecer la puntuaciones). Las formulas, la protección y la estructura no debe ser modificada.</t>
  </si>
  <si>
    <t>Autor:</t>
  </si>
  <si>
    <t>Miguel Angel Tejero</t>
  </si>
  <si>
    <r>
      <rPr>
        <b/>
        <sz val="11"/>
        <color theme="1"/>
        <rFont val="Calibri"/>
        <family val="2"/>
        <scheme val="minor"/>
      </rPr>
      <t>Fecha de la útima versión:</t>
    </r>
    <r>
      <rPr>
        <sz val="11"/>
        <color theme="1"/>
        <rFont val="Calibri"/>
        <family val="2"/>
        <scheme val="minor"/>
      </rPr>
      <t xml:space="preserve"> 21/01/2018</t>
    </r>
  </si>
  <si>
    <t>http://www.matejero.es</t>
  </si>
  <si>
    <t>Gracias a la colaboración de SandruskDesign con el diseño: http://sandruskdesign.com/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</si>
</sst>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Red]\-#,##0.00\ &quot;€&quot;"/>
  </numFmts>
  <fonts count="40" x14ac:knownFonts="1">
    <font>
      <sz val="11"/>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11"/>
      <color rgb="FF0070C0"/>
      <name val="Calibri"/>
      <family val="2"/>
      <scheme val="minor"/>
    </font>
    <font>
      <sz val="10"/>
      <color theme="1"/>
      <name val="Calibri"/>
      <family val="2"/>
      <scheme val="minor"/>
    </font>
    <font>
      <b/>
      <sz val="14"/>
      <color theme="1"/>
      <name val="Calibri"/>
      <family val="2"/>
      <scheme val="minor"/>
    </font>
    <font>
      <b/>
      <sz val="11"/>
      <color theme="0" tint="-0.14999847407452621"/>
      <name val="Calibri"/>
      <family val="2"/>
      <scheme val="minor"/>
    </font>
    <font>
      <b/>
      <sz val="12"/>
      <color theme="0" tint="-0.14999847407452621"/>
      <name val="Calibri"/>
      <family val="2"/>
      <scheme val="minor"/>
    </font>
    <font>
      <sz val="9"/>
      <color theme="0" tint="-0.14999847407452621"/>
      <name val="Arial"/>
      <family val="2"/>
    </font>
    <font>
      <b/>
      <sz val="24"/>
      <name val="Calibri"/>
      <family val="2"/>
      <scheme val="minor"/>
    </font>
    <font>
      <b/>
      <sz val="11"/>
      <color theme="0" tint="-4.9989318521683403E-2"/>
      <name val="Calibri"/>
      <family val="2"/>
      <scheme val="minor"/>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sz val="36"/>
      <color theme="0"/>
      <name val="Calibri"/>
      <family val="2"/>
      <scheme val="minor"/>
    </font>
    <font>
      <sz val="30"/>
      <color theme="0"/>
      <name val="Calibri"/>
      <family val="2"/>
      <scheme val="minor"/>
    </font>
    <font>
      <b/>
      <sz val="10"/>
      <color theme="3"/>
      <name val="Calibri"/>
      <family val="2"/>
      <scheme val="minor"/>
    </font>
    <font>
      <sz val="11"/>
      <name val="Calibri"/>
      <family val="2"/>
      <scheme val="minor"/>
    </font>
    <font>
      <sz val="10"/>
      <color theme="0" tint="-4.9989318521683403E-2"/>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color theme="0" tint="-4.9989318521683403E-2"/>
      <name val="Calibri"/>
      <family val="2"/>
      <scheme val="minor"/>
    </font>
    <font>
      <b/>
      <sz val="8"/>
      <color theme="0"/>
      <name val="Calibri"/>
      <family val="2"/>
      <scheme val="minor"/>
    </font>
    <font>
      <b/>
      <sz val="9"/>
      <color theme="0"/>
      <name val="Calibri"/>
      <family val="2"/>
      <scheme val="minor"/>
    </font>
    <font>
      <sz val="8"/>
      <color theme="0"/>
      <name val="Calibri"/>
      <family val="2"/>
      <scheme val="minor"/>
    </font>
    <font>
      <b/>
      <sz val="10"/>
      <color theme="0"/>
      <name val="Calibri"/>
      <family val="2"/>
      <scheme val="minor"/>
    </font>
    <font>
      <sz val="9"/>
      <color theme="0"/>
      <name val="Calibri"/>
      <family val="2"/>
      <scheme val="minor"/>
    </font>
  </fonts>
  <fills count="21">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rgb="FF006398"/>
        <bgColor indexed="64"/>
      </patternFill>
    </fill>
    <fill>
      <patternFill patternType="solid">
        <fgColor rgb="FFB4181D"/>
        <bgColor indexed="64"/>
      </patternFill>
    </fill>
    <fill>
      <patternFill patternType="solid">
        <fgColor rgb="FF008CD0"/>
        <bgColor indexed="64"/>
      </patternFill>
    </fill>
    <fill>
      <patternFill patternType="solid">
        <fgColor rgb="FFBDB18A"/>
        <bgColor indexed="64"/>
      </patternFill>
    </fill>
    <fill>
      <patternFill patternType="solid">
        <fgColor rgb="FF54357E"/>
        <bgColor indexed="64"/>
      </patternFill>
    </fill>
    <fill>
      <patternFill patternType="solid">
        <fgColor rgb="FF018948"/>
        <bgColor indexed="64"/>
      </patternFill>
    </fill>
    <fill>
      <patternFill patternType="solid">
        <fgColor rgb="FF1B8E91"/>
        <bgColor indexed="64"/>
      </patternFill>
    </fill>
    <fill>
      <patternFill patternType="solid">
        <fgColor rgb="FFF47921"/>
        <bgColor indexed="64"/>
      </patternFill>
    </fill>
    <fill>
      <patternFill patternType="solid">
        <fgColor rgb="FF34929A"/>
        <bgColor indexed="64"/>
      </patternFill>
    </fill>
    <fill>
      <patternFill patternType="solid">
        <fgColor rgb="FF3A6367"/>
        <bgColor indexed="64"/>
      </patternFill>
    </fill>
    <fill>
      <patternFill patternType="solid">
        <fgColor rgb="FFFFBE56"/>
        <bgColor indexed="64"/>
      </patternFill>
    </fill>
    <fill>
      <patternFill patternType="solid">
        <fgColor rgb="FFFF9D56"/>
        <bgColor indexed="64"/>
      </patternFill>
    </fill>
    <fill>
      <patternFill patternType="solid">
        <fgColor rgb="FFFF5A5C"/>
        <bgColor indexed="64"/>
      </patternFill>
    </fill>
    <fill>
      <patternFill patternType="solid">
        <fgColor rgb="FFFC5A5C"/>
        <bgColor indexed="64"/>
      </patternFill>
    </fill>
    <fill>
      <patternFill patternType="solid">
        <fgColor rgb="FFFF0000"/>
        <bgColor indexed="64"/>
      </patternFill>
    </fill>
  </fills>
  <borders count="6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top/>
      <bottom/>
      <diagonal/>
    </border>
    <border>
      <left/>
      <right style="thin">
        <color auto="1"/>
      </right>
      <top/>
      <bottom/>
      <diagonal/>
    </border>
    <border>
      <left style="thin">
        <color auto="1"/>
      </left>
      <right/>
      <top style="medium">
        <color auto="1"/>
      </top>
      <bottom style="thin">
        <color auto="1"/>
      </bottom>
      <diagonal/>
    </border>
    <border>
      <left style="thin">
        <color auto="1"/>
      </left>
      <right/>
      <top style="thin">
        <color auto="1"/>
      </top>
      <bottom/>
      <diagonal/>
    </border>
    <border>
      <left/>
      <right/>
      <top/>
      <bottom style="thin">
        <color theme="0"/>
      </bottom>
      <diagonal/>
    </border>
    <border>
      <left/>
      <right/>
      <top style="thin">
        <color theme="0"/>
      </top>
      <bottom style="thin">
        <color theme="0"/>
      </bottom>
      <diagonal/>
    </border>
    <border>
      <left/>
      <right/>
      <top style="thin">
        <color theme="0"/>
      </top>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bottom style="thin">
        <color auto="1"/>
      </bottom>
      <diagonal/>
    </border>
    <border>
      <left/>
      <right style="thin">
        <color auto="1"/>
      </right>
      <top style="thin">
        <color auto="1"/>
      </top>
      <bottom/>
      <diagonal/>
    </border>
    <border>
      <left style="medium">
        <color auto="1"/>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right style="thin">
        <color theme="0"/>
      </right>
      <top style="thin">
        <color theme="0"/>
      </top>
      <bottom style="thin">
        <color theme="0"/>
      </bottom>
      <diagonal/>
    </border>
    <border>
      <left style="thin">
        <color theme="0"/>
      </left>
      <right/>
      <top/>
      <bottom/>
      <diagonal/>
    </border>
    <border>
      <left style="thin">
        <color theme="0"/>
      </left>
      <right/>
      <top style="thin">
        <color theme="0"/>
      </top>
      <bottom style="thin">
        <color theme="0"/>
      </bottom>
      <diagonal/>
    </border>
    <border>
      <left style="thin">
        <color auto="1"/>
      </left>
      <right style="thin">
        <color auto="1"/>
      </right>
      <top style="thin">
        <color auto="1"/>
      </top>
      <bottom/>
      <diagonal/>
    </border>
    <border>
      <left style="thin">
        <color theme="0"/>
      </left>
      <right/>
      <top/>
      <bottom style="thin">
        <color theme="0"/>
      </bottom>
      <diagonal/>
    </border>
    <border>
      <left style="medium">
        <color theme="1"/>
      </left>
      <right style="thin">
        <color auto="1"/>
      </right>
      <top style="medium">
        <color theme="1"/>
      </top>
      <bottom style="thin">
        <color auto="1"/>
      </bottom>
      <diagonal/>
    </border>
    <border>
      <left style="thin">
        <color auto="1"/>
      </left>
      <right style="thin">
        <color auto="1"/>
      </right>
      <top style="medium">
        <color theme="1"/>
      </top>
      <bottom style="thin">
        <color auto="1"/>
      </bottom>
      <diagonal/>
    </border>
    <border>
      <left style="thin">
        <color auto="1"/>
      </left>
      <right style="medium">
        <color theme="1"/>
      </right>
      <top style="medium">
        <color theme="1"/>
      </top>
      <bottom style="thin">
        <color auto="1"/>
      </bottom>
      <diagonal/>
    </border>
    <border>
      <left style="medium">
        <color theme="1"/>
      </left>
      <right style="thin">
        <color auto="1"/>
      </right>
      <top style="thin">
        <color auto="1"/>
      </top>
      <bottom style="thin">
        <color auto="1"/>
      </bottom>
      <diagonal/>
    </border>
    <border>
      <left style="thin">
        <color auto="1"/>
      </left>
      <right style="medium">
        <color theme="1"/>
      </right>
      <top style="thin">
        <color auto="1"/>
      </top>
      <bottom style="thin">
        <color auto="1"/>
      </bottom>
      <diagonal/>
    </border>
    <border>
      <left style="medium">
        <color theme="1"/>
      </left>
      <right style="thin">
        <color auto="1"/>
      </right>
      <top style="thin">
        <color auto="1"/>
      </top>
      <bottom style="medium">
        <color theme="1"/>
      </bottom>
      <diagonal/>
    </border>
    <border>
      <left style="thin">
        <color auto="1"/>
      </left>
      <right style="thin">
        <color auto="1"/>
      </right>
      <top style="thin">
        <color auto="1"/>
      </top>
      <bottom style="medium">
        <color theme="1"/>
      </bottom>
      <diagonal/>
    </border>
    <border>
      <left style="thin">
        <color auto="1"/>
      </left>
      <right style="medium">
        <color theme="1"/>
      </right>
      <top style="thin">
        <color auto="1"/>
      </top>
      <bottom style="medium">
        <color theme="1"/>
      </bottom>
      <diagonal/>
    </border>
    <border>
      <left/>
      <right/>
      <top/>
      <bottom style="medium">
        <color theme="1"/>
      </bottom>
      <diagonal/>
    </border>
    <border>
      <left/>
      <right/>
      <top style="medium">
        <color theme="1"/>
      </top>
      <bottom/>
      <diagonal/>
    </border>
    <border>
      <left/>
      <right style="thin">
        <color theme="0"/>
      </right>
      <top style="thin">
        <color theme="0"/>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right/>
      <top style="thin">
        <color auto="1"/>
      </top>
      <bottom/>
      <diagonal/>
    </border>
    <border>
      <left/>
      <right/>
      <top/>
      <bottom style="thin">
        <color auto="1"/>
      </bottom>
      <diagonal/>
    </border>
    <border>
      <left style="thin">
        <color auto="1"/>
      </left>
      <right style="thin">
        <color theme="0"/>
      </right>
      <top style="thin">
        <color auto="1"/>
      </top>
      <bottom/>
      <diagonal/>
    </border>
    <border>
      <left style="thin">
        <color theme="0"/>
      </left>
      <right style="thin">
        <color theme="0"/>
      </right>
      <top style="thin">
        <color auto="1"/>
      </top>
      <bottom/>
      <diagonal/>
    </border>
    <border>
      <left style="thin">
        <color theme="0"/>
      </left>
      <right style="thin">
        <color auto="1"/>
      </right>
      <top style="thin">
        <color auto="1"/>
      </top>
      <bottom/>
      <diagonal/>
    </border>
  </borders>
  <cellStyleXfs count="2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569">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left" indent="1"/>
    </xf>
    <xf numFmtId="0" fontId="7" fillId="2" borderId="0" xfId="0" applyFont="1" applyFill="1" applyAlignment="1">
      <alignment horizontal="left" indent="1"/>
    </xf>
    <xf numFmtId="0" fontId="0" fillId="0" borderId="0" xfId="0" applyFill="1" applyAlignment="1">
      <alignment horizontal="left" indent="1"/>
    </xf>
    <xf numFmtId="0" fontId="0" fillId="0" borderId="0" xfId="0" applyFill="1" applyBorder="1" applyAlignment="1">
      <alignment horizontal="left" indent="1"/>
    </xf>
    <xf numFmtId="0" fontId="0" fillId="2" borderId="0" xfId="0" applyFill="1" applyAlignment="1">
      <alignment horizontal="center"/>
    </xf>
    <xf numFmtId="0" fontId="0" fillId="0" borderId="0" xfId="0" applyFill="1"/>
    <xf numFmtId="0" fontId="7" fillId="0" borderId="0" xfId="0" applyFont="1" applyFill="1"/>
    <xf numFmtId="0" fontId="0" fillId="5" borderId="0" xfId="0" applyFill="1"/>
    <xf numFmtId="0" fontId="0" fillId="5" borderId="0" xfId="0" applyFill="1" applyProtection="1">
      <protection hidden="1"/>
    </xf>
    <xf numFmtId="0" fontId="0" fillId="5" borderId="0" xfId="0" applyFill="1" applyAlignment="1">
      <alignment horizontal="center"/>
    </xf>
    <xf numFmtId="0" fontId="0" fillId="5" borderId="14" xfId="0" applyFill="1" applyBorder="1"/>
    <xf numFmtId="0" fontId="7" fillId="2" borderId="0" xfId="0" applyFont="1" applyFill="1" applyProtection="1">
      <protection hidden="1"/>
    </xf>
    <xf numFmtId="0" fontId="0" fillId="5" borderId="0" xfId="0" applyFill="1" applyBorder="1"/>
    <xf numFmtId="0" fontId="9" fillId="5" borderId="0" xfId="0" applyFont="1" applyFill="1" applyBorder="1" applyAlignment="1" applyProtection="1">
      <alignment horizontal="center"/>
      <protection hidden="1"/>
    </xf>
    <xf numFmtId="0" fontId="9" fillId="5" borderId="0" xfId="0" applyFont="1" applyFill="1" applyAlignment="1" applyProtection="1">
      <alignment horizontal="center"/>
      <protection hidden="1"/>
    </xf>
    <xf numFmtId="0" fontId="2" fillId="5" borderId="0" xfId="0" applyFont="1" applyFill="1" applyBorder="1" applyAlignment="1">
      <alignment horizontal="centerContinuous" vertical="center"/>
    </xf>
    <xf numFmtId="0" fontId="2" fillId="5" borderId="0" xfId="0" applyFont="1" applyFill="1" applyBorder="1"/>
    <xf numFmtId="0" fontId="2" fillId="5" borderId="0" xfId="0" applyFont="1" applyFill="1" applyBorder="1" applyAlignment="1">
      <alignment horizontal="right"/>
    </xf>
    <xf numFmtId="0" fontId="2" fillId="5" borderId="0" xfId="0" applyFont="1" applyFill="1" applyBorder="1" applyAlignment="1">
      <alignment horizontal="center" vertical="center"/>
    </xf>
    <xf numFmtId="0" fontId="7" fillId="5" borderId="8" xfId="0" applyFont="1" applyFill="1" applyBorder="1" applyAlignment="1" applyProtection="1">
      <alignment horizontal="left" vertical="center"/>
      <protection hidden="1"/>
    </xf>
    <xf numFmtId="0" fontId="7" fillId="5" borderId="8" xfId="0" applyFont="1" applyFill="1" applyBorder="1" applyAlignment="1" applyProtection="1">
      <alignment horizontal="center" vertical="center"/>
      <protection hidden="1"/>
    </xf>
    <xf numFmtId="0" fontId="2" fillId="5" borderId="0" xfId="0" applyFont="1" applyFill="1"/>
    <xf numFmtId="0" fontId="7" fillId="5" borderId="0" xfId="0" applyFont="1" applyFill="1" applyBorder="1" applyAlignment="1" applyProtection="1">
      <alignment horizontal="left" vertical="center"/>
      <protection hidden="1"/>
    </xf>
    <xf numFmtId="0" fontId="7" fillId="5" borderId="0" xfId="0" applyFont="1" applyFill="1" applyBorder="1" applyAlignment="1" applyProtection="1">
      <alignment horizontal="center" vertical="center"/>
      <protection hidden="1"/>
    </xf>
    <xf numFmtId="0" fontId="19" fillId="5" borderId="0" xfId="0" applyFont="1" applyFill="1" applyBorder="1" applyAlignment="1">
      <alignment horizontal="center" vertical="center"/>
    </xf>
    <xf numFmtId="0" fontId="20" fillId="5" borderId="0" xfId="0" applyFont="1" applyFill="1" applyBorder="1" applyAlignment="1" applyProtection="1">
      <alignment horizontal="center" vertical="center"/>
      <protection hidden="1"/>
    </xf>
    <xf numFmtId="0" fontId="20" fillId="5" borderId="0" xfId="0" applyFont="1" applyFill="1" applyAlignment="1" applyProtection="1">
      <alignment horizontal="center" vertical="center"/>
      <protection hidden="1"/>
    </xf>
    <xf numFmtId="0" fontId="2" fillId="5" borderId="0" xfId="0" applyFont="1" applyFill="1" applyBorder="1" applyAlignment="1">
      <alignment horizontal="centerContinuous" vertical="center" wrapText="1"/>
    </xf>
    <xf numFmtId="0" fontId="16" fillId="5" borderId="0" xfId="0" applyFont="1" applyFill="1" applyBorder="1" applyAlignment="1">
      <alignment horizontal="center" vertical="center" wrapText="1"/>
    </xf>
    <xf numFmtId="0" fontId="26" fillId="5" borderId="0" xfId="0" applyFont="1" applyFill="1" applyAlignment="1">
      <alignment horizontal="center" vertical="center"/>
    </xf>
    <xf numFmtId="0" fontId="26" fillId="5" borderId="0" xfId="0" applyFont="1" applyFill="1" applyBorder="1" applyAlignment="1">
      <alignment horizontal="center" vertical="center"/>
    </xf>
    <xf numFmtId="0" fontId="11" fillId="5" borderId="0" xfId="0" applyFont="1" applyFill="1" applyAlignment="1">
      <alignment horizontal="center" vertical="center"/>
    </xf>
    <xf numFmtId="0" fontId="9" fillId="5" borderId="0" xfId="0" applyFont="1" applyFill="1" applyBorder="1" applyAlignment="1">
      <alignment horizontal="centerContinuous" vertical="center"/>
    </xf>
    <xf numFmtId="0" fontId="8" fillId="5" borderId="8" xfId="0" applyFont="1" applyFill="1" applyBorder="1" applyAlignment="1" applyProtection="1">
      <alignment horizontal="center" vertical="center"/>
      <protection hidden="1"/>
    </xf>
    <xf numFmtId="0" fontId="27" fillId="5" borderId="0" xfId="0" applyFont="1" applyFill="1" applyBorder="1" applyAlignment="1" applyProtection="1">
      <alignment horizontal="center" vertical="center"/>
      <protection hidden="1"/>
    </xf>
    <xf numFmtId="0" fontId="27" fillId="5" borderId="0" xfId="0" applyFont="1" applyFill="1" applyBorder="1" applyAlignment="1" applyProtection="1">
      <alignment horizontal="left" vertical="center"/>
      <protection hidden="1"/>
    </xf>
    <xf numFmtId="0" fontId="9" fillId="5" borderId="0" xfId="0" applyFont="1" applyFill="1" applyBorder="1" applyAlignment="1" applyProtection="1">
      <alignment horizontal="center" vertical="center"/>
      <protection hidden="1"/>
    </xf>
    <xf numFmtId="0" fontId="27" fillId="5" borderId="4" xfId="0" applyFont="1" applyFill="1" applyBorder="1" applyAlignment="1" applyProtection="1">
      <alignment horizontal="center" vertical="center"/>
      <protection hidden="1"/>
    </xf>
    <xf numFmtId="0" fontId="27" fillId="5" borderId="15" xfId="0" applyFont="1" applyFill="1" applyBorder="1" applyAlignment="1" applyProtection="1">
      <alignment horizontal="center" vertical="center"/>
      <protection hidden="1"/>
    </xf>
    <xf numFmtId="0" fontId="27" fillId="5" borderId="60" xfId="0" applyFont="1" applyFill="1" applyBorder="1" applyAlignment="1" applyProtection="1">
      <alignment horizontal="left" vertical="center"/>
      <protection hidden="1"/>
    </xf>
    <xf numFmtId="0" fontId="9" fillId="5" borderId="60" xfId="0" applyFont="1" applyFill="1" applyBorder="1" applyAlignment="1" applyProtection="1">
      <alignment horizontal="center" vertical="center"/>
      <protection hidden="1"/>
    </xf>
    <xf numFmtId="0" fontId="27" fillId="5" borderId="60" xfId="0" applyFont="1" applyFill="1" applyBorder="1" applyAlignment="1" applyProtection="1">
      <alignment horizontal="center" vertical="center"/>
      <protection hidden="1"/>
    </xf>
    <xf numFmtId="0" fontId="27" fillId="5" borderId="5" xfId="0" applyFont="1" applyFill="1" applyBorder="1" applyAlignment="1" applyProtection="1">
      <alignment horizontal="center" vertical="center"/>
      <protection hidden="1"/>
    </xf>
    <xf numFmtId="0" fontId="27" fillId="5" borderId="29" xfId="0" applyFont="1" applyFill="1" applyBorder="1" applyAlignment="1" applyProtection="1">
      <alignment horizontal="center" vertical="center"/>
      <protection hidden="1"/>
    </xf>
    <xf numFmtId="0" fontId="9" fillId="5" borderId="0" xfId="0" applyFont="1" applyFill="1" applyBorder="1" applyAlignment="1" applyProtection="1">
      <alignment horizontal="left" vertical="center"/>
      <protection hidden="1"/>
    </xf>
    <xf numFmtId="0" fontId="9" fillId="5" borderId="4" xfId="0" applyFont="1" applyFill="1" applyBorder="1" applyAlignment="1" applyProtection="1">
      <alignment horizontal="center" vertical="center"/>
      <protection hidden="1"/>
    </xf>
    <xf numFmtId="0" fontId="9" fillId="5" borderId="5" xfId="0" applyFont="1" applyFill="1" applyBorder="1" applyAlignment="1" applyProtection="1">
      <alignment horizontal="center" vertical="center"/>
      <protection hidden="1"/>
    </xf>
    <xf numFmtId="0" fontId="8" fillId="6" borderId="15" xfId="0" applyFont="1" applyFill="1" applyBorder="1" applyAlignment="1" applyProtection="1">
      <alignment horizontal="center" vertical="center"/>
      <protection hidden="1"/>
    </xf>
    <xf numFmtId="0" fontId="8" fillId="6" borderId="60" xfId="0" applyFont="1" applyFill="1" applyBorder="1" applyAlignment="1" applyProtection="1">
      <alignment horizontal="left" vertical="center"/>
      <protection hidden="1"/>
    </xf>
    <xf numFmtId="0" fontId="8" fillId="6" borderId="60" xfId="0" applyFont="1" applyFill="1" applyBorder="1" applyAlignment="1" applyProtection="1">
      <alignment horizontal="center" vertical="center"/>
      <protection hidden="1"/>
    </xf>
    <xf numFmtId="0" fontId="8" fillId="6" borderId="29" xfId="0" applyFont="1" applyFill="1" applyBorder="1" applyAlignment="1" applyProtection="1">
      <alignment horizontal="center" vertical="center"/>
      <protection hidden="1"/>
    </xf>
    <xf numFmtId="0" fontId="8" fillId="5" borderId="0" xfId="0" applyFont="1" applyFill="1" applyBorder="1" applyAlignment="1" applyProtection="1">
      <alignment horizontal="center" vertical="center"/>
      <protection hidden="1"/>
    </xf>
    <xf numFmtId="0" fontId="8" fillId="10" borderId="13" xfId="0" applyFont="1" applyFill="1" applyBorder="1" applyAlignment="1" applyProtection="1">
      <alignment horizontal="center"/>
      <protection locked="0"/>
    </xf>
    <xf numFmtId="0" fontId="8" fillId="11" borderId="13" xfId="0" applyFont="1" applyFill="1" applyBorder="1" applyAlignment="1" applyProtection="1">
      <alignment horizontal="center" vertical="center"/>
      <protection locked="0"/>
    </xf>
    <xf numFmtId="0" fontId="8" fillId="14" borderId="10" xfId="0" applyFont="1" applyFill="1" applyBorder="1" applyAlignment="1" applyProtection="1">
      <alignment horizontal="center" vertical="center"/>
      <protection locked="0"/>
    </xf>
    <xf numFmtId="0" fontId="7" fillId="14" borderId="49" xfId="0" applyFont="1" applyFill="1" applyBorder="1" applyAlignment="1">
      <alignment horizontal="left" vertical="center"/>
    </xf>
    <xf numFmtId="0" fontId="8" fillId="14" borderId="0" xfId="0" applyFont="1" applyFill="1" applyBorder="1" applyAlignment="1" applyProtection="1">
      <alignment horizontal="center" vertical="center"/>
      <protection locked="0"/>
    </xf>
    <xf numFmtId="0" fontId="7" fillId="14" borderId="14" xfId="0" applyFont="1" applyFill="1" applyBorder="1" applyAlignment="1">
      <alignment horizontal="left" vertical="center"/>
    </xf>
    <xf numFmtId="0" fontId="8" fillId="14" borderId="8" xfId="0" applyFont="1" applyFill="1" applyBorder="1" applyAlignment="1" applyProtection="1">
      <alignment horizontal="center" vertical="center"/>
      <protection locked="0"/>
    </xf>
    <xf numFmtId="0" fontId="7" fillId="14" borderId="11" xfId="0" applyFont="1" applyFill="1" applyBorder="1" applyAlignment="1">
      <alignment horizontal="left" vertical="center"/>
    </xf>
    <xf numFmtId="0" fontId="8" fillId="15" borderId="10" xfId="0" applyFont="1" applyFill="1" applyBorder="1" applyAlignment="1" applyProtection="1">
      <alignment horizontal="center" vertical="center"/>
      <protection locked="0"/>
    </xf>
    <xf numFmtId="0" fontId="7" fillId="15" borderId="49" xfId="0" applyFont="1" applyFill="1" applyBorder="1" applyProtection="1"/>
    <xf numFmtId="0" fontId="8" fillId="15" borderId="0" xfId="0" applyFont="1" applyFill="1" applyBorder="1" applyAlignment="1" applyProtection="1">
      <alignment horizontal="center" vertical="center"/>
      <protection locked="0"/>
    </xf>
    <xf numFmtId="0" fontId="7" fillId="15" borderId="14" xfId="0" applyFont="1" applyFill="1" applyBorder="1" applyProtection="1"/>
    <xf numFmtId="0" fontId="8" fillId="15" borderId="8" xfId="0" applyFont="1" applyFill="1" applyBorder="1" applyAlignment="1" applyProtection="1">
      <alignment horizontal="center" vertical="center"/>
      <protection locked="0"/>
    </xf>
    <xf numFmtId="0" fontId="7" fillId="15" borderId="11" xfId="0" applyFont="1" applyFill="1" applyBorder="1" applyProtection="1"/>
    <xf numFmtId="0" fontId="7" fillId="16" borderId="49" xfId="0" applyFont="1" applyFill="1" applyBorder="1" applyAlignment="1">
      <alignment horizontal="left"/>
    </xf>
    <xf numFmtId="0" fontId="7" fillId="16" borderId="11" xfId="0" applyFont="1" applyFill="1" applyBorder="1" applyAlignment="1">
      <alignment horizontal="left"/>
    </xf>
    <xf numFmtId="0" fontId="7" fillId="17" borderId="34" xfId="0" applyFont="1" applyFill="1" applyBorder="1" applyAlignment="1" applyProtection="1">
      <alignment vertical="center"/>
    </xf>
    <xf numFmtId="0" fontId="7" fillId="18" borderId="34" xfId="0" applyFont="1" applyFill="1" applyBorder="1" applyAlignment="1" applyProtection="1">
      <alignment vertical="center"/>
    </xf>
    <xf numFmtId="0" fontId="26" fillId="5" borderId="55" xfId="0" applyFont="1" applyFill="1" applyBorder="1" applyAlignment="1">
      <alignment horizontal="center" vertical="center"/>
    </xf>
    <xf numFmtId="0" fontId="6" fillId="5" borderId="0" xfId="0" applyFont="1" applyFill="1" applyBorder="1" applyProtection="1">
      <protection hidden="1"/>
    </xf>
    <xf numFmtId="14" fontId="7" fillId="5" borderId="0" xfId="0" applyNumberFormat="1" applyFont="1" applyFill="1" applyBorder="1" applyProtection="1">
      <protection hidden="1"/>
    </xf>
    <xf numFmtId="0" fontId="7" fillId="5" borderId="0" xfId="0" applyFont="1" applyFill="1" applyBorder="1" applyProtection="1">
      <protection hidden="1"/>
    </xf>
    <xf numFmtId="20" fontId="7" fillId="5" borderId="0" xfId="0" applyNumberFormat="1" applyFont="1" applyFill="1" applyBorder="1" applyProtection="1">
      <protection hidden="1"/>
    </xf>
    <xf numFmtId="0" fontId="7" fillId="5" borderId="0" xfId="0" applyFont="1" applyFill="1" applyBorder="1" applyAlignment="1" applyProtection="1">
      <alignment horizontal="right"/>
      <protection hidden="1"/>
    </xf>
    <xf numFmtId="0" fontId="7" fillId="5" borderId="0" xfId="0" applyFont="1" applyFill="1" applyBorder="1" applyAlignment="1" applyProtection="1">
      <protection hidden="1"/>
    </xf>
    <xf numFmtId="0" fontId="8" fillId="5" borderId="0" xfId="0" applyFont="1" applyFill="1" applyBorder="1" applyAlignment="1" applyProtection="1">
      <alignment horizontal="center"/>
      <protection hidden="1"/>
    </xf>
    <xf numFmtId="0" fontId="6" fillId="5" borderId="0" xfId="0" applyFont="1" applyFill="1" applyBorder="1" applyAlignment="1" applyProtection="1">
      <protection hidden="1"/>
    </xf>
    <xf numFmtId="0" fontId="7" fillId="5" borderId="0" xfId="0" applyFont="1" applyFill="1" applyBorder="1" applyAlignment="1" applyProtection="1">
      <alignment horizontal="left"/>
      <protection hidden="1"/>
    </xf>
    <xf numFmtId="0" fontId="17" fillId="5" borderId="0" xfId="0" applyNumberFormat="1" applyFont="1" applyFill="1" applyBorder="1" applyProtection="1">
      <protection hidden="1"/>
    </xf>
    <xf numFmtId="0" fontId="18" fillId="5" borderId="0" xfId="0" applyNumberFormat="1" applyFont="1" applyFill="1" applyBorder="1" applyAlignment="1" applyProtection="1">
      <alignment vertical="center" wrapText="1"/>
      <protection hidden="1"/>
    </xf>
    <xf numFmtId="0" fontId="2" fillId="5" borderId="0" xfId="0" applyFont="1" applyFill="1" applyBorder="1" applyAlignment="1" applyProtection="1">
      <alignment horizontal="centerContinuous" vertical="center"/>
      <protection hidden="1"/>
    </xf>
    <xf numFmtId="0" fontId="3" fillId="5" borderId="0" xfId="0" applyFont="1" applyFill="1" applyBorder="1" applyProtection="1">
      <protection hidden="1"/>
    </xf>
    <xf numFmtId="0" fontId="2" fillId="5" borderId="0" xfId="0" applyFont="1" applyFill="1" applyBorder="1" applyProtection="1">
      <protection hidden="1"/>
    </xf>
    <xf numFmtId="0" fontId="2" fillId="5" borderId="0" xfId="0" applyFont="1" applyFill="1" applyBorder="1" applyAlignment="1" applyProtection="1">
      <alignment horizontal="center" vertical="center"/>
      <protection hidden="1"/>
    </xf>
    <xf numFmtId="0" fontId="2" fillId="5" borderId="0" xfId="0" applyFont="1" applyFill="1" applyBorder="1" applyAlignment="1" applyProtection="1">
      <alignment horizontal="right"/>
      <protection hidden="1"/>
    </xf>
    <xf numFmtId="0" fontId="3" fillId="5" borderId="0" xfId="0" applyFont="1" applyFill="1" applyProtection="1">
      <protection hidden="1"/>
    </xf>
    <xf numFmtId="0" fontId="15" fillId="5" borderId="0" xfId="0" applyFont="1" applyFill="1" applyBorder="1" applyAlignment="1" applyProtection="1">
      <alignment vertical="center" wrapText="1"/>
      <protection hidden="1"/>
    </xf>
    <xf numFmtId="14" fontId="7" fillId="14" borderId="10" xfId="0" applyNumberFormat="1" applyFont="1" applyFill="1" applyBorder="1" applyAlignment="1" applyProtection="1">
      <alignment horizontal="center" vertical="center"/>
      <protection hidden="1"/>
    </xf>
    <xf numFmtId="20" fontId="7" fillId="14" borderId="10" xfId="0" applyNumberFormat="1" applyFont="1" applyFill="1" applyBorder="1" applyAlignment="1" applyProtection="1">
      <alignment horizontal="center" vertical="center"/>
      <protection hidden="1"/>
    </xf>
    <xf numFmtId="0" fontId="7" fillId="14" borderId="49" xfId="0" applyFont="1" applyFill="1" applyBorder="1" applyAlignment="1" applyProtection="1">
      <alignment vertical="center"/>
      <protection hidden="1"/>
    </xf>
    <xf numFmtId="14" fontId="7" fillId="14" borderId="0" xfId="0" applyNumberFormat="1" applyFont="1" applyFill="1" applyBorder="1" applyAlignment="1" applyProtection="1">
      <alignment horizontal="center" vertical="center"/>
      <protection hidden="1"/>
    </xf>
    <xf numFmtId="20" fontId="7" fillId="14" borderId="0" xfId="0" applyNumberFormat="1" applyFont="1" applyFill="1" applyBorder="1" applyAlignment="1" applyProtection="1">
      <alignment horizontal="center" vertical="center"/>
      <protection hidden="1"/>
    </xf>
    <xf numFmtId="0" fontId="7" fillId="14" borderId="14" xfId="0" applyFont="1" applyFill="1" applyBorder="1" applyAlignment="1" applyProtection="1">
      <alignment vertical="center"/>
      <protection hidden="1"/>
    </xf>
    <xf numFmtId="14" fontId="7" fillId="14" borderId="8" xfId="0" applyNumberFormat="1" applyFont="1" applyFill="1" applyBorder="1" applyAlignment="1" applyProtection="1">
      <alignment horizontal="center" vertical="center"/>
      <protection hidden="1"/>
    </xf>
    <xf numFmtId="20" fontId="7" fillId="14" borderId="8" xfId="0" applyNumberFormat="1" applyFont="1" applyFill="1" applyBorder="1" applyAlignment="1" applyProtection="1">
      <alignment horizontal="center" vertical="center"/>
      <protection hidden="1"/>
    </xf>
    <xf numFmtId="0" fontId="7" fillId="14" borderId="11" xfId="0" applyFont="1" applyFill="1" applyBorder="1" applyAlignment="1" applyProtection="1">
      <alignment vertical="center"/>
      <protection hidden="1"/>
    </xf>
    <xf numFmtId="14" fontId="7" fillId="15" borderId="10" xfId="0" applyNumberFormat="1" applyFont="1" applyFill="1" applyBorder="1" applyAlignment="1" applyProtection="1">
      <alignment horizontal="center" vertical="center"/>
      <protection hidden="1"/>
    </xf>
    <xf numFmtId="20" fontId="7" fillId="15" borderId="10" xfId="0" applyNumberFormat="1" applyFont="1" applyFill="1" applyBorder="1" applyAlignment="1" applyProtection="1">
      <alignment horizontal="center" vertical="center"/>
      <protection hidden="1"/>
    </xf>
    <xf numFmtId="0" fontId="7" fillId="15" borderId="49" xfId="0" applyFont="1" applyFill="1" applyBorder="1" applyProtection="1">
      <protection hidden="1"/>
    </xf>
    <xf numFmtId="14" fontId="7" fillId="15" borderId="0" xfId="0" applyNumberFormat="1" applyFont="1" applyFill="1" applyBorder="1" applyAlignment="1" applyProtection="1">
      <alignment horizontal="center" vertical="center"/>
      <protection hidden="1"/>
    </xf>
    <xf numFmtId="20" fontId="7" fillId="15" borderId="0" xfId="0" applyNumberFormat="1" applyFont="1" applyFill="1" applyBorder="1" applyAlignment="1" applyProtection="1">
      <alignment horizontal="center" vertical="center"/>
      <protection hidden="1"/>
    </xf>
    <xf numFmtId="0" fontId="7" fillId="15" borderId="14" xfId="0" applyFont="1" applyFill="1" applyBorder="1" applyProtection="1">
      <protection hidden="1"/>
    </xf>
    <xf numFmtId="14" fontId="7" fillId="15" borderId="8" xfId="0" applyNumberFormat="1" applyFont="1" applyFill="1" applyBorder="1" applyAlignment="1" applyProtection="1">
      <alignment horizontal="center" vertical="center"/>
      <protection hidden="1"/>
    </xf>
    <xf numFmtId="20" fontId="7" fillId="15" borderId="8" xfId="0" applyNumberFormat="1" applyFont="1" applyFill="1" applyBorder="1" applyAlignment="1" applyProtection="1">
      <alignment horizontal="center" vertical="center"/>
      <protection hidden="1"/>
    </xf>
    <xf numFmtId="0" fontId="7" fillId="15" borderId="11" xfId="0" applyFont="1" applyFill="1" applyBorder="1" applyProtection="1">
      <protection hidden="1"/>
    </xf>
    <xf numFmtId="14" fontId="7" fillId="16" borderId="10" xfId="0" applyNumberFormat="1" applyFont="1" applyFill="1" applyBorder="1" applyAlignment="1" applyProtection="1">
      <alignment horizontal="center" vertical="center"/>
      <protection hidden="1"/>
    </xf>
    <xf numFmtId="20" fontId="7" fillId="16" borderId="10" xfId="0" applyNumberFormat="1" applyFont="1" applyFill="1" applyBorder="1" applyAlignment="1" applyProtection="1">
      <alignment horizontal="center" vertical="center"/>
      <protection hidden="1"/>
    </xf>
    <xf numFmtId="0" fontId="7" fillId="16" borderId="49" xfId="0" applyFont="1" applyFill="1" applyBorder="1" applyProtection="1">
      <protection hidden="1"/>
    </xf>
    <xf numFmtId="14" fontId="7" fillId="16" borderId="8" xfId="0" applyNumberFormat="1" applyFont="1" applyFill="1" applyBorder="1" applyAlignment="1" applyProtection="1">
      <alignment horizontal="center" vertical="center"/>
      <protection hidden="1"/>
    </xf>
    <xf numFmtId="20" fontId="7" fillId="16" borderId="8" xfId="0" applyNumberFormat="1" applyFont="1" applyFill="1" applyBorder="1" applyAlignment="1" applyProtection="1">
      <alignment horizontal="center" vertical="center"/>
      <protection hidden="1"/>
    </xf>
    <xf numFmtId="0" fontId="7" fillId="16" borderId="11" xfId="0" applyFont="1" applyFill="1" applyBorder="1" applyProtection="1">
      <protection hidden="1"/>
    </xf>
    <xf numFmtId="14" fontId="25" fillId="17" borderId="36" xfId="0" applyNumberFormat="1" applyFont="1" applyFill="1" applyBorder="1" applyAlignment="1" applyProtection="1">
      <alignment horizontal="center" vertical="center"/>
      <protection hidden="1"/>
    </xf>
    <xf numFmtId="14" fontId="7" fillId="17" borderId="9" xfId="0" applyNumberFormat="1" applyFont="1" applyFill="1" applyBorder="1" applyAlignment="1" applyProtection="1">
      <alignment horizontal="center" vertical="center"/>
      <protection hidden="1"/>
    </xf>
    <xf numFmtId="20" fontId="7" fillId="17" borderId="9" xfId="0" applyNumberFormat="1" applyFont="1" applyFill="1" applyBorder="1" applyAlignment="1" applyProtection="1">
      <alignment horizontal="center" vertical="center"/>
      <protection hidden="1"/>
    </xf>
    <xf numFmtId="0" fontId="7" fillId="17" borderId="34" xfId="0" applyFont="1" applyFill="1" applyBorder="1" applyAlignment="1" applyProtection="1">
      <alignment vertical="center"/>
      <protection hidden="1"/>
    </xf>
    <xf numFmtId="0" fontId="2" fillId="5" borderId="0" xfId="0" applyFont="1" applyFill="1" applyBorder="1" applyAlignment="1" applyProtection="1">
      <alignment horizontal="centerContinuous" vertical="center" wrapText="1"/>
      <protection hidden="1"/>
    </xf>
    <xf numFmtId="14" fontId="25" fillId="18" borderId="36" xfId="0" applyNumberFormat="1" applyFont="1" applyFill="1" applyBorder="1" applyAlignment="1" applyProtection="1">
      <alignment horizontal="center" vertical="center"/>
      <protection hidden="1"/>
    </xf>
    <xf numFmtId="14" fontId="7" fillId="18" borderId="9" xfId="0" applyNumberFormat="1" applyFont="1" applyFill="1" applyBorder="1" applyAlignment="1" applyProtection="1">
      <alignment horizontal="center" vertical="center"/>
      <protection hidden="1"/>
    </xf>
    <xf numFmtId="20" fontId="7" fillId="18" borderId="9" xfId="0" applyNumberFormat="1" applyFont="1" applyFill="1" applyBorder="1" applyAlignment="1" applyProtection="1">
      <alignment horizontal="center" vertical="center"/>
      <protection hidden="1"/>
    </xf>
    <xf numFmtId="0" fontId="7" fillId="18" borderId="34" xfId="0" applyFont="1" applyFill="1" applyBorder="1" applyAlignment="1" applyProtection="1">
      <alignment vertical="center"/>
      <protection hidden="1"/>
    </xf>
    <xf numFmtId="0" fontId="9" fillId="5" borderId="0" xfId="0" applyFont="1" applyFill="1" applyBorder="1" applyAlignment="1" applyProtection="1">
      <alignment horizontal="centerContinuous" vertical="center"/>
      <protection hidden="1"/>
    </xf>
    <xf numFmtId="0" fontId="0" fillId="5" borderId="0" xfId="0" applyFill="1" applyBorder="1" applyProtection="1">
      <protection hidden="1"/>
    </xf>
    <xf numFmtId="0" fontId="30" fillId="16" borderId="0" xfId="0" applyFont="1" applyFill="1" applyBorder="1" applyAlignment="1" applyProtection="1">
      <alignment horizontal="left" vertical="center"/>
      <protection hidden="1"/>
    </xf>
    <xf numFmtId="0" fontId="30" fillId="16" borderId="14" xfId="0" applyFont="1" applyFill="1" applyBorder="1" applyAlignment="1" applyProtection="1">
      <alignment horizontal="left" vertical="center"/>
      <protection hidden="1"/>
    </xf>
    <xf numFmtId="0" fontId="30" fillId="15" borderId="0" xfId="0" applyFont="1" applyFill="1" applyBorder="1" applyAlignment="1" applyProtection="1">
      <alignment horizontal="left" vertical="center"/>
      <protection hidden="1"/>
    </xf>
    <xf numFmtId="0" fontId="30" fillId="15" borderId="14" xfId="0" applyFont="1" applyFill="1" applyBorder="1" applyAlignment="1" applyProtection="1">
      <alignment horizontal="left" vertical="center"/>
      <protection hidden="1"/>
    </xf>
    <xf numFmtId="0" fontId="0" fillId="5" borderId="0" xfId="0" applyFont="1" applyFill="1" applyBorder="1" applyAlignment="1" applyProtection="1">
      <alignment vertical="center"/>
      <protection hidden="1"/>
    </xf>
    <xf numFmtId="0" fontId="1" fillId="5" borderId="0" xfId="0" applyFont="1" applyFill="1" applyBorder="1" applyAlignment="1" applyProtection="1">
      <alignment vertical="center"/>
      <protection hidden="1"/>
    </xf>
    <xf numFmtId="0" fontId="0" fillId="5" borderId="0" xfId="0" applyFill="1" applyBorder="1" applyAlignment="1" applyProtection="1">
      <alignment vertical="center"/>
      <protection hidden="1"/>
    </xf>
    <xf numFmtId="0" fontId="22" fillId="19" borderId="0" xfId="0" applyFont="1" applyFill="1" applyBorder="1" applyAlignment="1" applyProtection="1">
      <alignment vertical="center"/>
      <protection hidden="1"/>
    </xf>
    <xf numFmtId="0" fontId="23" fillId="19" borderId="0" xfId="0" applyFont="1" applyFill="1" applyBorder="1" applyAlignment="1" applyProtection="1">
      <alignment vertical="center"/>
      <protection hidden="1"/>
    </xf>
    <xf numFmtId="0" fontId="23" fillId="19" borderId="14" xfId="0" applyFont="1" applyFill="1" applyBorder="1" applyAlignment="1" applyProtection="1">
      <alignment vertical="center"/>
      <protection hidden="1"/>
    </xf>
    <xf numFmtId="0" fontId="7" fillId="14" borderId="10" xfId="0" applyFont="1" applyFill="1" applyBorder="1" applyAlignment="1" applyProtection="1">
      <alignment horizontal="right" vertical="center"/>
      <protection hidden="1"/>
    </xf>
    <xf numFmtId="0" fontId="7" fillId="14" borderId="0" xfId="0" applyFont="1" applyFill="1" applyBorder="1" applyAlignment="1" applyProtection="1">
      <alignment horizontal="right" vertical="center"/>
      <protection hidden="1"/>
    </xf>
    <xf numFmtId="0" fontId="7" fillId="14" borderId="8" xfId="0" applyFont="1" applyFill="1" applyBorder="1" applyAlignment="1" applyProtection="1">
      <alignment horizontal="right" vertical="center"/>
      <protection hidden="1"/>
    </xf>
    <xf numFmtId="0" fontId="7" fillId="15" borderId="50" xfId="0" applyFont="1" applyFill="1" applyBorder="1" applyAlignment="1" applyProtection="1">
      <alignment horizontal="right"/>
      <protection hidden="1"/>
    </xf>
    <xf numFmtId="0" fontId="7" fillId="15" borderId="35" xfId="0" applyFont="1" applyFill="1" applyBorder="1" applyAlignment="1" applyProtection="1">
      <alignment horizontal="right"/>
      <protection hidden="1"/>
    </xf>
    <xf numFmtId="0" fontId="7" fillId="15" borderId="38" xfId="0" applyFont="1" applyFill="1" applyBorder="1" applyAlignment="1" applyProtection="1">
      <alignment horizontal="right"/>
      <protection hidden="1"/>
    </xf>
    <xf numFmtId="0" fontId="7" fillId="16" borderId="10" xfId="0" applyFont="1" applyFill="1" applyBorder="1" applyAlignment="1" applyProtection="1">
      <alignment horizontal="right"/>
      <protection hidden="1"/>
    </xf>
    <xf numFmtId="0" fontId="7" fillId="16" borderId="38" xfId="0" applyFont="1" applyFill="1" applyBorder="1" applyAlignment="1" applyProtection="1">
      <alignment horizontal="right"/>
      <protection hidden="1"/>
    </xf>
    <xf numFmtId="0" fontId="7" fillId="17" borderId="9" xfId="0" applyFont="1" applyFill="1" applyBorder="1" applyAlignment="1" applyProtection="1">
      <alignment horizontal="right" vertical="center"/>
      <protection hidden="1"/>
    </xf>
    <xf numFmtId="0" fontId="7" fillId="18" borderId="9" xfId="0" applyFont="1" applyFill="1" applyBorder="1" applyAlignment="1" applyProtection="1">
      <alignment horizontal="right" vertical="center"/>
      <protection hidden="1"/>
    </xf>
    <xf numFmtId="0" fontId="2" fillId="5" borderId="0" xfId="0" applyFont="1" applyFill="1" applyBorder="1" applyAlignment="1" applyProtection="1">
      <alignment vertical="center"/>
      <protection hidden="1"/>
    </xf>
    <xf numFmtId="0" fontId="3" fillId="5" borderId="0" xfId="0" applyFont="1" applyFill="1" applyBorder="1" applyAlignment="1" applyProtection="1">
      <alignment horizontal="center"/>
      <protection hidden="1"/>
    </xf>
    <xf numFmtId="0" fontId="19" fillId="5" borderId="0" xfId="0" applyFont="1" applyFill="1" applyBorder="1" applyAlignment="1" applyProtection="1">
      <alignment horizontal="center" vertical="center"/>
      <protection hidden="1"/>
    </xf>
    <xf numFmtId="0" fontId="8" fillId="6" borderId="7" xfId="0" applyFont="1" applyFill="1" applyBorder="1" applyAlignment="1" applyProtection="1">
      <alignment horizontal="centerContinuous"/>
      <protection hidden="1"/>
    </xf>
    <xf numFmtId="0" fontId="8" fillId="6" borderId="59" xfId="0" applyFont="1" applyFill="1" applyBorder="1" applyAlignment="1" applyProtection="1">
      <alignment horizontal="centerContinuous"/>
      <protection hidden="1"/>
    </xf>
    <xf numFmtId="0" fontId="8" fillId="6" borderId="30" xfId="0" applyFont="1" applyFill="1" applyBorder="1" applyAlignment="1" applyProtection="1">
      <alignment horizontal="centerContinuous"/>
      <protection hidden="1"/>
    </xf>
    <xf numFmtId="0" fontId="0" fillId="5" borderId="0" xfId="0" applyFont="1" applyFill="1" applyBorder="1" applyAlignment="1" applyProtection="1">
      <protection hidden="1"/>
    </xf>
    <xf numFmtId="0" fontId="8" fillId="7" borderId="61" xfId="0" applyFont="1" applyFill="1" applyBorder="1" applyAlignment="1" applyProtection="1">
      <alignment horizontal="centerContinuous"/>
      <protection hidden="1"/>
    </xf>
    <xf numFmtId="0" fontId="8" fillId="7" borderId="62" xfId="0" applyFont="1" applyFill="1" applyBorder="1" applyAlignment="1" applyProtection="1">
      <alignment horizontal="centerContinuous"/>
      <protection hidden="1"/>
    </xf>
    <xf numFmtId="0" fontId="8" fillId="7" borderId="63" xfId="0" applyFont="1" applyFill="1" applyBorder="1" applyAlignment="1" applyProtection="1">
      <alignment horizontal="centerContinuous"/>
      <protection hidden="1"/>
    </xf>
    <xf numFmtId="0" fontId="8" fillId="7" borderId="15" xfId="0" applyFont="1" applyFill="1" applyBorder="1" applyAlignment="1" applyProtection="1">
      <alignment horizontal="center" vertical="center"/>
      <protection hidden="1"/>
    </xf>
    <xf numFmtId="0" fontId="8" fillId="7" borderId="60" xfId="0" applyFont="1" applyFill="1" applyBorder="1" applyAlignment="1" applyProtection="1">
      <alignment horizontal="left" vertical="center"/>
      <protection hidden="1"/>
    </xf>
    <xf numFmtId="0" fontId="8" fillId="7" borderId="60" xfId="0" applyFont="1" applyFill="1" applyBorder="1" applyAlignment="1" applyProtection="1">
      <alignment horizontal="center" vertical="center"/>
      <protection hidden="1"/>
    </xf>
    <xf numFmtId="0" fontId="8" fillId="7" borderId="29" xfId="0" applyFont="1" applyFill="1" applyBorder="1" applyAlignment="1" applyProtection="1">
      <alignment horizontal="center" vertical="center"/>
      <protection hidden="1"/>
    </xf>
    <xf numFmtId="0" fontId="9" fillId="5" borderId="7" xfId="0" applyFont="1" applyFill="1" applyBorder="1" applyAlignment="1" applyProtection="1">
      <alignment horizontal="center" vertical="center"/>
      <protection hidden="1"/>
    </xf>
    <xf numFmtId="0" fontId="9" fillId="5" borderId="59" xfId="0" applyFont="1" applyFill="1" applyBorder="1" applyAlignment="1" applyProtection="1">
      <alignment horizontal="left" vertical="center"/>
      <protection hidden="1"/>
    </xf>
    <xf numFmtId="0" fontId="9" fillId="5" borderId="59" xfId="0" applyFont="1" applyFill="1" applyBorder="1" applyAlignment="1" applyProtection="1">
      <alignment horizontal="center" vertical="center"/>
      <protection hidden="1"/>
    </xf>
    <xf numFmtId="0" fontId="9" fillId="5" borderId="30" xfId="0" applyFont="1" applyFill="1" applyBorder="1" applyAlignment="1" applyProtection="1">
      <alignment horizontal="center" vertical="center"/>
      <protection hidden="1"/>
    </xf>
    <xf numFmtId="0" fontId="8" fillId="8" borderId="7" xfId="0" applyFont="1" applyFill="1" applyBorder="1" applyAlignment="1" applyProtection="1">
      <alignment horizontal="centerContinuous"/>
      <protection hidden="1"/>
    </xf>
    <xf numFmtId="0" fontId="8" fillId="8" borderId="59" xfId="0" applyFont="1" applyFill="1" applyBorder="1" applyAlignment="1" applyProtection="1">
      <alignment horizontal="centerContinuous"/>
      <protection hidden="1"/>
    </xf>
    <xf numFmtId="0" fontId="8" fillId="8" borderId="30" xfId="0" applyFont="1" applyFill="1" applyBorder="1" applyAlignment="1" applyProtection="1">
      <alignment horizontal="centerContinuous"/>
      <protection hidden="1"/>
    </xf>
    <xf numFmtId="0" fontId="8" fillId="8" borderId="15" xfId="0" applyFont="1" applyFill="1" applyBorder="1" applyAlignment="1" applyProtection="1">
      <alignment horizontal="center" vertical="center"/>
      <protection hidden="1"/>
    </xf>
    <xf numFmtId="0" fontId="8" fillId="8" borderId="60" xfId="0" applyFont="1" applyFill="1" applyBorder="1" applyAlignment="1" applyProtection="1">
      <alignment horizontal="left" vertical="center"/>
      <protection hidden="1"/>
    </xf>
    <xf numFmtId="0" fontId="8" fillId="8" borderId="60" xfId="0" applyFont="1" applyFill="1" applyBorder="1" applyAlignment="1" applyProtection="1">
      <alignment horizontal="center" vertical="center"/>
      <protection hidden="1"/>
    </xf>
    <xf numFmtId="0" fontId="8" fillId="8" borderId="29" xfId="0" applyFont="1" applyFill="1" applyBorder="1" applyAlignment="1" applyProtection="1">
      <alignment horizontal="center" vertical="center"/>
      <protection hidden="1"/>
    </xf>
    <xf numFmtId="0" fontId="8" fillId="9" borderId="7" xfId="0" applyFont="1" applyFill="1" applyBorder="1" applyAlignment="1" applyProtection="1">
      <alignment horizontal="centerContinuous"/>
      <protection hidden="1"/>
    </xf>
    <xf numFmtId="0" fontId="8" fillId="9" borderId="59" xfId="0" applyFont="1" applyFill="1" applyBorder="1" applyAlignment="1" applyProtection="1">
      <alignment horizontal="centerContinuous"/>
      <protection hidden="1"/>
    </xf>
    <xf numFmtId="0" fontId="8" fillId="9" borderId="30" xfId="0" applyFont="1" applyFill="1" applyBorder="1" applyAlignment="1" applyProtection="1">
      <alignment horizontal="centerContinuous"/>
      <protection hidden="1"/>
    </xf>
    <xf numFmtId="0" fontId="8" fillId="9" borderId="15" xfId="0" applyFont="1" applyFill="1" applyBorder="1" applyAlignment="1" applyProtection="1">
      <alignment horizontal="center" vertical="center"/>
      <protection hidden="1"/>
    </xf>
    <xf numFmtId="0" fontId="8" fillId="9" borderId="60" xfId="0" applyFont="1" applyFill="1" applyBorder="1" applyAlignment="1" applyProtection="1">
      <alignment horizontal="left" vertical="center"/>
      <protection hidden="1"/>
    </xf>
    <xf numFmtId="0" fontId="8" fillId="9" borderId="60" xfId="0" applyFont="1" applyFill="1" applyBorder="1" applyAlignment="1" applyProtection="1">
      <alignment horizontal="center" vertical="center"/>
      <protection hidden="1"/>
    </xf>
    <xf numFmtId="0" fontId="8" fillId="9" borderId="29" xfId="0" applyFont="1" applyFill="1" applyBorder="1" applyAlignment="1" applyProtection="1">
      <alignment horizontal="center" vertical="center"/>
      <protection hidden="1"/>
    </xf>
    <xf numFmtId="0" fontId="8" fillId="10" borderId="7" xfId="0" applyFont="1" applyFill="1" applyBorder="1" applyAlignment="1" applyProtection="1">
      <alignment horizontal="centerContinuous"/>
      <protection hidden="1"/>
    </xf>
    <xf numFmtId="0" fontId="8" fillId="10" borderId="59" xfId="0" applyFont="1" applyFill="1" applyBorder="1" applyAlignment="1" applyProtection="1">
      <alignment horizontal="centerContinuous"/>
      <protection hidden="1"/>
    </xf>
    <xf numFmtId="0" fontId="8" fillId="10" borderId="30" xfId="0" applyFont="1" applyFill="1" applyBorder="1" applyAlignment="1" applyProtection="1">
      <alignment horizontal="centerContinuous"/>
      <protection hidden="1"/>
    </xf>
    <xf numFmtId="0" fontId="8" fillId="10" borderId="15" xfId="0" applyFont="1" applyFill="1" applyBorder="1" applyAlignment="1" applyProtection="1">
      <alignment horizontal="center" vertical="center"/>
      <protection hidden="1"/>
    </xf>
    <xf numFmtId="0" fontId="8" fillId="10" borderId="60" xfId="0" applyFont="1" applyFill="1" applyBorder="1" applyAlignment="1" applyProtection="1">
      <alignment horizontal="left" vertical="center"/>
      <protection hidden="1"/>
    </xf>
    <xf numFmtId="0" fontId="8" fillId="10" borderId="60" xfId="0" applyFont="1" applyFill="1" applyBorder="1" applyAlignment="1" applyProtection="1">
      <alignment horizontal="center" vertical="center"/>
      <protection hidden="1"/>
    </xf>
    <xf numFmtId="0" fontId="8" fillId="10" borderId="29" xfId="0" applyFont="1" applyFill="1" applyBorder="1" applyAlignment="1" applyProtection="1">
      <alignment horizontal="center" vertical="center"/>
      <protection hidden="1"/>
    </xf>
    <xf numFmtId="0" fontId="8" fillId="11" borderId="7" xfId="0" applyFont="1" applyFill="1" applyBorder="1" applyAlignment="1" applyProtection="1">
      <alignment horizontal="centerContinuous"/>
      <protection hidden="1"/>
    </xf>
    <xf numFmtId="0" fontId="8" fillId="11" borderId="59" xfId="0" applyFont="1" applyFill="1" applyBorder="1" applyAlignment="1" applyProtection="1">
      <alignment horizontal="centerContinuous"/>
      <protection hidden="1"/>
    </xf>
    <xf numFmtId="0" fontId="8" fillId="11" borderId="30" xfId="0" applyFont="1" applyFill="1" applyBorder="1" applyAlignment="1" applyProtection="1">
      <alignment horizontal="centerContinuous"/>
      <protection hidden="1"/>
    </xf>
    <xf numFmtId="0" fontId="8" fillId="11" borderId="15" xfId="0" applyFont="1" applyFill="1" applyBorder="1" applyAlignment="1" applyProtection="1">
      <alignment horizontal="center"/>
      <protection hidden="1"/>
    </xf>
    <xf numFmtId="0" fontId="8" fillId="11" borderId="60" xfId="0" applyFont="1" applyFill="1" applyBorder="1" applyAlignment="1" applyProtection="1">
      <alignment horizontal="left"/>
      <protection hidden="1"/>
    </xf>
    <xf numFmtId="0" fontId="8" fillId="11" borderId="60" xfId="0" applyFont="1" applyFill="1" applyBorder="1" applyAlignment="1" applyProtection="1">
      <alignment horizontal="center"/>
      <protection hidden="1"/>
    </xf>
    <xf numFmtId="0" fontId="8" fillId="11" borderId="29" xfId="0" applyFont="1" applyFill="1" applyBorder="1" applyAlignment="1" applyProtection="1">
      <alignment horizontal="center"/>
      <protection hidden="1"/>
    </xf>
    <xf numFmtId="0" fontId="9" fillId="5" borderId="4" xfId="0" applyFont="1" applyFill="1" applyBorder="1" applyProtection="1">
      <protection hidden="1"/>
    </xf>
    <xf numFmtId="0" fontId="9" fillId="5" borderId="0" xfId="0" applyFont="1" applyFill="1" applyBorder="1" applyProtection="1">
      <protection hidden="1"/>
    </xf>
    <xf numFmtId="0" fontId="9" fillId="5" borderId="5" xfId="0" applyFont="1" applyFill="1" applyBorder="1" applyProtection="1">
      <protection hidden="1"/>
    </xf>
    <xf numFmtId="0" fontId="27" fillId="5" borderId="4" xfId="0" applyFont="1" applyFill="1" applyBorder="1" applyProtection="1">
      <protection hidden="1"/>
    </xf>
    <xf numFmtId="0" fontId="27" fillId="5" borderId="0" xfId="0" applyFont="1" applyFill="1" applyBorder="1" applyProtection="1">
      <protection hidden="1"/>
    </xf>
    <xf numFmtId="0" fontId="27" fillId="5" borderId="5" xfId="0" applyFont="1" applyFill="1" applyBorder="1" applyProtection="1">
      <protection hidden="1"/>
    </xf>
    <xf numFmtId="0" fontId="27" fillId="5" borderId="15" xfId="0" applyFont="1" applyFill="1" applyBorder="1" applyProtection="1">
      <protection hidden="1"/>
    </xf>
    <xf numFmtId="0" fontId="27" fillId="5" borderId="60" xfId="0" applyFont="1" applyFill="1" applyBorder="1" applyProtection="1">
      <protection hidden="1"/>
    </xf>
    <xf numFmtId="0" fontId="9" fillId="5" borderId="60" xfId="0" applyFont="1" applyFill="1" applyBorder="1" applyProtection="1">
      <protection hidden="1"/>
    </xf>
    <xf numFmtId="0" fontId="27" fillId="5" borderId="29" xfId="0" applyFont="1" applyFill="1" applyBorder="1" applyProtection="1">
      <protection hidden="1"/>
    </xf>
    <xf numFmtId="0" fontId="8" fillId="12" borderId="7" xfId="0" applyFont="1" applyFill="1" applyBorder="1" applyAlignment="1" applyProtection="1">
      <alignment horizontal="centerContinuous"/>
      <protection hidden="1"/>
    </xf>
    <xf numFmtId="0" fontId="8" fillId="12" borderId="59" xfId="0" applyFont="1" applyFill="1" applyBorder="1" applyAlignment="1" applyProtection="1">
      <alignment horizontal="centerContinuous"/>
      <protection hidden="1"/>
    </xf>
    <xf numFmtId="0" fontId="8" fillId="12" borderId="30" xfId="0" applyFont="1" applyFill="1" applyBorder="1" applyAlignment="1" applyProtection="1">
      <alignment horizontal="centerContinuous"/>
      <protection hidden="1"/>
    </xf>
    <xf numFmtId="0" fontId="8" fillId="12" borderId="15" xfId="0" applyFont="1" applyFill="1" applyBorder="1" applyAlignment="1" applyProtection="1">
      <alignment horizontal="center" vertical="center"/>
      <protection hidden="1"/>
    </xf>
    <xf numFmtId="0" fontId="8" fillId="12" borderId="60" xfId="0" applyFont="1" applyFill="1" applyBorder="1" applyAlignment="1" applyProtection="1">
      <alignment horizontal="left" vertical="center"/>
      <protection hidden="1"/>
    </xf>
    <xf numFmtId="0" fontId="8" fillId="12" borderId="60" xfId="0" applyFont="1" applyFill="1" applyBorder="1" applyAlignment="1" applyProtection="1">
      <alignment horizontal="center" vertical="center"/>
      <protection hidden="1"/>
    </xf>
    <xf numFmtId="0" fontId="8" fillId="12" borderId="29" xfId="0" applyFont="1" applyFill="1" applyBorder="1" applyAlignment="1" applyProtection="1">
      <alignment horizontal="center" vertical="center"/>
      <protection hidden="1"/>
    </xf>
    <xf numFmtId="0" fontId="8" fillId="13" borderId="7" xfId="0" applyFont="1" applyFill="1" applyBorder="1" applyAlignment="1" applyProtection="1">
      <alignment horizontal="centerContinuous"/>
      <protection hidden="1"/>
    </xf>
    <xf numFmtId="0" fontId="8" fillId="13" borderId="59" xfId="0" applyFont="1" applyFill="1" applyBorder="1" applyAlignment="1" applyProtection="1">
      <alignment horizontal="centerContinuous"/>
      <protection hidden="1"/>
    </xf>
    <xf numFmtId="0" fontId="8" fillId="13" borderId="30" xfId="0" applyFont="1" applyFill="1" applyBorder="1" applyAlignment="1" applyProtection="1">
      <alignment horizontal="centerContinuous"/>
      <protection hidden="1"/>
    </xf>
    <xf numFmtId="0" fontId="8" fillId="13" borderId="15" xfId="0" applyFont="1" applyFill="1" applyBorder="1" applyAlignment="1" applyProtection="1">
      <alignment horizontal="center" vertical="center"/>
      <protection hidden="1"/>
    </xf>
    <xf numFmtId="0" fontId="8" fillId="13" borderId="60" xfId="0" applyFont="1" applyFill="1" applyBorder="1" applyAlignment="1" applyProtection="1">
      <alignment horizontal="left" vertical="center"/>
      <protection hidden="1"/>
    </xf>
    <xf numFmtId="0" fontId="8" fillId="13" borderId="60" xfId="0" applyFont="1" applyFill="1" applyBorder="1" applyAlignment="1" applyProtection="1">
      <alignment horizontal="center" vertical="center"/>
      <protection hidden="1"/>
    </xf>
    <xf numFmtId="0" fontId="8" fillId="13" borderId="29" xfId="0" applyFont="1" applyFill="1" applyBorder="1" applyAlignment="1" applyProtection="1">
      <alignment horizontal="center" vertical="center"/>
      <protection hidden="1"/>
    </xf>
    <xf numFmtId="0" fontId="6" fillId="6" borderId="50" xfId="0" applyFont="1" applyFill="1" applyBorder="1" applyAlignment="1" applyProtection="1">
      <protection hidden="1"/>
    </xf>
    <xf numFmtId="0" fontId="6" fillId="6" borderId="35" xfId="0" applyFont="1" applyFill="1" applyBorder="1" applyAlignment="1" applyProtection="1">
      <protection hidden="1"/>
    </xf>
    <xf numFmtId="0" fontId="6" fillId="6" borderId="0" xfId="0" applyFont="1" applyFill="1" applyBorder="1" applyAlignment="1" applyProtection="1">
      <protection hidden="1"/>
    </xf>
    <xf numFmtId="0" fontId="6" fillId="6" borderId="38" xfId="0" applyFont="1" applyFill="1" applyBorder="1" applyAlignment="1" applyProtection="1">
      <protection hidden="1"/>
    </xf>
    <xf numFmtId="0" fontId="7" fillId="7" borderId="50" xfId="0" applyFont="1" applyFill="1" applyBorder="1" applyAlignment="1" applyProtection="1">
      <protection hidden="1"/>
    </xf>
    <xf numFmtId="0" fontId="7" fillId="7" borderId="35" xfId="0" applyFont="1" applyFill="1" applyBorder="1" applyAlignment="1" applyProtection="1">
      <protection hidden="1"/>
    </xf>
    <xf numFmtId="0" fontId="7" fillId="7" borderId="38" xfId="0" applyFont="1" applyFill="1" applyBorder="1" applyAlignment="1" applyProtection="1">
      <protection hidden="1"/>
    </xf>
    <xf numFmtId="0" fontId="7" fillId="8" borderId="10" xfId="0" applyFont="1" applyFill="1" applyBorder="1" applyAlignment="1" applyProtection="1">
      <alignment vertical="center"/>
      <protection hidden="1"/>
    </xf>
    <xf numFmtId="0" fontId="7" fillId="8" borderId="0" xfId="0" applyFont="1" applyFill="1" applyBorder="1" applyAlignment="1" applyProtection="1">
      <alignment vertical="center"/>
      <protection hidden="1"/>
    </xf>
    <xf numFmtId="0" fontId="7" fillId="8" borderId="8" xfId="0" applyFont="1" applyFill="1" applyBorder="1" applyAlignment="1" applyProtection="1">
      <alignment vertical="center"/>
      <protection hidden="1"/>
    </xf>
    <xf numFmtId="0" fontId="6" fillId="9" borderId="10" xfId="0" applyFont="1" applyFill="1" applyBorder="1" applyAlignment="1" applyProtection="1">
      <protection hidden="1"/>
    </xf>
    <xf numFmtId="0" fontId="6" fillId="9" borderId="0" xfId="0" applyFont="1" applyFill="1" applyBorder="1" applyAlignment="1" applyProtection="1">
      <protection hidden="1"/>
    </xf>
    <xf numFmtId="0" fontId="6" fillId="9" borderId="8" xfId="0" applyFont="1" applyFill="1" applyBorder="1" applyAlignment="1" applyProtection="1">
      <protection hidden="1"/>
    </xf>
    <xf numFmtId="0" fontId="7" fillId="10" borderId="50" xfId="0" applyFont="1" applyFill="1" applyBorder="1" applyAlignment="1" applyProtection="1">
      <protection hidden="1"/>
    </xf>
    <xf numFmtId="0" fontId="7" fillId="10" borderId="35" xfId="0" applyFont="1" applyFill="1" applyBorder="1" applyAlignment="1" applyProtection="1">
      <protection hidden="1"/>
    </xf>
    <xf numFmtId="0" fontId="7" fillId="10" borderId="38" xfId="0" applyFont="1" applyFill="1" applyBorder="1" applyAlignment="1" applyProtection="1">
      <protection hidden="1"/>
    </xf>
    <xf numFmtId="0" fontId="7" fillId="11" borderId="10" xfId="0" applyFont="1" applyFill="1" applyBorder="1" applyAlignment="1" applyProtection="1">
      <alignment vertical="center"/>
      <protection hidden="1"/>
    </xf>
    <xf numFmtId="0" fontId="7" fillId="11" borderId="0" xfId="0" applyFont="1" applyFill="1" applyBorder="1" applyAlignment="1" applyProtection="1">
      <alignment vertical="center"/>
      <protection hidden="1"/>
    </xf>
    <xf numFmtId="0" fontId="7" fillId="11" borderId="8" xfId="0" applyFont="1" applyFill="1" applyBorder="1" applyAlignment="1" applyProtection="1">
      <alignment vertical="center"/>
      <protection hidden="1"/>
    </xf>
    <xf numFmtId="0" fontId="6" fillId="5" borderId="8" xfId="0" applyFont="1" applyFill="1" applyBorder="1" applyAlignment="1" applyProtection="1">
      <protection hidden="1"/>
    </xf>
    <xf numFmtId="0" fontId="6" fillId="12" borderId="0" xfId="0" applyFont="1" applyFill="1" applyBorder="1" applyAlignment="1" applyProtection="1">
      <alignment vertical="center"/>
      <protection hidden="1"/>
    </xf>
    <xf numFmtId="0" fontId="6" fillId="12" borderId="8" xfId="0" applyFont="1" applyFill="1" applyBorder="1" applyAlignment="1" applyProtection="1">
      <alignment vertical="center"/>
      <protection hidden="1"/>
    </xf>
    <xf numFmtId="0" fontId="7" fillId="13" borderId="10" xfId="0" applyFont="1" applyFill="1" applyBorder="1" applyAlignment="1" applyProtection="1">
      <alignment vertical="center"/>
      <protection hidden="1"/>
    </xf>
    <xf numFmtId="0" fontId="7" fillId="13" borderId="0" xfId="0" applyFont="1" applyFill="1" applyBorder="1" applyAlignment="1" applyProtection="1">
      <alignment vertical="center"/>
      <protection hidden="1"/>
    </xf>
    <xf numFmtId="0" fontId="7" fillId="13" borderId="8" xfId="0" applyFont="1" applyFill="1" applyBorder="1" applyAlignment="1" applyProtection="1">
      <alignment vertical="center"/>
      <protection hidden="1"/>
    </xf>
    <xf numFmtId="0" fontId="7" fillId="6" borderId="49" xfId="0" applyFont="1" applyFill="1" applyBorder="1" applyAlignment="1" applyProtection="1">
      <protection hidden="1"/>
    </xf>
    <xf numFmtId="0" fontId="7" fillId="6" borderId="14" xfId="0" applyFont="1" applyFill="1" applyBorder="1" applyAlignment="1" applyProtection="1">
      <protection hidden="1"/>
    </xf>
    <xf numFmtId="0" fontId="7" fillId="6" borderId="11" xfId="0" applyFont="1" applyFill="1" applyBorder="1" applyAlignment="1" applyProtection="1">
      <protection hidden="1"/>
    </xf>
    <xf numFmtId="0" fontId="7" fillId="7" borderId="49" xfId="0" applyFont="1" applyFill="1" applyBorder="1" applyAlignment="1" applyProtection="1">
      <protection hidden="1"/>
    </xf>
    <xf numFmtId="0" fontId="7" fillId="7" borderId="14" xfId="0" applyFont="1" applyFill="1" applyBorder="1" applyAlignment="1" applyProtection="1">
      <protection hidden="1"/>
    </xf>
    <xf numFmtId="0" fontId="7" fillId="7" borderId="11" xfId="0" applyFont="1" applyFill="1" applyBorder="1" applyAlignment="1" applyProtection="1">
      <protection hidden="1"/>
    </xf>
    <xf numFmtId="0" fontId="7" fillId="9" borderId="10" xfId="0" applyFont="1" applyFill="1" applyBorder="1" applyAlignment="1" applyProtection="1">
      <protection hidden="1"/>
    </xf>
    <xf numFmtId="0" fontId="7" fillId="9" borderId="0" xfId="0" applyFont="1" applyFill="1" applyBorder="1" applyAlignment="1" applyProtection="1">
      <protection hidden="1"/>
    </xf>
    <xf numFmtId="0" fontId="7" fillId="9" borderId="8" xfId="0" applyFont="1" applyFill="1" applyBorder="1" applyAlignment="1" applyProtection="1">
      <protection hidden="1"/>
    </xf>
    <xf numFmtId="0" fontId="7" fillId="10" borderId="10" xfId="0" applyFont="1" applyFill="1" applyBorder="1" applyAlignment="1" applyProtection="1">
      <protection hidden="1"/>
    </xf>
    <xf numFmtId="0" fontId="7" fillId="10" borderId="0" xfId="0" applyFont="1" applyFill="1" applyBorder="1" applyAlignment="1" applyProtection="1">
      <protection hidden="1"/>
    </xf>
    <xf numFmtId="0" fontId="7" fillId="10" borderId="8" xfId="0" applyFont="1" applyFill="1" applyBorder="1" applyAlignment="1" applyProtection="1">
      <protection hidden="1"/>
    </xf>
    <xf numFmtId="0" fontId="7" fillId="5" borderId="8" xfId="0" applyFont="1" applyFill="1" applyBorder="1" applyAlignment="1" applyProtection="1">
      <protection hidden="1"/>
    </xf>
    <xf numFmtId="0" fontId="7" fillId="12" borderId="0" xfId="0" applyFont="1" applyFill="1" applyBorder="1" applyAlignment="1" applyProtection="1">
      <alignment vertical="center"/>
      <protection hidden="1"/>
    </xf>
    <xf numFmtId="0" fontId="7" fillId="12" borderId="8" xfId="0" applyFont="1" applyFill="1" applyBorder="1" applyAlignment="1" applyProtection="1">
      <alignment vertical="center"/>
      <protection hidden="1"/>
    </xf>
    <xf numFmtId="14" fontId="7" fillId="6" borderId="10" xfId="0" applyNumberFormat="1" applyFont="1" applyFill="1" applyBorder="1" applyAlignment="1" applyProtection="1">
      <alignment horizontal="center" vertical="center"/>
      <protection hidden="1"/>
    </xf>
    <xf numFmtId="20" fontId="7" fillId="6" borderId="10" xfId="0" applyNumberFormat="1" applyFont="1" applyFill="1" applyBorder="1" applyAlignment="1" applyProtection="1">
      <alignment horizontal="center" vertical="center"/>
      <protection hidden="1"/>
    </xf>
    <xf numFmtId="0" fontId="7" fillId="6" borderId="49" xfId="0" applyFont="1" applyFill="1" applyBorder="1" applyAlignment="1" applyProtection="1">
      <alignment vertical="center"/>
      <protection hidden="1"/>
    </xf>
    <xf numFmtId="14" fontId="7" fillId="6" borderId="0" xfId="0" applyNumberFormat="1" applyFont="1" applyFill="1" applyBorder="1" applyAlignment="1" applyProtection="1">
      <alignment horizontal="center" vertical="center"/>
      <protection hidden="1"/>
    </xf>
    <xf numFmtId="20" fontId="7" fillId="6" borderId="0" xfId="0" applyNumberFormat="1" applyFont="1" applyFill="1" applyBorder="1" applyAlignment="1" applyProtection="1">
      <alignment horizontal="center" vertical="center"/>
      <protection hidden="1"/>
    </xf>
    <xf numFmtId="0" fontId="7" fillId="6" borderId="14" xfId="0" applyFont="1" applyFill="1" applyBorder="1" applyAlignment="1" applyProtection="1">
      <alignment vertical="center"/>
      <protection hidden="1"/>
    </xf>
    <xf numFmtId="14" fontId="7" fillId="6" borderId="8" xfId="0" applyNumberFormat="1" applyFont="1" applyFill="1" applyBorder="1" applyAlignment="1" applyProtection="1">
      <alignment horizontal="center" vertical="center"/>
      <protection hidden="1"/>
    </xf>
    <xf numFmtId="20" fontId="7" fillId="6" borderId="8" xfId="0" applyNumberFormat="1" applyFont="1" applyFill="1" applyBorder="1" applyAlignment="1" applyProtection="1">
      <alignment horizontal="center" vertical="center"/>
      <protection hidden="1"/>
    </xf>
    <xf numFmtId="0" fontId="7" fillId="6" borderId="11" xfId="0" applyFont="1" applyFill="1" applyBorder="1" applyAlignment="1" applyProtection="1">
      <alignment vertical="center"/>
      <protection hidden="1"/>
    </xf>
    <xf numFmtId="14" fontId="7" fillId="5" borderId="0" xfId="0" applyNumberFormat="1" applyFont="1" applyFill="1" applyBorder="1" applyAlignment="1" applyProtection="1">
      <alignment horizontal="center" vertical="center"/>
      <protection hidden="1"/>
    </xf>
    <xf numFmtId="20" fontId="7" fillId="5" borderId="0" xfId="0" applyNumberFormat="1" applyFont="1" applyFill="1" applyBorder="1" applyAlignment="1" applyProtection="1">
      <alignment horizontal="center" vertical="center"/>
      <protection hidden="1"/>
    </xf>
    <xf numFmtId="14" fontId="7" fillId="7" borderId="10" xfId="0" applyNumberFormat="1" applyFont="1" applyFill="1" applyBorder="1" applyAlignment="1" applyProtection="1">
      <alignment horizontal="center" vertical="center"/>
      <protection hidden="1"/>
    </xf>
    <xf numFmtId="20" fontId="7" fillId="7" borderId="10" xfId="0" applyNumberFormat="1" applyFont="1" applyFill="1" applyBorder="1" applyAlignment="1" applyProtection="1">
      <alignment horizontal="center" vertical="center"/>
      <protection hidden="1"/>
    </xf>
    <xf numFmtId="0" fontId="7" fillId="7" borderId="49" xfId="0" applyFont="1" applyFill="1" applyBorder="1" applyProtection="1">
      <protection hidden="1"/>
    </xf>
    <xf numFmtId="14" fontId="7" fillId="7" borderId="0" xfId="0" applyNumberFormat="1" applyFont="1" applyFill="1" applyBorder="1" applyAlignment="1" applyProtection="1">
      <alignment horizontal="center" vertical="center"/>
      <protection hidden="1"/>
    </xf>
    <xf numFmtId="20" fontId="7" fillId="7" borderId="0" xfId="0" applyNumberFormat="1" applyFont="1" applyFill="1" applyBorder="1" applyAlignment="1" applyProtection="1">
      <alignment horizontal="center" vertical="center"/>
      <protection hidden="1"/>
    </xf>
    <xf numFmtId="0" fontId="7" fillId="7" borderId="14" xfId="0" applyFont="1" applyFill="1" applyBorder="1" applyProtection="1">
      <protection hidden="1"/>
    </xf>
    <xf numFmtId="14" fontId="7" fillId="7" borderId="8" xfId="0" applyNumberFormat="1" applyFont="1" applyFill="1" applyBorder="1" applyAlignment="1" applyProtection="1">
      <alignment horizontal="center" vertical="center"/>
      <protection hidden="1"/>
    </xf>
    <xf numFmtId="20" fontId="7" fillId="7" borderId="8" xfId="0" applyNumberFormat="1" applyFont="1" applyFill="1" applyBorder="1" applyAlignment="1" applyProtection="1">
      <alignment horizontal="center" vertical="center"/>
      <protection hidden="1"/>
    </xf>
    <xf numFmtId="0" fontId="7" fillId="7" borderId="11" xfId="0" applyFont="1" applyFill="1" applyBorder="1" applyProtection="1">
      <protection hidden="1"/>
    </xf>
    <xf numFmtId="14" fontId="7" fillId="8" borderId="10" xfId="0" applyNumberFormat="1" applyFont="1" applyFill="1" applyBorder="1" applyAlignment="1" applyProtection="1">
      <alignment horizontal="center" vertical="center"/>
      <protection hidden="1"/>
    </xf>
    <xf numFmtId="20" fontId="7" fillId="8" borderId="10" xfId="0" applyNumberFormat="1" applyFont="1" applyFill="1" applyBorder="1" applyAlignment="1" applyProtection="1">
      <alignment horizontal="center" vertical="center"/>
      <protection hidden="1"/>
    </xf>
    <xf numFmtId="0" fontId="7" fillId="8" borderId="49" xfId="0" applyFont="1" applyFill="1" applyBorder="1" applyAlignment="1" applyProtection="1">
      <alignment vertical="center"/>
      <protection hidden="1"/>
    </xf>
    <xf numFmtId="14" fontId="7" fillId="8" borderId="0" xfId="0" applyNumberFormat="1" applyFont="1" applyFill="1" applyBorder="1" applyAlignment="1" applyProtection="1">
      <alignment horizontal="center" vertical="center"/>
      <protection hidden="1"/>
    </xf>
    <xf numFmtId="20" fontId="7" fillId="8" borderId="0" xfId="0" applyNumberFormat="1" applyFont="1" applyFill="1" applyBorder="1" applyAlignment="1" applyProtection="1">
      <alignment horizontal="center" vertical="center"/>
      <protection hidden="1"/>
    </xf>
    <xf numFmtId="0" fontId="7" fillId="8" borderId="14" xfId="0" applyFont="1" applyFill="1" applyBorder="1" applyAlignment="1" applyProtection="1">
      <alignment vertical="center"/>
      <protection hidden="1"/>
    </xf>
    <xf numFmtId="14" fontId="7" fillId="8" borderId="8" xfId="0" applyNumberFormat="1" applyFont="1" applyFill="1" applyBorder="1" applyAlignment="1" applyProtection="1">
      <alignment horizontal="center" vertical="center"/>
      <protection hidden="1"/>
    </xf>
    <xf numFmtId="20" fontId="7" fillId="8" borderId="8" xfId="0" applyNumberFormat="1" applyFont="1" applyFill="1" applyBorder="1" applyAlignment="1" applyProtection="1">
      <alignment horizontal="center" vertical="center"/>
      <protection hidden="1"/>
    </xf>
    <xf numFmtId="0" fontId="7" fillId="8" borderId="11" xfId="0" applyFont="1" applyFill="1" applyBorder="1" applyAlignment="1" applyProtection="1">
      <alignment vertical="center"/>
      <protection hidden="1"/>
    </xf>
    <xf numFmtId="14" fontId="7" fillId="9" borderId="10" xfId="0" applyNumberFormat="1" applyFont="1" applyFill="1" applyBorder="1" applyAlignment="1" applyProtection="1">
      <alignment horizontal="center" vertical="center"/>
      <protection hidden="1"/>
    </xf>
    <xf numFmtId="20" fontId="7" fillId="9" borderId="10" xfId="0" applyNumberFormat="1" applyFont="1" applyFill="1" applyBorder="1" applyAlignment="1" applyProtection="1">
      <alignment horizontal="center" vertical="center"/>
      <protection hidden="1"/>
    </xf>
    <xf numFmtId="0" fontId="7" fillId="9" borderId="49" xfId="0" applyFont="1" applyFill="1" applyBorder="1" applyProtection="1">
      <protection hidden="1"/>
    </xf>
    <xf numFmtId="14" fontId="7" fillId="9" borderId="0" xfId="0" applyNumberFormat="1" applyFont="1" applyFill="1" applyBorder="1" applyAlignment="1" applyProtection="1">
      <alignment horizontal="center" vertical="center"/>
      <protection hidden="1"/>
    </xf>
    <xf numFmtId="20" fontId="7" fillId="9" borderId="0" xfId="0" applyNumberFormat="1" applyFont="1" applyFill="1" applyBorder="1" applyAlignment="1" applyProtection="1">
      <alignment horizontal="center" vertical="center"/>
      <protection hidden="1"/>
    </xf>
    <xf numFmtId="0" fontId="7" fillId="9" borderId="14" xfId="0" applyFont="1" applyFill="1" applyBorder="1" applyProtection="1">
      <protection hidden="1"/>
    </xf>
    <xf numFmtId="14" fontId="7" fillId="9" borderId="8" xfId="0" applyNumberFormat="1" applyFont="1" applyFill="1" applyBorder="1" applyAlignment="1" applyProtection="1">
      <alignment horizontal="center" vertical="center"/>
      <protection hidden="1"/>
    </xf>
    <xf numFmtId="20" fontId="7" fillId="9" borderId="8" xfId="0" applyNumberFormat="1" applyFont="1" applyFill="1" applyBorder="1" applyAlignment="1" applyProtection="1">
      <alignment horizontal="center" vertical="center"/>
      <protection hidden="1"/>
    </xf>
    <xf numFmtId="0" fontId="7" fillId="9" borderId="11" xfId="0" applyFont="1" applyFill="1" applyBorder="1" applyProtection="1">
      <protection hidden="1"/>
    </xf>
    <xf numFmtId="14" fontId="7" fillId="10" borderId="10" xfId="0" applyNumberFormat="1" applyFont="1" applyFill="1" applyBorder="1" applyAlignment="1" applyProtection="1">
      <alignment horizontal="center" vertical="center"/>
      <protection hidden="1"/>
    </xf>
    <xf numFmtId="20" fontId="7" fillId="10" borderId="10" xfId="0" applyNumberFormat="1" applyFont="1" applyFill="1" applyBorder="1" applyAlignment="1" applyProtection="1">
      <alignment horizontal="center" vertical="center"/>
      <protection hidden="1"/>
    </xf>
    <xf numFmtId="0" fontId="7" fillId="10" borderId="49" xfId="0" applyFont="1" applyFill="1" applyBorder="1" applyProtection="1">
      <protection hidden="1"/>
    </xf>
    <xf numFmtId="14" fontId="7" fillId="10" borderId="0" xfId="0" applyNumberFormat="1" applyFont="1" applyFill="1" applyBorder="1" applyAlignment="1" applyProtection="1">
      <alignment horizontal="center" vertical="center"/>
      <protection hidden="1"/>
    </xf>
    <xf numFmtId="20" fontId="7" fillId="10" borderId="0" xfId="0" applyNumberFormat="1" applyFont="1" applyFill="1" applyBorder="1" applyAlignment="1" applyProtection="1">
      <alignment horizontal="center" vertical="center"/>
      <protection hidden="1"/>
    </xf>
    <xf numFmtId="0" fontId="7" fillId="10" borderId="14" xfId="0" applyFont="1" applyFill="1" applyBorder="1" applyProtection="1">
      <protection hidden="1"/>
    </xf>
    <xf numFmtId="14" fontId="7" fillId="10" borderId="8" xfId="0" applyNumberFormat="1" applyFont="1" applyFill="1" applyBorder="1" applyAlignment="1" applyProtection="1">
      <alignment horizontal="center" vertical="center"/>
      <protection hidden="1"/>
    </xf>
    <xf numFmtId="20" fontId="7" fillId="10" borderId="8" xfId="0" applyNumberFormat="1" applyFont="1" applyFill="1" applyBorder="1" applyAlignment="1" applyProtection="1">
      <alignment horizontal="center" vertical="center"/>
      <protection hidden="1"/>
    </xf>
    <xf numFmtId="0" fontId="7" fillId="10" borderId="11" xfId="0" applyFont="1" applyFill="1" applyBorder="1" applyProtection="1">
      <protection hidden="1"/>
    </xf>
    <xf numFmtId="14" fontId="7" fillId="11" borderId="10" xfId="0" applyNumberFormat="1" applyFont="1" applyFill="1" applyBorder="1" applyAlignment="1" applyProtection="1">
      <alignment horizontal="center" vertical="center"/>
      <protection hidden="1"/>
    </xf>
    <xf numFmtId="20" fontId="7" fillId="11" borderId="10" xfId="0" applyNumberFormat="1" applyFont="1" applyFill="1" applyBorder="1" applyAlignment="1" applyProtection="1">
      <alignment horizontal="center" vertical="center"/>
      <protection hidden="1"/>
    </xf>
    <xf numFmtId="0" fontId="7" fillId="11" borderId="49" xfId="0" applyFont="1" applyFill="1" applyBorder="1" applyAlignment="1" applyProtection="1">
      <alignment vertical="center"/>
      <protection hidden="1"/>
    </xf>
    <xf numFmtId="14" fontId="7" fillId="11" borderId="0" xfId="0" applyNumberFormat="1" applyFont="1" applyFill="1" applyBorder="1" applyAlignment="1" applyProtection="1">
      <alignment horizontal="center" vertical="center"/>
      <protection hidden="1"/>
    </xf>
    <xf numFmtId="20" fontId="7" fillId="11" borderId="0" xfId="0" applyNumberFormat="1" applyFont="1" applyFill="1" applyBorder="1" applyAlignment="1" applyProtection="1">
      <alignment horizontal="center" vertical="center"/>
      <protection hidden="1"/>
    </xf>
    <xf numFmtId="0" fontId="7" fillId="11" borderId="14" xfId="0" applyFont="1" applyFill="1" applyBorder="1" applyAlignment="1" applyProtection="1">
      <alignment vertical="center"/>
      <protection hidden="1"/>
    </xf>
    <xf numFmtId="14" fontId="7" fillId="11" borderId="8" xfId="0" applyNumberFormat="1" applyFont="1" applyFill="1" applyBorder="1" applyAlignment="1" applyProtection="1">
      <alignment horizontal="center" vertical="center"/>
      <protection hidden="1"/>
    </xf>
    <xf numFmtId="20" fontId="7" fillId="11" borderId="8" xfId="0" applyNumberFormat="1" applyFont="1" applyFill="1" applyBorder="1" applyAlignment="1" applyProtection="1">
      <alignment horizontal="center" vertical="center"/>
      <protection hidden="1"/>
    </xf>
    <xf numFmtId="0" fontId="7" fillId="11" borderId="11" xfId="0" applyFont="1" applyFill="1" applyBorder="1" applyAlignment="1" applyProtection="1">
      <alignment vertical="center"/>
      <protection hidden="1"/>
    </xf>
    <xf numFmtId="14" fontId="7" fillId="5" borderId="8" xfId="0" applyNumberFormat="1" applyFont="1" applyFill="1" applyBorder="1" applyProtection="1">
      <protection hidden="1"/>
    </xf>
    <xf numFmtId="14" fontId="7" fillId="5" borderId="8" xfId="0" applyNumberFormat="1" applyFont="1" applyFill="1" applyBorder="1" applyAlignment="1" applyProtection="1">
      <alignment horizontal="center" vertical="center"/>
      <protection hidden="1"/>
    </xf>
    <xf numFmtId="20" fontId="7" fillId="5" borderId="8" xfId="0" applyNumberFormat="1" applyFont="1" applyFill="1" applyBorder="1" applyAlignment="1" applyProtection="1">
      <alignment horizontal="center" vertical="center"/>
      <protection hidden="1"/>
    </xf>
    <xf numFmtId="0" fontId="7" fillId="5" borderId="8" xfId="0" applyFont="1" applyFill="1" applyBorder="1" applyProtection="1">
      <protection hidden="1"/>
    </xf>
    <xf numFmtId="14" fontId="7" fillId="12" borderId="0" xfId="0" applyNumberFormat="1" applyFont="1" applyFill="1" applyBorder="1" applyAlignment="1" applyProtection="1">
      <alignment horizontal="center" vertical="center"/>
      <protection hidden="1"/>
    </xf>
    <xf numFmtId="20" fontId="7" fillId="12" borderId="0" xfId="0" applyNumberFormat="1" applyFont="1" applyFill="1" applyBorder="1" applyAlignment="1" applyProtection="1">
      <alignment horizontal="center" vertical="center"/>
      <protection hidden="1"/>
    </xf>
    <xf numFmtId="0" fontId="7" fillId="12" borderId="14" xfId="0" applyFont="1" applyFill="1" applyBorder="1" applyAlignment="1" applyProtection="1">
      <alignment vertical="center"/>
      <protection hidden="1"/>
    </xf>
    <xf numFmtId="14" fontId="7" fillId="12" borderId="8" xfId="0" applyNumberFormat="1" applyFont="1" applyFill="1" applyBorder="1" applyAlignment="1" applyProtection="1">
      <alignment horizontal="center" vertical="center"/>
      <protection hidden="1"/>
    </xf>
    <xf numFmtId="20" fontId="7" fillId="12" borderId="8" xfId="0" applyNumberFormat="1" applyFont="1" applyFill="1" applyBorder="1" applyAlignment="1" applyProtection="1">
      <alignment horizontal="center" vertical="center"/>
      <protection hidden="1"/>
    </xf>
    <xf numFmtId="0" fontId="7" fillId="12" borderId="11" xfId="0" applyFont="1" applyFill="1" applyBorder="1" applyAlignment="1" applyProtection="1">
      <alignment vertical="center"/>
      <protection hidden="1"/>
    </xf>
    <xf numFmtId="14" fontId="7" fillId="13" borderId="10" xfId="0" applyNumberFormat="1" applyFont="1" applyFill="1" applyBorder="1" applyAlignment="1" applyProtection="1">
      <alignment horizontal="center" vertical="center"/>
      <protection hidden="1"/>
    </xf>
    <xf numFmtId="20" fontId="7" fillId="13" borderId="10" xfId="0" applyNumberFormat="1" applyFont="1" applyFill="1" applyBorder="1" applyAlignment="1" applyProtection="1">
      <alignment horizontal="center" vertical="center"/>
      <protection hidden="1"/>
    </xf>
    <xf numFmtId="0" fontId="7" fillId="13" borderId="49" xfId="0" applyFont="1" applyFill="1" applyBorder="1" applyAlignment="1" applyProtection="1">
      <alignment vertical="center"/>
      <protection hidden="1"/>
    </xf>
    <xf numFmtId="14" fontId="7" fillId="13" borderId="0" xfId="0" applyNumberFormat="1" applyFont="1" applyFill="1" applyBorder="1" applyAlignment="1" applyProtection="1">
      <alignment horizontal="center" vertical="center"/>
      <protection hidden="1"/>
    </xf>
    <xf numFmtId="20" fontId="7" fillId="13" borderId="0" xfId="0" applyNumberFormat="1" applyFont="1" applyFill="1" applyBorder="1" applyAlignment="1" applyProtection="1">
      <alignment horizontal="center" vertical="center"/>
      <protection hidden="1"/>
    </xf>
    <xf numFmtId="0" fontId="7" fillId="13" borderId="14" xfId="0" applyFont="1" applyFill="1" applyBorder="1" applyAlignment="1" applyProtection="1">
      <alignment vertical="center"/>
      <protection hidden="1"/>
    </xf>
    <xf numFmtId="14" fontId="7" fillId="13" borderId="8" xfId="0" applyNumberFormat="1" applyFont="1" applyFill="1" applyBorder="1" applyAlignment="1" applyProtection="1">
      <alignment horizontal="center" vertical="center"/>
      <protection hidden="1"/>
    </xf>
    <xf numFmtId="20" fontId="7" fillId="13" borderId="8" xfId="0" applyNumberFormat="1" applyFont="1" applyFill="1" applyBorder="1" applyAlignment="1" applyProtection="1">
      <alignment horizontal="center" vertical="center"/>
      <protection hidden="1"/>
    </xf>
    <xf numFmtId="0" fontId="7" fillId="13" borderId="11" xfId="0" applyFont="1" applyFill="1" applyBorder="1" applyAlignment="1" applyProtection="1">
      <alignment vertical="center"/>
      <protection hidden="1"/>
    </xf>
    <xf numFmtId="0" fontId="3" fillId="5" borderId="0" xfId="0" applyFont="1" applyFill="1" applyAlignment="1" applyProtection="1">
      <alignment horizontal="center"/>
      <protection hidden="1"/>
    </xf>
    <xf numFmtId="0" fontId="10" fillId="5" borderId="0" xfId="0" applyFont="1" applyFill="1" applyBorder="1" applyProtection="1">
      <protection hidden="1"/>
    </xf>
    <xf numFmtId="0" fontId="13" fillId="5" borderId="0" xfId="0" applyFont="1" applyFill="1" applyBorder="1" applyAlignment="1" applyProtection="1">
      <alignment horizontal="center" vertical="center"/>
      <protection hidden="1"/>
    </xf>
    <xf numFmtId="0" fontId="14" fillId="5" borderId="0" xfId="0" applyFont="1" applyFill="1" applyBorder="1" applyAlignment="1" applyProtection="1">
      <protection hidden="1"/>
    </xf>
    <xf numFmtId="0" fontId="3" fillId="5" borderId="0" xfId="0" applyFont="1" applyFill="1" applyAlignment="1" applyProtection="1">
      <alignment horizontal="center" wrapText="1"/>
      <protection hidden="1"/>
    </xf>
    <xf numFmtId="0" fontId="16" fillId="5" borderId="0" xfId="0" applyFont="1" applyFill="1" applyBorder="1" applyAlignment="1" applyProtection="1">
      <alignment horizontal="center" vertical="center" wrapText="1"/>
      <protection hidden="1"/>
    </xf>
    <xf numFmtId="0" fontId="0" fillId="2" borderId="0" xfId="0" applyFill="1" applyAlignment="1" applyProtection="1">
      <alignment horizontal="center"/>
      <protection hidden="1"/>
    </xf>
    <xf numFmtId="0" fontId="7" fillId="6" borderId="50" xfId="0" applyFont="1" applyFill="1" applyBorder="1" applyAlignment="1" applyProtection="1">
      <alignment horizontal="right"/>
      <protection hidden="1"/>
    </xf>
    <xf numFmtId="0" fontId="7" fillId="6" borderId="35" xfId="0" applyFont="1" applyFill="1" applyBorder="1" applyAlignment="1" applyProtection="1">
      <alignment horizontal="right"/>
      <protection hidden="1"/>
    </xf>
    <xf numFmtId="0" fontId="7" fillId="6" borderId="8" xfId="0" applyFont="1" applyFill="1" applyBorder="1" applyAlignment="1" applyProtection="1">
      <alignment horizontal="right"/>
      <protection hidden="1"/>
    </xf>
    <xf numFmtId="0" fontId="7" fillId="7" borderId="50" xfId="0" applyFont="1" applyFill="1" applyBorder="1" applyAlignment="1" applyProtection="1">
      <alignment horizontal="right"/>
      <protection hidden="1"/>
    </xf>
    <xf numFmtId="0" fontId="7" fillId="7" borderId="0" xfId="0" applyFont="1" applyFill="1" applyBorder="1" applyAlignment="1" applyProtection="1">
      <alignment horizontal="right"/>
      <protection hidden="1"/>
    </xf>
    <xf numFmtId="0" fontId="7" fillId="7" borderId="35" xfId="0" applyFont="1" applyFill="1" applyBorder="1" applyAlignment="1" applyProtection="1">
      <alignment horizontal="right"/>
      <protection hidden="1"/>
    </xf>
    <xf numFmtId="0" fontId="7" fillId="7" borderId="8" xfId="0" applyFont="1" applyFill="1" applyBorder="1" applyAlignment="1" applyProtection="1">
      <alignment horizontal="right"/>
      <protection hidden="1"/>
    </xf>
    <xf numFmtId="0" fontId="7" fillId="8" borderId="10" xfId="0" applyFont="1" applyFill="1" applyBorder="1" applyAlignment="1" applyProtection="1">
      <alignment horizontal="right" vertical="center"/>
      <protection hidden="1"/>
    </xf>
    <xf numFmtId="0" fontId="7" fillId="8" borderId="0" xfId="0" applyFont="1" applyFill="1" applyBorder="1" applyAlignment="1" applyProtection="1">
      <alignment horizontal="right" vertical="center"/>
      <protection hidden="1"/>
    </xf>
    <xf numFmtId="0" fontId="7" fillId="8" borderId="8" xfId="0" applyFont="1" applyFill="1" applyBorder="1" applyAlignment="1" applyProtection="1">
      <alignment horizontal="right" vertical="center"/>
      <protection hidden="1"/>
    </xf>
    <xf numFmtId="0" fontId="7" fillId="9" borderId="10" xfId="0" applyFont="1" applyFill="1" applyBorder="1" applyAlignment="1" applyProtection="1">
      <alignment horizontal="right"/>
      <protection hidden="1"/>
    </xf>
    <xf numFmtId="0" fontId="7" fillId="9" borderId="0" xfId="0" applyFont="1" applyFill="1" applyBorder="1" applyAlignment="1" applyProtection="1">
      <alignment horizontal="right"/>
      <protection hidden="1"/>
    </xf>
    <xf numFmtId="0" fontId="7" fillId="9" borderId="8" xfId="0" applyFont="1" applyFill="1" applyBorder="1" applyAlignment="1" applyProtection="1">
      <alignment horizontal="right"/>
      <protection hidden="1"/>
    </xf>
    <xf numFmtId="0" fontId="7" fillId="10" borderId="10" xfId="0" applyFont="1" applyFill="1" applyBorder="1" applyAlignment="1" applyProtection="1">
      <alignment horizontal="right"/>
      <protection hidden="1"/>
    </xf>
    <xf numFmtId="0" fontId="7" fillId="10" borderId="0" xfId="0" applyFont="1" applyFill="1" applyBorder="1" applyAlignment="1" applyProtection="1">
      <alignment horizontal="right"/>
      <protection hidden="1"/>
    </xf>
    <xf numFmtId="0" fontId="7" fillId="10" borderId="8" xfId="0" applyFont="1" applyFill="1" applyBorder="1" applyAlignment="1" applyProtection="1">
      <alignment horizontal="right"/>
      <protection hidden="1"/>
    </xf>
    <xf numFmtId="0" fontId="7" fillId="11" borderId="10" xfId="0" applyFont="1" applyFill="1" applyBorder="1" applyAlignment="1" applyProtection="1">
      <alignment horizontal="right" vertical="center"/>
      <protection hidden="1"/>
    </xf>
    <xf numFmtId="0" fontId="7" fillId="11" borderId="0" xfId="0" applyFont="1" applyFill="1" applyBorder="1" applyAlignment="1" applyProtection="1">
      <alignment horizontal="right" vertical="center"/>
      <protection hidden="1"/>
    </xf>
    <xf numFmtId="0" fontId="7" fillId="11" borderId="8" xfId="0" applyFont="1" applyFill="1" applyBorder="1" applyAlignment="1" applyProtection="1">
      <alignment horizontal="right" vertical="center"/>
      <protection hidden="1"/>
    </xf>
    <xf numFmtId="0" fontId="7" fillId="5" borderId="8" xfId="0" applyFont="1" applyFill="1" applyBorder="1" applyAlignment="1" applyProtection="1">
      <alignment horizontal="right"/>
      <protection hidden="1"/>
    </xf>
    <xf numFmtId="0" fontId="7" fillId="12" borderId="0" xfId="0" applyFont="1" applyFill="1" applyBorder="1" applyAlignment="1" applyProtection="1">
      <alignment horizontal="right" vertical="center"/>
      <protection hidden="1"/>
    </xf>
    <xf numFmtId="0" fontId="7" fillId="12" borderId="8" xfId="0" applyFont="1" applyFill="1" applyBorder="1" applyAlignment="1" applyProtection="1">
      <alignment horizontal="right" vertical="center"/>
      <protection hidden="1"/>
    </xf>
    <xf numFmtId="0" fontId="7" fillId="13" borderId="10" xfId="0" applyFont="1" applyFill="1" applyBorder="1" applyAlignment="1" applyProtection="1">
      <alignment horizontal="right" vertical="center"/>
      <protection hidden="1"/>
    </xf>
    <xf numFmtId="0" fontId="7" fillId="13" borderId="0" xfId="0" applyFont="1" applyFill="1" applyBorder="1" applyAlignment="1" applyProtection="1">
      <alignment horizontal="right" vertical="center"/>
      <protection hidden="1"/>
    </xf>
    <xf numFmtId="0" fontId="7" fillId="13" borderId="8" xfId="0" applyFont="1" applyFill="1" applyBorder="1" applyAlignment="1" applyProtection="1">
      <alignment horizontal="right" vertical="center"/>
      <protection hidden="1"/>
    </xf>
    <xf numFmtId="0" fontId="7" fillId="6" borderId="49" xfId="0" applyFont="1" applyFill="1" applyBorder="1" applyAlignment="1" applyProtection="1">
      <alignment horizontal="left"/>
      <protection hidden="1"/>
    </xf>
    <xf numFmtId="0" fontId="7" fillId="6" borderId="14" xfId="0" applyFont="1" applyFill="1" applyBorder="1" applyAlignment="1" applyProtection="1">
      <alignment horizontal="left"/>
      <protection hidden="1"/>
    </xf>
    <xf numFmtId="0" fontId="7" fillId="6" borderId="11" xfId="0" applyFont="1" applyFill="1" applyBorder="1" applyAlignment="1" applyProtection="1">
      <alignment horizontal="left"/>
      <protection hidden="1"/>
    </xf>
    <xf numFmtId="0" fontId="7" fillId="7" borderId="49" xfId="0" applyFont="1" applyFill="1" applyBorder="1" applyAlignment="1" applyProtection="1">
      <alignment horizontal="left"/>
      <protection hidden="1"/>
    </xf>
    <xf numFmtId="0" fontId="7" fillId="7" borderId="14" xfId="0" applyFont="1" applyFill="1" applyBorder="1" applyAlignment="1" applyProtection="1">
      <alignment horizontal="left"/>
      <protection hidden="1"/>
    </xf>
    <xf numFmtId="0" fontId="7" fillId="7" borderId="11" xfId="0" applyFont="1" applyFill="1" applyBorder="1" applyAlignment="1" applyProtection="1">
      <alignment horizontal="left"/>
      <protection hidden="1"/>
    </xf>
    <xf numFmtId="0" fontId="7" fillId="8" borderId="49" xfId="0" applyFont="1" applyFill="1" applyBorder="1" applyAlignment="1" applyProtection="1">
      <alignment horizontal="left" vertical="center"/>
      <protection hidden="1"/>
    </xf>
    <xf numFmtId="0" fontId="7" fillId="8" borderId="14" xfId="0" applyFont="1" applyFill="1" applyBorder="1" applyAlignment="1" applyProtection="1">
      <alignment horizontal="left" vertical="center"/>
      <protection hidden="1"/>
    </xf>
    <xf numFmtId="0" fontId="7" fillId="8" borderId="11" xfId="0" applyFont="1" applyFill="1" applyBorder="1" applyAlignment="1" applyProtection="1">
      <alignment horizontal="left" vertical="center"/>
      <protection hidden="1"/>
    </xf>
    <xf numFmtId="0" fontId="7" fillId="9" borderId="49" xfId="0" applyFont="1" applyFill="1" applyBorder="1" applyAlignment="1" applyProtection="1">
      <alignment horizontal="left"/>
      <protection hidden="1"/>
    </xf>
    <xf numFmtId="0" fontId="7" fillId="9" borderId="14" xfId="0" applyFont="1" applyFill="1" applyBorder="1" applyAlignment="1" applyProtection="1">
      <alignment horizontal="left"/>
      <protection hidden="1"/>
    </xf>
    <xf numFmtId="0" fontId="7" fillId="9" borderId="11" xfId="0" applyFont="1" applyFill="1" applyBorder="1" applyAlignment="1" applyProtection="1">
      <alignment horizontal="left"/>
      <protection hidden="1"/>
    </xf>
    <xf numFmtId="0" fontId="7" fillId="10" borderId="49" xfId="0" applyFont="1" applyFill="1" applyBorder="1" applyAlignment="1" applyProtection="1">
      <alignment horizontal="left"/>
      <protection hidden="1"/>
    </xf>
    <xf numFmtId="0" fontId="7" fillId="10" borderId="14" xfId="0" applyFont="1" applyFill="1" applyBorder="1" applyAlignment="1" applyProtection="1">
      <alignment horizontal="left"/>
      <protection hidden="1"/>
    </xf>
    <xf numFmtId="0" fontId="7" fillId="10" borderId="11" xfId="0" applyFont="1" applyFill="1" applyBorder="1" applyAlignment="1" applyProtection="1">
      <alignment horizontal="left"/>
      <protection hidden="1"/>
    </xf>
    <xf numFmtId="0" fontId="7" fillId="11" borderId="49" xfId="0" applyFont="1" applyFill="1" applyBorder="1" applyAlignment="1" applyProtection="1">
      <alignment horizontal="left" vertical="center"/>
      <protection hidden="1"/>
    </xf>
    <xf numFmtId="0" fontId="7" fillId="11" borderId="14" xfId="0" applyFont="1" applyFill="1" applyBorder="1" applyAlignment="1" applyProtection="1">
      <alignment horizontal="left" vertical="center"/>
      <protection hidden="1"/>
    </xf>
    <xf numFmtId="0" fontId="7" fillId="11" borderId="11" xfId="0" applyFont="1" applyFill="1" applyBorder="1" applyAlignment="1" applyProtection="1">
      <alignment horizontal="left" vertical="center"/>
      <protection hidden="1"/>
    </xf>
    <xf numFmtId="0" fontId="7" fillId="5" borderId="8" xfId="0" applyFont="1" applyFill="1" applyBorder="1" applyAlignment="1" applyProtection="1">
      <alignment horizontal="left"/>
      <protection hidden="1"/>
    </xf>
    <xf numFmtId="0" fontId="7" fillId="12" borderId="49" xfId="0" applyFont="1" applyFill="1" applyBorder="1" applyAlignment="1" applyProtection="1">
      <alignment horizontal="left" vertical="center"/>
      <protection hidden="1"/>
    </xf>
    <xf numFmtId="0" fontId="7" fillId="12" borderId="14" xfId="0" applyFont="1" applyFill="1" applyBorder="1" applyAlignment="1" applyProtection="1">
      <alignment horizontal="left" vertical="center"/>
      <protection hidden="1"/>
    </xf>
    <xf numFmtId="0" fontId="7" fillId="12" borderId="11" xfId="0" applyFont="1" applyFill="1" applyBorder="1" applyAlignment="1" applyProtection="1">
      <alignment horizontal="left" vertical="center"/>
      <protection hidden="1"/>
    </xf>
    <xf numFmtId="0" fontId="7" fillId="13" borderId="49" xfId="0" applyFont="1" applyFill="1" applyBorder="1" applyAlignment="1" applyProtection="1">
      <alignment horizontal="left" vertical="center"/>
      <protection hidden="1"/>
    </xf>
    <xf numFmtId="0" fontId="7" fillId="13" borderId="14" xfId="0" applyFont="1" applyFill="1" applyBorder="1" applyAlignment="1" applyProtection="1">
      <alignment horizontal="left" vertical="center"/>
      <protection hidden="1"/>
    </xf>
    <xf numFmtId="0" fontId="7" fillId="13" borderId="11" xfId="0" applyFont="1" applyFill="1" applyBorder="1" applyAlignment="1" applyProtection="1">
      <alignment horizontal="left" vertical="center"/>
      <protection hidden="1"/>
    </xf>
    <xf numFmtId="0" fontId="26" fillId="5" borderId="0" xfId="0" applyFont="1" applyFill="1" applyBorder="1" applyAlignment="1" applyProtection="1">
      <alignment horizontal="center" vertical="center"/>
      <protection hidden="1"/>
    </xf>
    <xf numFmtId="0" fontId="21" fillId="5" borderId="0" xfId="0" applyFont="1" applyFill="1" applyBorder="1" applyAlignment="1" applyProtection="1">
      <alignment vertical="center"/>
      <protection hidden="1"/>
    </xf>
    <xf numFmtId="0" fontId="11" fillId="5" borderId="0" xfId="0" applyFont="1" applyFill="1" applyBorder="1" applyAlignment="1" applyProtection="1">
      <alignment horizontal="center" vertical="center"/>
      <protection hidden="1"/>
    </xf>
    <xf numFmtId="0" fontId="26" fillId="5" borderId="0" xfId="0" applyFont="1" applyFill="1" applyAlignment="1" applyProtection="1">
      <alignment horizontal="center" vertical="center"/>
      <protection hidden="1"/>
    </xf>
    <xf numFmtId="0" fontId="11" fillId="5" borderId="0" xfId="0" applyFont="1" applyFill="1" applyAlignment="1" applyProtection="1">
      <alignment horizontal="center" vertical="center"/>
      <protection hidden="1"/>
    </xf>
    <xf numFmtId="0" fontId="8" fillId="5" borderId="8" xfId="0" applyFont="1" applyFill="1" applyBorder="1" applyAlignment="1" applyProtection="1">
      <alignment horizontal="center"/>
      <protection hidden="1"/>
    </xf>
    <xf numFmtId="0" fontId="0" fillId="0" borderId="0" xfId="0" applyProtection="1">
      <protection hidden="1"/>
    </xf>
    <xf numFmtId="0" fontId="0" fillId="4" borderId="0" xfId="0" applyFill="1" applyProtection="1">
      <protection hidden="1"/>
    </xf>
    <xf numFmtId="0" fontId="12" fillId="0" borderId="0" xfId="0" applyFont="1" applyProtection="1">
      <protection hidden="1"/>
    </xf>
    <xf numFmtId="0" fontId="0" fillId="3" borderId="31" xfId="0" applyFill="1" applyBorder="1" applyProtection="1">
      <protection hidden="1"/>
    </xf>
    <xf numFmtId="0" fontId="0" fillId="0" borderId="0" xfId="0" applyProtection="1">
      <protection locked="0" hidden="1"/>
    </xf>
    <xf numFmtId="0" fontId="4" fillId="5" borderId="0" xfId="27" applyFill="1"/>
    <xf numFmtId="0" fontId="7" fillId="20" borderId="0" xfId="0" applyFont="1" applyFill="1" applyAlignment="1" applyProtection="1">
      <alignment horizontal="center" vertical="center"/>
      <protection hidden="1"/>
    </xf>
    <xf numFmtId="0" fontId="20" fillId="5" borderId="0" xfId="0" applyFont="1" applyFill="1" applyBorder="1" applyAlignment="1" applyProtection="1">
      <alignment horizontal="left" vertical="center"/>
      <protection hidden="1"/>
    </xf>
    <xf numFmtId="0" fontId="33" fillId="5" borderId="0" xfId="0" applyFont="1" applyFill="1" applyAlignment="1" applyProtection="1">
      <alignment horizontal="center" vertical="center"/>
      <protection hidden="1"/>
    </xf>
    <xf numFmtId="0" fontId="0" fillId="5" borderId="0" xfId="0" applyFill="1" applyAlignment="1" applyProtection="1">
      <alignment horizontal="center"/>
      <protection hidden="1"/>
    </xf>
    <xf numFmtId="0" fontId="33" fillId="5" borderId="0" xfId="0" applyFont="1" applyFill="1" applyBorder="1" applyAlignment="1" applyProtection="1">
      <alignment horizontal="center" vertical="center"/>
      <protection locked="0" hidden="1"/>
    </xf>
    <xf numFmtId="0" fontId="33" fillId="5" borderId="0" xfId="0" applyFont="1" applyFill="1" applyAlignment="1" applyProtection="1">
      <alignment horizontal="center" vertical="center"/>
      <protection locked="0" hidden="1"/>
    </xf>
    <xf numFmtId="0" fontId="17" fillId="5" borderId="0" xfId="0" applyFont="1" applyFill="1" applyAlignment="1" applyProtection="1">
      <alignment horizontal="center"/>
      <protection hidden="1"/>
    </xf>
    <xf numFmtId="0" fontId="8" fillId="2" borderId="0" xfId="0" applyFont="1" applyFill="1" applyBorder="1" applyAlignment="1" applyProtection="1">
      <alignment vertical="center"/>
      <protection hidden="1"/>
    </xf>
    <xf numFmtId="0" fontId="8" fillId="2" borderId="0" xfId="0" applyFont="1" applyFill="1" applyBorder="1" applyProtection="1">
      <protection hidden="1"/>
    </xf>
    <xf numFmtId="0" fontId="7" fillId="2" borderId="0" xfId="0" applyFont="1" applyFill="1" applyBorder="1"/>
    <xf numFmtId="0" fontId="8" fillId="2" borderId="1" xfId="0" applyFont="1" applyFill="1" applyBorder="1" applyProtection="1">
      <protection hidden="1"/>
    </xf>
    <xf numFmtId="0" fontId="7" fillId="2" borderId="1" xfId="0" applyFont="1" applyFill="1" applyBorder="1"/>
    <xf numFmtId="0" fontId="8" fillId="2" borderId="0" xfId="0" applyFont="1" applyFill="1" applyProtection="1">
      <protection hidden="1"/>
    </xf>
    <xf numFmtId="0" fontId="7" fillId="2" borderId="4" xfId="0" applyFont="1" applyFill="1" applyBorder="1" applyProtection="1">
      <protection hidden="1"/>
    </xf>
    <xf numFmtId="0" fontId="7" fillId="2" borderId="5" xfId="0" applyFont="1" applyFill="1" applyBorder="1" applyProtection="1">
      <protection hidden="1"/>
    </xf>
    <xf numFmtId="0" fontId="8" fillId="2" borderId="26" xfId="0" applyFont="1" applyFill="1" applyBorder="1" applyProtection="1">
      <protection hidden="1"/>
    </xf>
    <xf numFmtId="0" fontId="7" fillId="2" borderId="24" xfId="0" applyFont="1" applyFill="1" applyBorder="1" applyProtection="1">
      <protection hidden="1"/>
    </xf>
    <xf numFmtId="0" fontId="7" fillId="2" borderId="1" xfId="0" applyFont="1" applyFill="1" applyBorder="1" applyProtection="1">
      <protection hidden="1"/>
    </xf>
    <xf numFmtId="0" fontId="8" fillId="2" borderId="0" xfId="0" applyFont="1" applyFill="1" applyBorder="1" applyAlignment="1" applyProtection="1">
      <alignment horizontal="center"/>
      <protection hidden="1"/>
    </xf>
    <xf numFmtId="0" fontId="8" fillId="2" borderId="39" xfId="0" applyFont="1" applyFill="1" applyBorder="1" applyAlignment="1" applyProtection="1">
      <alignment horizontal="center"/>
      <protection hidden="1"/>
    </xf>
    <xf numFmtId="0" fontId="8" fillId="2" borderId="40" xfId="0" applyFont="1" applyFill="1" applyBorder="1" applyAlignment="1" applyProtection="1">
      <alignment horizontal="center"/>
      <protection hidden="1"/>
    </xf>
    <xf numFmtId="0" fontId="8" fillId="2" borderId="41" xfId="0" applyFont="1" applyFill="1" applyBorder="1" applyAlignment="1" applyProtection="1">
      <alignment horizontal="center"/>
      <protection hidden="1"/>
    </xf>
    <xf numFmtId="0" fontId="7" fillId="2" borderId="29" xfId="0" applyFont="1" applyFill="1" applyBorder="1" applyProtection="1">
      <protection hidden="1"/>
    </xf>
    <xf numFmtId="0" fontId="7" fillId="2" borderId="15" xfId="0" applyFont="1" applyFill="1" applyBorder="1" applyProtection="1">
      <protection hidden="1"/>
    </xf>
    <xf numFmtId="0" fontId="8" fillId="2" borderId="27" xfId="0" applyFont="1" applyFill="1" applyBorder="1" applyAlignment="1" applyProtection="1">
      <alignment horizontal="center"/>
      <protection hidden="1"/>
    </xf>
    <xf numFmtId="0" fontId="35" fillId="2" borderId="2" xfId="0" applyFont="1" applyFill="1" applyBorder="1" applyAlignment="1" applyProtection="1">
      <alignment horizontal="center"/>
      <protection hidden="1"/>
    </xf>
    <xf numFmtId="0" fontId="36" fillId="2" borderId="6" xfId="0" applyFont="1" applyFill="1" applyBorder="1" applyAlignment="1" applyProtection="1">
      <alignment horizontal="center"/>
      <protection hidden="1"/>
    </xf>
    <xf numFmtId="0" fontId="35" fillId="2" borderId="27" xfId="0" applyFont="1" applyFill="1" applyBorder="1" applyAlignment="1" applyProtection="1">
      <alignment horizontal="center"/>
      <protection hidden="1"/>
    </xf>
    <xf numFmtId="0" fontId="36" fillId="2" borderId="27" xfId="0" applyFont="1" applyFill="1" applyBorder="1" applyAlignment="1" applyProtection="1">
      <alignment horizontal="center"/>
      <protection hidden="1"/>
    </xf>
    <xf numFmtId="0" fontId="36" fillId="2" borderId="2" xfId="0" applyFont="1" applyFill="1" applyBorder="1" applyAlignment="1" applyProtection="1">
      <alignment horizontal="center"/>
      <protection hidden="1"/>
    </xf>
    <xf numFmtId="0" fontId="36" fillId="2" borderId="28" xfId="0" applyFont="1" applyFill="1" applyBorder="1" applyAlignment="1" applyProtection="1">
      <alignment horizontal="center"/>
      <protection hidden="1"/>
    </xf>
    <xf numFmtId="0" fontId="8" fillId="2" borderId="0" xfId="0" applyFont="1" applyFill="1" applyBorder="1"/>
    <xf numFmtId="0" fontId="8" fillId="2" borderId="1" xfId="0" applyFont="1" applyFill="1" applyBorder="1"/>
    <xf numFmtId="0" fontId="7" fillId="2" borderId="42" xfId="0" applyFont="1" applyFill="1" applyBorder="1" applyProtection="1">
      <protection hidden="1"/>
    </xf>
    <xf numFmtId="0" fontId="7" fillId="2" borderId="43" xfId="0" applyFont="1" applyFill="1" applyBorder="1" applyProtection="1">
      <protection hidden="1"/>
    </xf>
    <xf numFmtId="0" fontId="37" fillId="2" borderId="17" xfId="0" applyFont="1" applyFill="1" applyBorder="1" applyProtection="1">
      <protection hidden="1"/>
    </xf>
    <xf numFmtId="3" fontId="19" fillId="2" borderId="16" xfId="0" applyNumberFormat="1" applyFont="1" applyFill="1" applyBorder="1" applyProtection="1">
      <protection hidden="1"/>
    </xf>
    <xf numFmtId="0" fontId="38" fillId="2" borderId="18" xfId="0" applyFont="1" applyFill="1" applyBorder="1" applyAlignment="1" applyProtection="1">
      <alignment horizontal="center" vertical="center"/>
      <protection hidden="1"/>
    </xf>
    <xf numFmtId="0" fontId="7" fillId="2" borderId="16" xfId="0" applyFont="1" applyFill="1" applyBorder="1" applyProtection="1">
      <protection hidden="1"/>
    </xf>
    <xf numFmtId="0" fontId="39" fillId="2" borderId="22" xfId="0" applyFont="1" applyFill="1" applyBorder="1" applyAlignment="1" applyProtection="1">
      <alignment horizontal="center"/>
      <protection hidden="1"/>
    </xf>
    <xf numFmtId="0" fontId="39" fillId="2" borderId="18" xfId="0" applyFont="1" applyFill="1" applyBorder="1" applyAlignment="1" applyProtection="1">
      <alignment horizontal="center"/>
      <protection hidden="1"/>
    </xf>
    <xf numFmtId="0" fontId="39" fillId="2" borderId="1" xfId="0" applyFont="1" applyFill="1" applyBorder="1" applyAlignment="1" applyProtection="1">
      <alignment horizontal="center"/>
      <protection hidden="1"/>
    </xf>
    <xf numFmtId="0" fontId="39" fillId="2" borderId="19" xfId="0" applyFont="1" applyFill="1" applyBorder="1" applyAlignment="1" applyProtection="1">
      <alignment horizontal="center"/>
      <protection hidden="1"/>
    </xf>
    <xf numFmtId="2" fontId="7" fillId="2" borderId="1" xfId="0" applyNumberFormat="1" applyFont="1" applyFill="1" applyBorder="1"/>
    <xf numFmtId="0" fontId="7" fillId="2" borderId="44" xfId="0" applyFont="1" applyFill="1" applyBorder="1" applyProtection="1">
      <protection hidden="1"/>
    </xf>
    <xf numFmtId="0" fontId="7" fillId="2" borderId="45" xfId="0" applyFont="1" applyFill="1" applyBorder="1"/>
    <xf numFmtId="0" fontId="7" fillId="2" borderId="45" xfId="0" applyFont="1" applyFill="1" applyBorder="1" applyProtection="1">
      <protection hidden="1"/>
    </xf>
    <xf numFmtId="0" fontId="7" fillId="2" borderId="37" xfId="0" applyFont="1" applyFill="1" applyBorder="1" applyProtection="1">
      <protection hidden="1"/>
    </xf>
    <xf numFmtId="0" fontId="7" fillId="2" borderId="46" xfId="0" applyFont="1" applyFill="1" applyBorder="1" applyProtection="1">
      <protection hidden="1"/>
    </xf>
    <xf numFmtId="0" fontId="38" fillId="2" borderId="20" xfId="0" applyFont="1" applyFill="1" applyBorder="1" applyAlignment="1" applyProtection="1">
      <alignment horizontal="center" vertical="center"/>
      <protection hidden="1"/>
    </xf>
    <xf numFmtId="0" fontId="7" fillId="2" borderId="3" xfId="0" applyFont="1" applyFill="1" applyBorder="1" applyProtection="1">
      <protection hidden="1"/>
    </xf>
    <xf numFmtId="0" fontId="7" fillId="2" borderId="21" xfId="0" applyFont="1" applyFill="1" applyBorder="1" applyProtection="1">
      <protection hidden="1"/>
    </xf>
    <xf numFmtId="0" fontId="39" fillId="2" borderId="23" xfId="0" applyFont="1" applyFill="1" applyBorder="1" applyAlignment="1" applyProtection="1">
      <alignment horizontal="center"/>
      <protection hidden="1"/>
    </xf>
    <xf numFmtId="0" fontId="39" fillId="2" borderId="20" xfId="0" applyFont="1" applyFill="1" applyBorder="1" applyAlignment="1" applyProtection="1">
      <alignment horizontal="center"/>
      <protection hidden="1"/>
    </xf>
    <xf numFmtId="0" fontId="39" fillId="2" borderId="3" xfId="0" applyFont="1" applyFill="1" applyBorder="1" applyAlignment="1" applyProtection="1">
      <alignment horizontal="center"/>
      <protection hidden="1"/>
    </xf>
    <xf numFmtId="0" fontId="39" fillId="2" borderId="21" xfId="0" applyFont="1" applyFill="1" applyBorder="1" applyAlignment="1" applyProtection="1">
      <alignment horizontal="center"/>
      <protection hidden="1"/>
    </xf>
    <xf numFmtId="0" fontId="7" fillId="2" borderId="0" xfId="0" applyFont="1" applyFill="1" applyBorder="1" applyProtection="1">
      <protection hidden="1"/>
    </xf>
    <xf numFmtId="0" fontId="7" fillId="2" borderId="48" xfId="0" applyFont="1" applyFill="1" applyBorder="1" applyProtection="1">
      <protection hidden="1"/>
    </xf>
    <xf numFmtId="0" fontId="38" fillId="2" borderId="32" xfId="0" applyFont="1" applyFill="1" applyBorder="1" applyAlignment="1" applyProtection="1">
      <alignment horizontal="center" vertical="center"/>
      <protection hidden="1"/>
    </xf>
    <xf numFmtId="0" fontId="39" fillId="2" borderId="32" xfId="0" applyFont="1" applyFill="1" applyBorder="1" applyAlignment="1" applyProtection="1">
      <alignment horizontal="center"/>
      <protection hidden="1"/>
    </xf>
    <xf numFmtId="0" fontId="39" fillId="2" borderId="0" xfId="0" applyFont="1" applyFill="1" applyBorder="1" applyAlignment="1" applyProtection="1">
      <alignment horizontal="center"/>
      <protection hidden="1"/>
    </xf>
    <xf numFmtId="0" fontId="39" fillId="2" borderId="33" xfId="0" applyFont="1" applyFill="1" applyBorder="1" applyAlignment="1" applyProtection="1">
      <alignment horizontal="center"/>
      <protection hidden="1"/>
    </xf>
    <xf numFmtId="0" fontId="7" fillId="2" borderId="0" xfId="0" applyFont="1" applyFill="1"/>
    <xf numFmtId="0" fontId="7" fillId="2" borderId="47" xfId="0" applyFont="1" applyFill="1" applyBorder="1" applyProtection="1">
      <protection hidden="1"/>
    </xf>
    <xf numFmtId="0" fontId="37" fillId="2" borderId="30" xfId="0" applyFont="1" applyFill="1" applyBorder="1" applyProtection="1">
      <protection hidden="1"/>
    </xf>
    <xf numFmtId="3" fontId="19" fillId="2" borderId="7" xfId="0" applyNumberFormat="1" applyFont="1" applyFill="1" applyBorder="1" applyProtection="1">
      <protection hidden="1"/>
    </xf>
    <xf numFmtId="0" fontId="8" fillId="2" borderId="40" xfId="0" applyFont="1" applyFill="1" applyBorder="1" applyAlignment="1">
      <alignment horizontal="center"/>
    </xf>
    <xf numFmtId="2" fontId="7" fillId="2" borderId="0" xfId="0" applyNumberFormat="1" applyFont="1" applyFill="1" applyBorder="1"/>
    <xf numFmtId="2" fontId="8" fillId="2" borderId="1" xfId="0" applyNumberFormat="1" applyFont="1" applyFill="1" applyBorder="1"/>
    <xf numFmtId="0" fontId="38" fillId="2" borderId="0" xfId="0" applyFont="1" applyFill="1" applyBorder="1" applyAlignment="1" applyProtection="1">
      <alignment horizontal="center" vertical="center"/>
      <protection hidden="1"/>
    </xf>
    <xf numFmtId="164" fontId="8" fillId="2" borderId="0" xfId="0" applyNumberFormat="1" applyFont="1" applyFill="1" applyProtection="1">
      <protection hidden="1"/>
    </xf>
    <xf numFmtId="0" fontId="8" fillId="2" borderId="10" xfId="0" applyFont="1" applyFill="1" applyBorder="1" applyProtection="1">
      <protection hidden="1"/>
    </xf>
    <xf numFmtId="0" fontId="8" fillId="2" borderId="0" xfId="0" applyFont="1" applyFill="1" applyAlignment="1" applyProtection="1">
      <alignment horizontal="centerContinuous" wrapText="1"/>
      <protection hidden="1"/>
    </xf>
    <xf numFmtId="0" fontId="8" fillId="2" borderId="0" xfId="0" applyFont="1" applyFill="1"/>
    <xf numFmtId="0" fontId="7" fillId="5" borderId="0" xfId="0" applyFont="1" applyFill="1" applyProtection="1">
      <protection hidden="1"/>
    </xf>
    <xf numFmtId="0" fontId="8" fillId="6" borderId="13" xfId="0" applyFont="1" applyFill="1" applyBorder="1" applyAlignment="1" applyProtection="1">
      <alignment horizontal="center"/>
      <protection locked="0"/>
    </xf>
    <xf numFmtId="0" fontId="8" fillId="6" borderId="12" xfId="0" applyFont="1" applyFill="1" applyBorder="1" applyAlignment="1" applyProtection="1">
      <alignment horizontal="center"/>
      <protection locked="0"/>
    </xf>
    <xf numFmtId="0" fontId="8" fillId="7" borderId="13" xfId="0" applyFont="1" applyFill="1" applyBorder="1" applyAlignment="1" applyProtection="1">
      <alignment horizontal="center"/>
      <protection locked="0"/>
    </xf>
    <xf numFmtId="0" fontId="8" fillId="7" borderId="12" xfId="0" applyFont="1" applyFill="1" applyBorder="1" applyAlignment="1" applyProtection="1">
      <alignment horizontal="center"/>
      <protection locked="0"/>
    </xf>
    <xf numFmtId="0" fontId="8" fillId="7" borderId="12" xfId="0" quotePrefix="1" applyFont="1" applyFill="1" applyBorder="1" applyAlignment="1" applyProtection="1">
      <alignment horizontal="center"/>
      <protection locked="0"/>
    </xf>
    <xf numFmtId="0" fontId="8" fillId="8" borderId="13" xfId="0" applyFont="1" applyFill="1" applyBorder="1" applyAlignment="1" applyProtection="1">
      <alignment horizontal="center" vertical="center"/>
      <protection locked="0"/>
    </xf>
    <xf numFmtId="0" fontId="8" fillId="9" borderId="13" xfId="0" applyFont="1" applyFill="1" applyBorder="1" applyAlignment="1" applyProtection="1">
      <alignment horizontal="center"/>
      <protection locked="0"/>
    </xf>
    <xf numFmtId="0" fontId="8" fillId="12" borderId="12" xfId="0" applyFont="1" applyFill="1" applyBorder="1" applyAlignment="1" applyProtection="1">
      <alignment horizontal="center" vertical="center"/>
      <protection locked="0"/>
    </xf>
    <xf numFmtId="0" fontId="8" fillId="12" borderId="13" xfId="0" applyFont="1" applyFill="1" applyBorder="1" applyAlignment="1" applyProtection="1">
      <alignment horizontal="center" vertical="center"/>
      <protection locked="0"/>
    </xf>
    <xf numFmtId="0" fontId="8" fillId="13" borderId="13" xfId="0" applyFont="1" applyFill="1" applyBorder="1" applyAlignment="1" applyProtection="1">
      <alignment horizontal="center" vertical="center"/>
      <protection locked="0"/>
    </xf>
    <xf numFmtId="0" fontId="8" fillId="14" borderId="13" xfId="0" applyFont="1" applyFill="1" applyBorder="1" applyAlignment="1" applyProtection="1">
      <alignment horizontal="center" vertical="center"/>
      <protection locked="0"/>
    </xf>
    <xf numFmtId="0" fontId="8" fillId="15" borderId="13" xfId="0" applyFont="1" applyFill="1" applyBorder="1" applyAlignment="1" applyProtection="1">
      <alignment horizontal="center"/>
      <protection locked="0"/>
    </xf>
    <xf numFmtId="0" fontId="8" fillId="16" borderId="13" xfId="0" applyFont="1" applyFill="1" applyBorder="1" applyAlignment="1" applyProtection="1">
      <alignment horizontal="center"/>
      <protection locked="0"/>
    </xf>
    <xf numFmtId="0" fontId="8" fillId="17" borderId="13" xfId="0" applyFont="1" applyFill="1" applyBorder="1" applyAlignment="1" applyProtection="1">
      <alignment horizontal="center" vertical="center"/>
      <protection locked="0"/>
    </xf>
    <xf numFmtId="0" fontId="8" fillId="18" borderId="13" xfId="0" applyFont="1" applyFill="1" applyBorder="1" applyAlignment="1" applyProtection="1">
      <alignment horizontal="center" vertical="center"/>
      <protection locked="0"/>
    </xf>
    <xf numFmtId="0" fontId="8" fillId="16" borderId="10" xfId="0" applyFont="1" applyFill="1" applyBorder="1" applyAlignment="1" applyProtection="1">
      <alignment horizontal="center" vertical="center"/>
      <protection locked="0"/>
    </xf>
    <xf numFmtId="0" fontId="8" fillId="16" borderId="11" xfId="0" applyFont="1" applyFill="1" applyBorder="1" applyAlignment="1" applyProtection="1">
      <alignment horizontal="center" vertical="center"/>
      <protection locked="0"/>
    </xf>
    <xf numFmtId="0" fontId="8" fillId="16" borderId="38" xfId="0" applyFont="1" applyFill="1" applyBorder="1" applyAlignment="1" applyProtection="1">
      <alignment horizontal="center" vertical="center"/>
      <protection locked="0"/>
    </xf>
    <xf numFmtId="0" fontId="8" fillId="17" borderId="34" xfId="0" applyFont="1" applyFill="1" applyBorder="1" applyAlignment="1" applyProtection="1">
      <alignment horizontal="center" vertical="center"/>
      <protection locked="0"/>
    </xf>
    <xf numFmtId="0" fontId="8" fillId="17" borderId="9" xfId="0" applyFont="1" applyFill="1" applyBorder="1" applyAlignment="1" applyProtection="1">
      <alignment horizontal="center" vertical="center"/>
      <protection locked="0"/>
    </xf>
    <xf numFmtId="0" fontId="8" fillId="18" borderId="34" xfId="0" applyFont="1" applyFill="1" applyBorder="1" applyAlignment="1" applyProtection="1">
      <alignment horizontal="center" vertical="center"/>
      <protection locked="0"/>
    </xf>
    <xf numFmtId="0" fontId="8" fillId="18" borderId="9" xfId="0" applyFont="1" applyFill="1" applyBorder="1" applyAlignment="1" applyProtection="1">
      <alignment horizontal="center" vertical="center"/>
      <protection locked="0"/>
    </xf>
    <xf numFmtId="0" fontId="0" fillId="2" borderId="0" xfId="0" applyFont="1" applyFill="1" applyAlignment="1" applyProtection="1">
      <alignment vertical="top" wrapText="1"/>
      <protection hidden="1"/>
    </xf>
    <xf numFmtId="0" fontId="0" fillId="2" borderId="0" xfId="0" applyFill="1" applyAlignment="1" applyProtection="1">
      <protection hidden="1"/>
    </xf>
    <xf numFmtId="0" fontId="2" fillId="2" borderId="0" xfId="0" applyFont="1" applyFill="1" applyAlignment="1" applyProtection="1">
      <alignment vertical="top"/>
      <protection hidden="1"/>
    </xf>
    <xf numFmtId="0" fontId="0" fillId="2" borderId="0" xfId="0" applyFont="1" applyFill="1" applyAlignment="1" applyProtection="1">
      <alignment vertical="top"/>
      <protection hidden="1"/>
    </xf>
    <xf numFmtId="0" fontId="0" fillId="2" borderId="0" xfId="0" applyFont="1" applyFill="1" applyAlignment="1" applyProtection="1">
      <alignment vertical="center" wrapText="1"/>
      <protection hidden="1"/>
    </xf>
    <xf numFmtId="0" fontId="2" fillId="2" borderId="0" xfId="0" applyFont="1" applyFill="1" applyAlignment="1" applyProtection="1">
      <alignment vertical="center"/>
      <protection hidden="1"/>
    </xf>
    <xf numFmtId="0" fontId="27" fillId="2" borderId="0" xfId="27" applyFont="1" applyFill="1" applyAlignment="1" applyProtection="1">
      <alignment vertical="center"/>
      <protection hidden="1"/>
    </xf>
    <xf numFmtId="0" fontId="0" fillId="2" borderId="0" xfId="0" applyFont="1" applyFill="1" applyAlignment="1" applyProtection="1">
      <alignment vertical="center"/>
      <protection hidden="1"/>
    </xf>
    <xf numFmtId="0" fontId="27" fillId="2" borderId="0" xfId="27" applyFont="1" applyFill="1" applyAlignment="1" applyProtection="1">
      <protection hidden="1"/>
    </xf>
    <xf numFmtId="0" fontId="27" fillId="2" borderId="0" xfId="27" applyFont="1" applyFill="1" applyProtection="1">
      <protection hidden="1"/>
    </xf>
    <xf numFmtId="0" fontId="19" fillId="2" borderId="26" xfId="0" applyFont="1" applyFill="1" applyBorder="1" applyAlignment="1" applyProtection="1">
      <alignment horizontal="center"/>
      <protection hidden="1"/>
    </xf>
    <xf numFmtId="0" fontId="19" fillId="2" borderId="24" xfId="0" applyFont="1" applyFill="1" applyBorder="1" applyAlignment="1" applyProtection="1">
      <alignment horizontal="center"/>
      <protection hidden="1"/>
    </xf>
    <xf numFmtId="0" fontId="19" fillId="2" borderId="25" xfId="0" applyFont="1" applyFill="1" applyBorder="1" applyAlignment="1" applyProtection="1">
      <alignment horizontal="center"/>
      <protection hidden="1"/>
    </xf>
    <xf numFmtId="0" fontId="17" fillId="5" borderId="0" xfId="0" applyFont="1" applyFill="1" applyBorder="1" applyAlignment="1" applyProtection="1">
      <alignment horizontal="center" vertical="center"/>
      <protection hidden="1"/>
    </xf>
    <xf numFmtId="14" fontId="24" fillId="6" borderId="50" xfId="0" applyNumberFormat="1" applyFont="1" applyFill="1" applyBorder="1" applyAlignment="1" applyProtection="1">
      <alignment horizontal="center" vertical="center"/>
      <protection hidden="1"/>
    </xf>
    <xf numFmtId="14" fontId="24" fillId="6" borderId="35" xfId="0" applyNumberFormat="1" applyFont="1" applyFill="1" applyBorder="1" applyAlignment="1" applyProtection="1">
      <alignment horizontal="center" vertical="center"/>
      <protection hidden="1"/>
    </xf>
    <xf numFmtId="14" fontId="24" fillId="6" borderId="38" xfId="0" applyNumberFormat="1" applyFont="1" applyFill="1" applyBorder="1" applyAlignment="1" applyProtection="1">
      <alignment horizontal="center" vertical="center"/>
      <protection hidden="1"/>
    </xf>
    <xf numFmtId="14" fontId="24" fillId="7" borderId="50" xfId="0" applyNumberFormat="1" applyFont="1" applyFill="1" applyBorder="1" applyAlignment="1" applyProtection="1">
      <alignment horizontal="center" vertical="center"/>
      <protection hidden="1"/>
    </xf>
    <xf numFmtId="14" fontId="24" fillId="7" borderId="35" xfId="0" applyNumberFormat="1" applyFont="1" applyFill="1" applyBorder="1" applyAlignment="1" applyProtection="1">
      <alignment horizontal="center" vertical="center"/>
      <protection hidden="1"/>
    </xf>
    <xf numFmtId="14" fontId="24" fillId="7" borderId="38" xfId="0" applyNumberFormat="1" applyFont="1" applyFill="1" applyBorder="1" applyAlignment="1" applyProtection="1">
      <alignment horizontal="center" vertical="center"/>
      <protection hidden="1"/>
    </xf>
    <xf numFmtId="14" fontId="24" fillId="8" borderId="50" xfId="0" applyNumberFormat="1" applyFont="1" applyFill="1" applyBorder="1" applyAlignment="1" applyProtection="1">
      <alignment horizontal="center" vertical="center"/>
      <protection hidden="1"/>
    </xf>
    <xf numFmtId="14" fontId="24" fillId="8" borderId="35" xfId="0" applyNumberFormat="1" applyFont="1" applyFill="1" applyBorder="1" applyAlignment="1" applyProtection="1">
      <alignment horizontal="center" vertical="center"/>
      <protection hidden="1"/>
    </xf>
    <xf numFmtId="14" fontId="24" fillId="8" borderId="38" xfId="0" applyNumberFormat="1" applyFont="1" applyFill="1" applyBorder="1" applyAlignment="1" applyProtection="1">
      <alignment horizontal="center" vertical="center"/>
      <protection hidden="1"/>
    </xf>
    <xf numFmtId="14" fontId="24" fillId="9" borderId="50" xfId="0" applyNumberFormat="1" applyFont="1" applyFill="1" applyBorder="1" applyAlignment="1" applyProtection="1">
      <alignment horizontal="center" vertical="center"/>
      <protection hidden="1"/>
    </xf>
    <xf numFmtId="14" fontId="24" fillId="9" borderId="35" xfId="0" applyNumberFormat="1" applyFont="1" applyFill="1" applyBorder="1" applyAlignment="1" applyProtection="1">
      <alignment horizontal="center" vertical="center"/>
      <protection hidden="1"/>
    </xf>
    <xf numFmtId="14" fontId="24" fillId="9" borderId="38" xfId="0" applyNumberFormat="1" applyFont="1" applyFill="1" applyBorder="1" applyAlignment="1" applyProtection="1">
      <alignment horizontal="center" vertical="center"/>
      <protection hidden="1"/>
    </xf>
    <xf numFmtId="14" fontId="24" fillId="10" borderId="50" xfId="0" applyNumberFormat="1" applyFont="1" applyFill="1" applyBorder="1" applyAlignment="1" applyProtection="1">
      <alignment horizontal="center" vertical="center"/>
      <protection hidden="1"/>
    </xf>
    <xf numFmtId="14" fontId="24" fillId="10" borderId="35" xfId="0" applyNumberFormat="1" applyFont="1" applyFill="1" applyBorder="1" applyAlignment="1" applyProtection="1">
      <alignment horizontal="center" vertical="center"/>
      <protection hidden="1"/>
    </xf>
    <xf numFmtId="14" fontId="24" fillId="10" borderId="38" xfId="0" applyNumberFormat="1" applyFont="1" applyFill="1" applyBorder="1" applyAlignment="1" applyProtection="1">
      <alignment horizontal="center" vertical="center"/>
      <protection hidden="1"/>
    </xf>
    <xf numFmtId="14" fontId="24" fillId="11" borderId="50" xfId="0" applyNumberFormat="1" applyFont="1" applyFill="1" applyBorder="1" applyAlignment="1" applyProtection="1">
      <alignment horizontal="center" vertical="center"/>
      <protection hidden="1"/>
    </xf>
    <xf numFmtId="14" fontId="24" fillId="11" borderId="35" xfId="0" applyNumberFormat="1" applyFont="1" applyFill="1" applyBorder="1" applyAlignment="1" applyProtection="1">
      <alignment horizontal="center" vertical="center"/>
      <protection hidden="1"/>
    </xf>
    <xf numFmtId="14" fontId="24" fillId="11" borderId="38" xfId="0" applyNumberFormat="1" applyFont="1" applyFill="1" applyBorder="1" applyAlignment="1" applyProtection="1">
      <alignment horizontal="center" vertical="center"/>
      <protection hidden="1"/>
    </xf>
    <xf numFmtId="14" fontId="24" fillId="12" borderId="0" xfId="0" applyNumberFormat="1" applyFont="1" applyFill="1" applyBorder="1" applyAlignment="1" applyProtection="1">
      <alignment horizontal="center" vertical="center"/>
      <protection hidden="1"/>
    </xf>
    <xf numFmtId="14" fontId="24" fillId="12" borderId="8" xfId="0" applyNumberFormat="1" applyFont="1" applyFill="1" applyBorder="1" applyAlignment="1" applyProtection="1">
      <alignment horizontal="center" vertical="center"/>
      <protection hidden="1"/>
    </xf>
    <xf numFmtId="14" fontId="24" fillId="13" borderId="50" xfId="0" applyNumberFormat="1" applyFont="1" applyFill="1" applyBorder="1" applyAlignment="1" applyProtection="1">
      <alignment horizontal="center" vertical="center"/>
      <protection hidden="1"/>
    </xf>
    <xf numFmtId="14" fontId="24" fillId="13" borderId="35" xfId="0" applyNumberFormat="1" applyFont="1" applyFill="1" applyBorder="1" applyAlignment="1" applyProtection="1">
      <alignment horizontal="center" vertical="center"/>
      <protection hidden="1"/>
    </xf>
    <xf numFmtId="14" fontId="24" fillId="13" borderId="38" xfId="0" applyNumberFormat="1" applyFont="1" applyFill="1" applyBorder="1" applyAlignment="1" applyProtection="1">
      <alignment horizontal="center" vertical="center"/>
      <protection hidden="1"/>
    </xf>
    <xf numFmtId="0" fontId="22" fillId="19" borderId="35" xfId="0" applyFont="1" applyFill="1" applyBorder="1" applyAlignment="1" applyProtection="1">
      <alignment horizontal="center" vertical="center"/>
      <protection locked="0"/>
    </xf>
    <xf numFmtId="0" fontId="22" fillId="19" borderId="0" xfId="0" applyFont="1" applyFill="1" applyBorder="1" applyAlignment="1" applyProtection="1">
      <alignment horizontal="center" vertical="center"/>
      <protection locked="0"/>
    </xf>
    <xf numFmtId="14" fontId="25" fillId="15" borderId="50" xfId="0" applyNumberFormat="1" applyFont="1" applyFill="1" applyBorder="1" applyAlignment="1" applyProtection="1">
      <alignment horizontal="center" vertical="center"/>
      <protection hidden="1"/>
    </xf>
    <xf numFmtId="14" fontId="25" fillId="15" borderId="35" xfId="0" applyNumberFormat="1" applyFont="1" applyFill="1" applyBorder="1" applyAlignment="1" applyProtection="1">
      <alignment horizontal="center" vertical="center"/>
      <protection hidden="1"/>
    </xf>
    <xf numFmtId="14" fontId="25" fillId="15" borderId="38" xfId="0" applyNumberFormat="1" applyFont="1" applyFill="1" applyBorder="1" applyAlignment="1" applyProtection="1">
      <alignment horizontal="center" vertical="center"/>
      <protection hidden="1"/>
    </xf>
    <xf numFmtId="14" fontId="25" fillId="16" borderId="50" xfId="0" applyNumberFormat="1" applyFont="1" applyFill="1" applyBorder="1" applyAlignment="1" applyProtection="1">
      <alignment horizontal="center" vertical="center"/>
      <protection hidden="1"/>
    </xf>
    <xf numFmtId="14" fontId="25" fillId="16" borderId="38" xfId="0" applyNumberFormat="1" applyFont="1" applyFill="1" applyBorder="1" applyAlignment="1" applyProtection="1">
      <alignment horizontal="center" vertical="center"/>
      <protection hidden="1"/>
    </xf>
    <xf numFmtId="0" fontId="31" fillId="15" borderId="35" xfId="0" applyFont="1" applyFill="1" applyBorder="1" applyAlignment="1" applyProtection="1">
      <alignment horizontal="center" vertical="center"/>
    </xf>
    <xf numFmtId="0" fontId="31" fillId="15" borderId="0" xfId="0" applyFont="1" applyFill="1" applyBorder="1" applyAlignment="1" applyProtection="1">
      <alignment horizontal="center" vertical="center"/>
    </xf>
    <xf numFmtId="0" fontId="31" fillId="16" borderId="35" xfId="0" applyFont="1" applyFill="1" applyBorder="1" applyAlignment="1" applyProtection="1">
      <alignment horizontal="center" vertical="center"/>
      <protection locked="0" hidden="1"/>
    </xf>
    <xf numFmtId="0" fontId="31" fillId="16" borderId="0" xfId="0" applyFont="1" applyFill="1" applyBorder="1" applyAlignment="1" applyProtection="1">
      <alignment horizontal="center" vertical="center"/>
      <protection locked="0" hidden="1"/>
    </xf>
    <xf numFmtId="0" fontId="31" fillId="15" borderId="35" xfId="0" applyFont="1" applyFill="1" applyBorder="1" applyAlignment="1" applyProtection="1">
      <alignment horizontal="center" vertical="center"/>
      <protection locked="0" hidden="1"/>
    </xf>
    <xf numFmtId="0" fontId="31" fillId="15" borderId="0" xfId="0" applyFont="1" applyFill="1" applyBorder="1" applyAlignment="1" applyProtection="1">
      <alignment horizontal="center" vertical="center"/>
      <protection locked="0" hidden="1"/>
    </xf>
    <xf numFmtId="0" fontId="28" fillId="5" borderId="0" xfId="0" applyNumberFormat="1" applyFont="1" applyFill="1" applyBorder="1" applyAlignment="1" applyProtection="1">
      <alignment horizontal="center" vertical="center" wrapText="1"/>
      <protection hidden="1"/>
    </xf>
    <xf numFmtId="14" fontId="25" fillId="14" borderId="50" xfId="0" applyNumberFormat="1" applyFont="1" applyFill="1" applyBorder="1" applyAlignment="1" applyProtection="1">
      <alignment horizontal="center" vertical="center"/>
      <protection hidden="1"/>
    </xf>
    <xf numFmtId="14" fontId="25" fillId="14" borderId="35" xfId="0" applyNumberFormat="1" applyFont="1" applyFill="1" applyBorder="1" applyAlignment="1" applyProtection="1">
      <alignment horizontal="center" vertical="center"/>
      <protection hidden="1"/>
    </xf>
    <xf numFmtId="14" fontId="25" fillId="14" borderId="38" xfId="0" applyNumberFormat="1" applyFont="1" applyFill="1" applyBorder="1" applyAlignment="1" applyProtection="1">
      <alignment horizontal="center" vertical="center"/>
      <protection hidden="1"/>
    </xf>
    <xf numFmtId="0" fontId="31" fillId="16" borderId="35" xfId="0" applyFont="1" applyFill="1" applyBorder="1" applyAlignment="1" applyProtection="1">
      <alignment horizontal="center" vertical="center"/>
    </xf>
    <xf numFmtId="0" fontId="31" fillId="16" borderId="0" xfId="0" applyFont="1" applyFill="1" applyBorder="1" applyAlignment="1" applyProtection="1">
      <alignment horizontal="center" vertical="center"/>
    </xf>
    <xf numFmtId="0" fontId="32" fillId="19" borderId="54" xfId="0" applyFont="1" applyFill="1" applyBorder="1" applyAlignment="1">
      <alignment horizontal="center" vertical="center" wrapText="1"/>
    </xf>
    <xf numFmtId="0" fontId="32" fillId="19" borderId="0" xfId="0" applyFont="1" applyFill="1" applyBorder="1" applyAlignment="1">
      <alignment horizontal="center" vertical="center" wrapText="1"/>
    </xf>
    <xf numFmtId="0" fontId="32" fillId="19" borderId="55" xfId="0" applyFont="1" applyFill="1" applyBorder="1" applyAlignment="1">
      <alignment horizontal="center" vertical="center" wrapText="1"/>
    </xf>
    <xf numFmtId="0" fontId="32" fillId="19" borderId="56" xfId="0" applyFont="1" applyFill="1" applyBorder="1" applyAlignment="1">
      <alignment horizontal="center" vertical="center" wrapText="1"/>
    </xf>
    <xf numFmtId="0" fontId="32" fillId="19" borderId="57" xfId="0" applyFont="1" applyFill="1" applyBorder="1" applyAlignment="1">
      <alignment horizontal="center" vertical="center" wrapText="1"/>
    </xf>
    <xf numFmtId="0" fontId="32" fillId="19" borderId="58" xfId="0" applyFont="1" applyFill="1" applyBorder="1" applyAlignment="1">
      <alignment horizontal="center" vertical="center" wrapText="1"/>
    </xf>
    <xf numFmtId="0" fontId="29" fillId="19" borderId="51" xfId="0" applyFont="1" applyFill="1" applyBorder="1" applyAlignment="1" applyProtection="1">
      <alignment horizontal="center" vertical="center" wrapText="1"/>
      <protection hidden="1"/>
    </xf>
    <xf numFmtId="0" fontId="29" fillId="19" borderId="52" xfId="0" applyFont="1" applyFill="1" applyBorder="1" applyAlignment="1" applyProtection="1">
      <alignment horizontal="center" vertical="center" wrapText="1"/>
      <protection hidden="1"/>
    </xf>
    <xf numFmtId="0" fontId="29" fillId="19" borderId="53" xfId="0" applyFont="1" applyFill="1" applyBorder="1" applyAlignment="1" applyProtection="1">
      <alignment horizontal="center" vertical="center" wrapText="1"/>
      <protection hidden="1"/>
    </xf>
    <xf numFmtId="0" fontId="29" fillId="19" borderId="54" xfId="0" applyFont="1" applyFill="1" applyBorder="1" applyAlignment="1" applyProtection="1">
      <alignment horizontal="center" vertical="center" wrapText="1"/>
      <protection hidden="1"/>
    </xf>
    <xf numFmtId="0" fontId="29" fillId="19" borderId="0" xfId="0" applyFont="1" applyFill="1" applyBorder="1" applyAlignment="1" applyProtection="1">
      <alignment horizontal="center" vertical="center" wrapText="1"/>
      <protection hidden="1"/>
    </xf>
    <xf numFmtId="0" fontId="29" fillId="19" borderId="55" xfId="0" applyFont="1" applyFill="1" applyBorder="1" applyAlignment="1" applyProtection="1">
      <alignment horizontal="center" vertical="center" wrapText="1"/>
      <protection hidden="1"/>
    </xf>
    <xf numFmtId="0" fontId="34" fillId="5" borderId="0" xfId="0" applyFont="1" applyFill="1" applyBorder="1" applyAlignment="1" applyProtection="1">
      <alignment horizontal="center" wrapText="1"/>
      <protection hidden="1"/>
    </xf>
    <xf numFmtId="0" fontId="34" fillId="5" borderId="0" xfId="0" applyFont="1" applyFill="1" applyBorder="1" applyAlignment="1" applyProtection="1">
      <alignment horizontal="center" vertical="center" wrapText="1"/>
      <protection hidden="1"/>
    </xf>
    <xf numFmtId="0" fontId="0" fillId="2" borderId="0" xfId="0" applyFont="1" applyFill="1" applyAlignment="1" applyProtection="1">
      <alignment horizontal="left" vertical="center" wrapText="1"/>
      <protection hidden="1"/>
    </xf>
  </cellXfs>
  <cellStyles count="28">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Normal" xfId="0" builtinId="0"/>
  </cellStyles>
  <dxfs count="105">
    <dxf>
      <fill>
        <patternFill patternType="none">
          <fgColor indexed="64"/>
          <bgColor auto="1"/>
        </patternFill>
      </fill>
      <alignment horizontal="left" vertical="bottom" textRotation="0" wrapText="0" indent="1" justifyLastLine="0" shrinkToFit="0" readingOrder="0"/>
    </dxf>
    <dxf>
      <fill>
        <patternFill patternType="none">
          <fgColor indexed="64"/>
          <bgColor auto="1"/>
        </patternFill>
      </fill>
      <alignment horizontal="left" vertical="bottom" textRotation="0" wrapText="0" indent="1" justifyLastLine="0" shrinkToFit="0" readingOrder="0"/>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left" vertical="bottom" textRotation="0" wrapText="0" indent="1" justifyLastLine="0" shrinkToFit="0" readingOrder="0"/>
    </dxf>
    <dxf>
      <font>
        <b val="0"/>
        <i val="0"/>
        <strike val="0"/>
        <condense val="0"/>
        <extend val="0"/>
        <outline val="0"/>
        <shadow val="0"/>
        <u val="none"/>
        <vertAlign val="baseline"/>
        <sz val="10"/>
        <color theme="0"/>
        <name val="Calibri"/>
        <scheme val="minor"/>
      </font>
      <numFmt numFmtId="3" formatCode="#,##0"/>
      <fill>
        <patternFill patternType="none">
          <fgColor indexed="64"/>
          <bgColor theme="0"/>
        </patternFill>
      </fill>
      <border diagonalUp="0" diagonalDown="0" outline="0">
        <left style="thin">
          <color auto="1"/>
        </left>
        <right/>
        <top style="thin">
          <color auto="1"/>
        </top>
        <bottom style="thin">
          <color auto="1"/>
        </bottom>
      </border>
      <protection locked="1" hidden="1"/>
    </dxf>
    <dxf>
      <font>
        <b val="0"/>
        <i val="0"/>
        <strike val="0"/>
        <condense val="0"/>
        <extend val="0"/>
        <outline val="0"/>
        <shadow val="0"/>
        <u val="none"/>
        <vertAlign val="baseline"/>
        <sz val="8"/>
        <color theme="0"/>
        <name val="Calibri"/>
        <scheme val="minor"/>
      </font>
      <fill>
        <patternFill patternType="none">
          <fgColor indexed="64"/>
          <bgColor theme="0"/>
        </patternFill>
      </fill>
      <border diagonalUp="0" diagonalDown="0" outline="0">
        <left/>
        <right style="thin">
          <color auto="1"/>
        </right>
        <top style="thin">
          <color auto="1"/>
        </top>
        <bottom style="thin">
          <color auto="1"/>
        </bottom>
      </border>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scheme val="minor"/>
      </font>
      <fill>
        <patternFill patternType="none">
          <fgColor indexed="64"/>
          <bgColor theme="0"/>
        </patternFill>
      </fill>
      <protection locked="1" hidden="1"/>
    </dxf>
    <dxf>
      <border outline="0">
        <bottom style="thin">
          <color auto="1"/>
        </bottom>
      </border>
    </dxf>
    <dxf>
      <font>
        <strike val="0"/>
        <outline val="0"/>
        <shadow val="0"/>
        <u val="none"/>
        <vertAlign val="baseline"/>
        <color theme="0"/>
        <name val="Calibri"/>
        <scheme val="minor"/>
      </font>
      <fill>
        <patternFill patternType="none">
          <fgColor indexed="64"/>
          <bgColor theme="0"/>
        </patternFill>
      </fill>
      <protection locked="1" hidden="1"/>
    </dxf>
    <dxf>
      <font>
        <color rgb="FFFF0000"/>
      </font>
      <border>
        <left style="thin">
          <color auto="1"/>
        </left>
        <right style="thin">
          <color auto="1"/>
        </right>
        <top style="thin">
          <color auto="1"/>
        </top>
        <bottom style="thin">
          <color auto="1"/>
        </bottom>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rgb="FFFF0000"/>
      </font>
      <border>
        <left style="thin">
          <color theme="1"/>
        </left>
        <right style="thin">
          <color theme="1"/>
        </right>
        <top style="thin">
          <color theme="1"/>
        </top>
        <bottom style="thin">
          <color theme="1"/>
        </bottom>
        <vertical/>
        <horizontal/>
      </border>
    </dxf>
    <dxf>
      <font>
        <color theme="0"/>
      </font>
      <fill>
        <patternFill>
          <bgColor rgb="FFF47921"/>
        </patternFill>
      </fill>
      <border>
        <left style="thin">
          <color theme="0"/>
        </left>
        <right style="thin">
          <color theme="0"/>
        </right>
        <top style="thin">
          <color theme="0"/>
        </top>
        <bottom style="thin">
          <color theme="0"/>
        </bottom>
        <vertical/>
        <horizontal/>
      </border>
    </dxf>
    <dxf>
      <font>
        <color theme="0"/>
      </font>
      <fill>
        <patternFill>
          <bgColor rgb="FF1B8E91"/>
        </patternFill>
      </fill>
      <border>
        <left style="thin">
          <color theme="0"/>
        </left>
        <right style="thin">
          <color theme="0"/>
        </right>
        <top style="thin">
          <color theme="0"/>
        </top>
        <bottom style="thin">
          <color theme="0"/>
        </bottom>
        <vertical/>
        <horizontal/>
      </border>
    </dxf>
    <dxf>
      <font>
        <color theme="0"/>
      </font>
      <fill>
        <patternFill>
          <bgColor rgb="FF018948"/>
        </patternFill>
      </fill>
      <border>
        <left style="thin">
          <color theme="0"/>
        </left>
        <right style="thin">
          <color theme="0"/>
        </right>
        <top style="thin">
          <color theme="0"/>
        </top>
        <bottom style="thin">
          <color theme="0"/>
        </bottom>
        <vertical/>
        <horizontal/>
      </border>
    </dxf>
    <dxf>
      <font>
        <color theme="0"/>
      </font>
      <fill>
        <patternFill>
          <bgColor rgb="FF54357E"/>
        </patternFill>
      </fill>
      <border>
        <left style="thin">
          <color theme="0"/>
        </left>
        <right style="thin">
          <color theme="0"/>
        </right>
        <top style="thin">
          <color theme="0"/>
        </top>
        <bottom style="thin">
          <color theme="0"/>
        </bottom>
        <vertical/>
        <horizontal/>
      </border>
    </dxf>
    <dxf>
      <font>
        <color theme="0"/>
      </font>
      <fill>
        <patternFill>
          <bgColor rgb="FFBDB18A"/>
        </patternFill>
      </fill>
      <border>
        <left style="thin">
          <color theme="0"/>
        </left>
        <right style="thin">
          <color theme="0"/>
        </right>
        <top style="thin">
          <color theme="0"/>
        </top>
        <bottom style="thin">
          <color theme="0"/>
        </bottom>
        <vertical/>
        <horizontal/>
      </border>
    </dxf>
    <dxf>
      <font>
        <color theme="0"/>
      </font>
      <fill>
        <patternFill>
          <bgColor rgb="FF008CD0"/>
        </patternFill>
      </fill>
      <border>
        <left style="thin">
          <color theme="0"/>
        </left>
        <right style="thin">
          <color theme="0"/>
        </right>
        <top style="thin">
          <color theme="0"/>
        </top>
        <bottom style="thin">
          <color theme="0"/>
        </bottom>
        <vertical/>
        <horizontal/>
      </border>
    </dxf>
    <dxf>
      <font>
        <color theme="0"/>
      </font>
      <fill>
        <patternFill>
          <bgColor rgb="FFB4181D"/>
        </patternFill>
      </fill>
      <border>
        <left style="thin">
          <color theme="0"/>
        </left>
        <right style="thin">
          <color theme="0"/>
        </right>
        <top style="thin">
          <color theme="0"/>
        </top>
        <bottom style="thin">
          <color theme="0"/>
        </bottom>
        <vertical/>
        <horizontal/>
      </border>
    </dxf>
    <dxf>
      <font>
        <color theme="0"/>
      </font>
      <fill>
        <patternFill>
          <bgColor rgb="FF006398"/>
        </patternFill>
      </fill>
      <border>
        <left style="thin">
          <color theme="0"/>
        </left>
        <right style="thin">
          <color theme="0"/>
        </right>
        <top style="thin">
          <color theme="0"/>
        </top>
        <bottom style="thin">
          <color theme="0"/>
        </bottom>
      </border>
    </dxf>
    <dxf>
      <fill>
        <patternFill>
          <bgColor rgb="FFC4D79B"/>
        </patternFill>
      </fill>
    </dxf>
    <dxf>
      <font>
        <color rgb="FFFF0000"/>
      </font>
      <border>
        <left style="thin">
          <color auto="1"/>
        </left>
        <right style="thin">
          <color auto="1"/>
        </right>
        <top style="thin">
          <color auto="1"/>
        </top>
        <bottom style="thin">
          <color auto="1"/>
        </bottom>
        <vertical/>
        <horizontal/>
      </border>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theme="1"/>
      </font>
      <fill>
        <patternFill patternType="solid">
          <fgColor indexed="64"/>
          <bgColor rgb="FFC4D79B"/>
        </patternFill>
      </fill>
      <border>
        <top style="thin">
          <color auto="1"/>
        </top>
      </border>
    </dxf>
    <dxf>
      <font>
        <b/>
        <i val="0"/>
        <color auto="1"/>
      </font>
      <fill>
        <patternFill patternType="solid">
          <fgColor indexed="64"/>
          <bgColor rgb="FFC4D79B"/>
        </patternFill>
      </fill>
      <border>
        <top style="thin">
          <color auto="1"/>
        </top>
      </border>
    </dxf>
    <dxf>
      <font>
        <b/>
        <i val="0"/>
        <color theme="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top style="thin">
          <color auto="1"/>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top style="thin">
          <color auto="1"/>
        </top>
      </border>
    </dxf>
    <dxf>
      <font>
        <b/>
        <i val="0"/>
        <color auto="1"/>
      </font>
      <fill>
        <patternFill patternType="solid">
          <fgColor indexed="64"/>
          <bgColor rgb="FFC4D79B"/>
        </patternFill>
      </fill>
      <border>
        <left style="thin">
          <color auto="1"/>
        </left>
      </border>
    </dxf>
    <dxf>
      <font>
        <b/>
        <i val="0"/>
        <color theme="1"/>
      </font>
      <fill>
        <patternFill patternType="solid">
          <fgColor indexed="64"/>
          <bgColor rgb="FFC4D79B"/>
        </patternFill>
      </fill>
      <border>
        <left style="thin">
          <color auto="1"/>
        </left>
      </border>
    </dxf>
    <dxf>
      <font>
        <b/>
        <i val="0"/>
        <color auto="1"/>
      </font>
      <fill>
        <patternFill patternType="solid">
          <fgColor indexed="64"/>
          <bgColor rgb="FFC4D79B"/>
        </patternFill>
      </fill>
      <border>
        <top style="thin">
          <color auto="1"/>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dxf>
    <dxf>
      <font>
        <b/>
        <i val="0"/>
        <color theme="1"/>
      </font>
      <fill>
        <patternFill patternType="solid">
          <fgColor indexed="64"/>
          <bgColor rgb="FFC4D79B"/>
        </patternFill>
      </fill>
      <border>
        <top style="thin">
          <color auto="1"/>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left style="thin">
          <color auto="1"/>
        </left>
      </border>
    </dxf>
    <dxf>
      <font>
        <b/>
        <i val="0"/>
        <color auto="1"/>
      </font>
      <fill>
        <patternFill patternType="solid">
          <fgColor indexed="64"/>
          <bgColor rgb="FFC4D79B"/>
        </patternFill>
      </fill>
      <border>
        <left/>
        <right/>
        <top/>
        <bottom/>
      </border>
    </dxf>
    <dxf>
      <font>
        <b/>
        <i val="0"/>
        <color auto="1"/>
      </font>
      <fill>
        <patternFill patternType="solid">
          <fgColor indexed="64"/>
          <bgColor rgb="FFC4D79B"/>
        </patternFill>
      </fill>
      <border>
        <top/>
      </border>
    </dxf>
    <dxf>
      <font>
        <b/>
        <i val="0"/>
        <color auto="1"/>
      </font>
      <fill>
        <patternFill patternType="solid">
          <fgColor indexed="64"/>
          <bgColor rgb="FFC4D79B"/>
        </patternFill>
      </fill>
      <border>
        <right style="thin">
          <color auto="1"/>
        </right>
      </border>
    </dxf>
    <dxf>
      <font>
        <b/>
        <i val="0"/>
        <color auto="1"/>
      </font>
      <fill>
        <patternFill patternType="solid">
          <fgColor indexed="64"/>
          <bgColor rgb="FFC4D79B"/>
        </patternFill>
      </fill>
      <border>
        <left style="thin">
          <color auto="1"/>
        </left>
      </border>
    </dxf>
    <dxf>
      <fill>
        <patternFill>
          <bgColor rgb="FFC4D79B"/>
        </patternFill>
      </fill>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rgb="FFFF0000"/>
      </font>
      <border>
        <left style="thin">
          <color auto="1"/>
        </left>
        <right style="thin">
          <color auto="1"/>
        </right>
        <top style="thin">
          <color auto="1"/>
        </top>
        <bottom style="thin">
          <color auto="1"/>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rgb="FFFF0000"/>
      </font>
      <border>
        <left style="thin">
          <color theme="1"/>
        </left>
        <right style="thin">
          <color theme="1"/>
        </right>
        <top style="thin">
          <color theme="1"/>
        </top>
        <bottom style="thin">
          <color theme="1"/>
        </bottom>
        <vertical/>
        <horizontal/>
      </border>
    </dxf>
    <dxf>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rgb="FFFF000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rgb="FFFF0000"/>
      </font>
      <fill>
        <patternFill patternType="solid">
          <fgColor indexed="64"/>
          <bgColor rgb="FFCECECE"/>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ont>
        <color rgb="FFFF0000"/>
      </font>
      <border>
        <left style="thin">
          <color auto="1"/>
        </left>
        <right style="thin">
          <color auto="1"/>
        </right>
        <top style="thin">
          <color auto="1"/>
        </top>
        <bottom style="thin">
          <color auto="1"/>
        </bottom>
        <vertical/>
        <horizontal/>
      </border>
    </dxf>
    <dxf>
      <font>
        <b/>
        <i val="0"/>
        <color auto="1"/>
      </font>
      <fill>
        <patternFill patternType="solid">
          <fgColor indexed="64"/>
          <bgColor rgb="FFC4D79B"/>
        </patternFill>
      </fill>
      <border>
        <left/>
        <right/>
        <top/>
        <bottom/>
      </border>
    </dxf>
    <dxf>
      <font>
        <b/>
        <i val="0"/>
        <color auto="1"/>
      </font>
      <fill>
        <patternFill patternType="solid">
          <fgColor indexed="64"/>
          <bgColor rgb="FFC4D79B"/>
        </patternFill>
      </fill>
      <border>
        <left/>
        <right/>
        <top style="thin">
          <color auto="1"/>
        </top>
        <bottom/>
      </border>
    </dxf>
    <dxf>
      <font>
        <b/>
        <i val="0"/>
        <color auto="1"/>
      </font>
      <fill>
        <patternFill patternType="solid">
          <fgColor indexed="64"/>
          <bgColor rgb="FFC4D79B"/>
        </patternFill>
      </fill>
      <border>
        <left/>
        <right/>
        <top style="thin">
          <color auto="1"/>
        </top>
        <bottom/>
      </border>
    </dxf>
  </dxfs>
  <tableStyles count="0" defaultTableStyle="TableStyleMedium9" defaultPivotStyle="PivotStyleLight16"/>
  <colors>
    <mruColors>
      <color rgb="FFF47921"/>
      <color rgb="FF1B8E91"/>
      <color rgb="FF018948"/>
      <color rgb="FF54357E"/>
      <color rgb="FFBDB18A"/>
      <color rgb="FF008CD0"/>
      <color rgb="FFB4181D"/>
      <color rgb="FF006398"/>
      <color rgb="FFFC5A5C"/>
      <color rgb="FFC4D7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linkedin.com/in/matejero" TargetMode="External"/><Relationship Id="rId2" Type="http://schemas.openxmlformats.org/officeDocument/2006/relationships/hyperlink" Target="#'Porra Mundial'!H4"/><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hyperlink" Target="https://www.paypal.me/excelfutbol" TargetMode="External"/><Relationship Id="rId2" Type="http://schemas.openxmlformats.org/officeDocument/2006/relationships/hyperlink" Target="https://www.linkedin.com/in/matejero" TargetMode="External"/><Relationship Id="rId1" Type="http://schemas.openxmlformats.org/officeDocument/2006/relationships/image" Target="../media/image1.jpeg"/><Relationship Id="rId4"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1</xdr:row>
      <xdr:rowOff>0</xdr:rowOff>
    </xdr:to>
    <xdr:pic>
      <xdr:nvPicPr>
        <xdr:cNvPr id="8" name="Imagen 7">
          <a:extLst>
            <a:ext uri="{FF2B5EF4-FFF2-40B4-BE49-F238E27FC236}">
              <a16:creationId xmlns:a16="http://schemas.microsoft.com/office/drawing/2014/main" id="{F06875C5-882B-4508-95C4-11CE225B78FD}"/>
            </a:ext>
          </a:extLst>
        </xdr:cNvPr>
        <xdr:cNvPicPr>
          <a:picLocks noChangeAspect="1"/>
        </xdr:cNvPicPr>
      </xdr:nvPicPr>
      <xdr:blipFill>
        <a:blip xmlns:r="http://schemas.openxmlformats.org/officeDocument/2006/relationships" r:embed="rId1"/>
        <a:stretch>
          <a:fillRect/>
        </a:stretch>
      </xdr:blipFill>
      <xdr:spPr>
        <a:xfrm>
          <a:off x="0" y="0"/>
          <a:ext cx="6174828" cy="4355224"/>
        </a:xfrm>
        <a:prstGeom prst="rect">
          <a:avLst/>
        </a:prstGeom>
      </xdr:spPr>
    </xdr:pic>
    <xdr:clientData/>
  </xdr:twoCellAnchor>
  <xdr:twoCellAnchor>
    <xdr:from>
      <xdr:col>0</xdr:col>
      <xdr:colOff>3209925</xdr:colOff>
      <xdr:row>0</xdr:row>
      <xdr:rowOff>2390775</xdr:rowOff>
    </xdr:from>
    <xdr:to>
      <xdr:col>0</xdr:col>
      <xdr:colOff>5153024</xdr:colOff>
      <xdr:row>0</xdr:row>
      <xdr:rowOff>2819399</xdr:rowOff>
    </xdr:to>
    <xdr:sp macro="" textlink="">
      <xdr:nvSpPr>
        <xdr:cNvPr id="3" name="Rectángulo redondeado 2">
          <a:hlinkClick xmlns:r="http://schemas.openxmlformats.org/officeDocument/2006/relationships" r:id="rId2"/>
          <a:extLst>
            <a:ext uri="{FF2B5EF4-FFF2-40B4-BE49-F238E27FC236}">
              <a16:creationId xmlns:a16="http://schemas.microsoft.com/office/drawing/2014/main" id="{00000000-0008-0000-0100-000003000000}"/>
            </a:ext>
          </a:extLst>
        </xdr:cNvPr>
        <xdr:cNvSpPr/>
      </xdr:nvSpPr>
      <xdr:spPr>
        <a:xfrm>
          <a:off x="3209925" y="2390775"/>
          <a:ext cx="1943099" cy="428624"/>
        </a:xfrm>
        <a:prstGeom prst="roundRect">
          <a:avLst/>
        </a:prstGeom>
        <a:noFill/>
        <a:ln w="41275" cap="sq" cmpd="sng">
          <a:solidFill>
            <a:schemeClr val="bg1"/>
          </a:solidFill>
          <a:round/>
        </a:ln>
        <a:effectLst/>
      </xdr:spPr>
      <xdr:style>
        <a:lnRef idx="0">
          <a:schemeClr val="accent1"/>
        </a:lnRef>
        <a:fillRef idx="3">
          <a:schemeClr val="accent1"/>
        </a:fillRef>
        <a:effectRef idx="3">
          <a:schemeClr val="accent1"/>
        </a:effectRef>
        <a:fontRef idx="minor">
          <a:schemeClr val="lt1"/>
        </a:fontRef>
      </xdr:style>
      <xdr:txBody>
        <a:bodyPr vertOverflow="clip" horzOverflow="clip" rtlCol="0" anchor="ctr" anchorCtr="1"/>
        <a:lstStyle/>
        <a:p>
          <a:pPr algn="ctr"/>
          <a:r>
            <a:rPr lang="es-ES" sz="1100" b="1"/>
            <a:t>INTRODUCIR</a:t>
          </a:r>
          <a:r>
            <a:rPr lang="es-ES" sz="1100" b="1" baseline="0"/>
            <a:t> RESULTADOS</a:t>
          </a:r>
          <a:endParaRPr lang="es-ES" sz="1100" b="1"/>
        </a:p>
      </xdr:txBody>
    </xdr:sp>
    <xdr:clientData/>
  </xdr:twoCellAnchor>
  <xdr:twoCellAnchor>
    <xdr:from>
      <xdr:col>0</xdr:col>
      <xdr:colOff>3171825</xdr:colOff>
      <xdr:row>0</xdr:row>
      <xdr:rowOff>2847976</xdr:rowOff>
    </xdr:from>
    <xdr:to>
      <xdr:col>0</xdr:col>
      <xdr:colOff>5153025</xdr:colOff>
      <xdr:row>0</xdr:row>
      <xdr:rowOff>3165476</xdr:rowOff>
    </xdr:to>
    <xdr:sp macro="" textlink="">
      <xdr:nvSpPr>
        <xdr:cNvPr id="6" name="Rectángulo redondeado 5">
          <a:hlinkClick xmlns:r="http://schemas.openxmlformats.org/officeDocument/2006/relationships" r:id="rId3"/>
          <a:extLst>
            <a:ext uri="{FF2B5EF4-FFF2-40B4-BE49-F238E27FC236}">
              <a16:creationId xmlns:a16="http://schemas.microsoft.com/office/drawing/2014/main" id="{00000000-0008-0000-0100-000006000000}"/>
            </a:ext>
          </a:extLst>
        </xdr:cNvPr>
        <xdr:cNvSpPr/>
      </xdr:nvSpPr>
      <xdr:spPr>
        <a:xfrm>
          <a:off x="3171825" y="2847976"/>
          <a:ext cx="1981200" cy="31750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t>Autor: </a:t>
          </a:r>
          <a:r>
            <a:rPr lang="es-ES" sz="1100" b="0" baseline="0">
              <a:solidFill>
                <a:schemeClr val="lt1"/>
              </a:solidFill>
              <a:effectLst/>
              <a:latin typeface="+mn-lt"/>
              <a:ea typeface="+mn-ea"/>
              <a:cs typeface="+mn-cs"/>
            </a:rPr>
            <a:t>Miguel Angel Tejero</a:t>
          </a:r>
          <a:endParaRPr lang="es-ES" b="0">
            <a:effectLst/>
          </a:endParaRPr>
        </a:p>
        <a:p>
          <a:pPr algn="ctr"/>
          <a:r>
            <a:rPr lang="es-ES" sz="1100" b="1" baseline="0"/>
            <a:t> </a:t>
          </a:r>
          <a:endParaRPr lang="es-ES" sz="1100" b="1"/>
        </a:p>
      </xdr:txBody>
    </xdr:sp>
    <xdr:clientData/>
  </xdr:twoCellAnchor>
  <xdr:twoCellAnchor editAs="oneCell">
    <xdr:from>
      <xdr:col>1</xdr:col>
      <xdr:colOff>0</xdr:colOff>
      <xdr:row>1</xdr:row>
      <xdr:rowOff>0</xdr:rowOff>
    </xdr:from>
    <xdr:to>
      <xdr:col>1</xdr:col>
      <xdr:colOff>0</xdr:colOff>
      <xdr:row>1048576</xdr:row>
      <xdr:rowOff>190500</xdr:rowOff>
    </xdr:to>
    <xdr:pic>
      <xdr:nvPicPr>
        <xdr:cNvPr id="4" name="Imagen 3">
          <a:extLst>
            <a:ext uri="{FF2B5EF4-FFF2-40B4-BE49-F238E27FC236}">
              <a16:creationId xmlns:a16="http://schemas.microsoft.com/office/drawing/2014/main" id="{9934E8F8-36EE-40E9-A233-E32C5D54BA21}"/>
            </a:ext>
          </a:extLst>
        </xdr:cNvPr>
        <xdr:cNvPicPr>
          <a:picLocks noChangeAspect="1"/>
        </xdr:cNvPicPr>
      </xdr:nvPicPr>
      <xdr:blipFill>
        <a:blip xmlns:r="http://schemas.openxmlformats.org/officeDocument/2006/relationships" r:embed="rId1"/>
        <a:stretch>
          <a:fillRect/>
        </a:stretch>
      </xdr:blipFill>
      <xdr:spPr>
        <a:xfrm>
          <a:off x="6174828" y="190500"/>
          <a:ext cx="0" cy="41647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180975</xdr:colOff>
      <xdr:row>77</xdr:row>
      <xdr:rowOff>281667</xdr:rowOff>
    </xdr:from>
    <xdr:to>
      <xdr:col>23</xdr:col>
      <xdr:colOff>89983</xdr:colOff>
      <xdr:row>87</xdr:row>
      <xdr:rowOff>31661</xdr:rowOff>
    </xdr:to>
    <xdr:pic>
      <xdr:nvPicPr>
        <xdr:cNvPr id="6" name="Imagen 5">
          <a:extLst>
            <a:ext uri="{FF2B5EF4-FFF2-40B4-BE49-F238E27FC236}">
              <a16:creationId xmlns:a16="http://schemas.microsoft.com/office/drawing/2014/main" id="{1C219720-9449-4F9E-BF9A-969A75BF04D4}"/>
            </a:ext>
          </a:extLst>
        </xdr:cNvPr>
        <xdr:cNvPicPr>
          <a:picLocks noChangeAspect="1"/>
        </xdr:cNvPicPr>
      </xdr:nvPicPr>
      <xdr:blipFill>
        <a:blip xmlns:r="http://schemas.openxmlformats.org/officeDocument/2006/relationships" r:embed="rId1"/>
        <a:stretch>
          <a:fillRect/>
        </a:stretch>
      </xdr:blipFill>
      <xdr:spPr>
        <a:xfrm>
          <a:off x="8105775" y="14959692"/>
          <a:ext cx="3338008" cy="2388419"/>
        </a:xfrm>
        <a:prstGeom prst="rect">
          <a:avLst/>
        </a:prstGeom>
      </xdr:spPr>
    </xdr:pic>
    <xdr:clientData/>
  </xdr:twoCellAnchor>
  <xdr:twoCellAnchor>
    <xdr:from>
      <xdr:col>13</xdr:col>
      <xdr:colOff>9525</xdr:colOff>
      <xdr:row>97</xdr:row>
      <xdr:rowOff>38100</xdr:rowOff>
    </xdr:from>
    <xdr:to>
      <xdr:col>23</xdr:col>
      <xdr:colOff>161925</xdr:colOff>
      <xdr:row>98</xdr:row>
      <xdr:rowOff>171450</xdr:rowOff>
    </xdr:to>
    <xdr:sp macro="" textlink="">
      <xdr:nvSpPr>
        <xdr:cNvPr id="2" name="Rectángulo: esquinas redondeadas 1">
          <a:hlinkClick xmlns:r="http://schemas.openxmlformats.org/officeDocument/2006/relationships" r:id="rId2"/>
          <a:extLst>
            <a:ext uri="{FF2B5EF4-FFF2-40B4-BE49-F238E27FC236}">
              <a16:creationId xmlns:a16="http://schemas.microsoft.com/office/drawing/2014/main" id="{A4F981FE-ECC1-4579-8D87-723414BB2FAA}"/>
            </a:ext>
          </a:extLst>
        </xdr:cNvPr>
        <xdr:cNvSpPr/>
      </xdr:nvSpPr>
      <xdr:spPr>
        <a:xfrm>
          <a:off x="8162925" y="19764375"/>
          <a:ext cx="3295650" cy="381000"/>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ysClr val="windowText" lastClr="000000"/>
              </a:solidFill>
            </a:rPr>
            <a:t>Autor: Miguel Angel Tejero</a:t>
          </a:r>
        </a:p>
      </xdr:txBody>
    </xdr:sp>
    <xdr:clientData/>
  </xdr:twoCellAnchor>
  <xdr:twoCellAnchor editAs="oneCell">
    <xdr:from>
      <xdr:col>15</xdr:col>
      <xdr:colOff>190500</xdr:colOff>
      <xdr:row>100</xdr:row>
      <xdr:rowOff>0</xdr:rowOff>
    </xdr:from>
    <xdr:to>
      <xdr:col>18</xdr:col>
      <xdr:colOff>142875</xdr:colOff>
      <xdr:row>100</xdr:row>
      <xdr:rowOff>247650</xdr:rowOff>
    </xdr:to>
    <xdr:pic>
      <xdr:nvPicPr>
        <xdr:cNvPr id="4" name="Imagen 3" descr="https://www.paypalobjects.com/es_ES/ES/i/btn/btn_donate_LG.gif">
          <a:hlinkClick xmlns:r="http://schemas.openxmlformats.org/officeDocument/2006/relationships" r:id="rId3"/>
          <a:extLst>
            <a:ext uri="{FF2B5EF4-FFF2-40B4-BE49-F238E27FC236}">
              <a16:creationId xmlns:a16="http://schemas.microsoft.com/office/drawing/2014/main" id="{E2298926-9C50-438C-8E17-DDFB31DFB1E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372600" y="20307300"/>
          <a:ext cx="876300" cy="2476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S5:AT13" totalsRowShown="0" headerRowDxfId="11" dataDxfId="9" headerRowBorderDxfId="10" tableBorderDxfId="8" totalsRowBorderDxfId="7">
  <tableColumns count="2">
    <tableColumn id="1" xr3:uid="{00000000-0010-0000-0000-000001000000}" name="TOPIC" dataDxfId="6"/>
    <tableColumn id="2" xr3:uid="{00000000-0010-0000-0000-000002000000}" name="VALUE" dataDxfId="5"/>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a3" displayName="Tabla3" ref="A1:C33" totalsRowShown="0" headerRowDxfId="4" dataDxfId="3">
  <autoFilter ref="A1:C33" xr:uid="{00000000-0009-0000-0100-000003000000}"/>
  <tableColumns count="3">
    <tableColumn id="4" xr3:uid="{00000000-0010-0000-0100-000004000000}" name="Clasificada" dataDxfId="2">
      <calculatedColumnFormula>NOT(ISERROR(VLOOKUP(Tabla3[[#This Row],[ZfP4b()8G6b·$55Ma-t·%fv-ttyZxR-.R*+Fd]],'Porra Mundial'!$AF$5:$AF$58,1,FALSE)))</calculatedColumnFormula>
    </tableColumn>
    <tableColumn id="1" xr3:uid="{00000000-0010-0000-0100-000001000000}" name="ZfP4b()8G6b·$55Ma-t·%fv-ttyZxR-.R*+Fd" dataDxfId="1"/>
    <tableColumn id="2" xr3:uid="{00000000-0010-0000-0100-000002000000}" name="N!&quot;kvfjM.%&amp;gk5kfmfvv)/%;V$&amp;VW"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hyperlink" Target="https://www.paypal.com/cgi-bin/webscr?cmd=_donations&amp;business=PJ2B6ZBH7ZHR4&amp;lc=ES&amp;item_name=matejero&amp;item_number=PorraMundial2018&amp;currency_code=EUR&amp;bn=PP%2dDonationsBF%3abtn_donate_LG%2egif%3aNonHosted"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hyperlink" Target="http://sandruskdesign.com/" TargetMode="External"/><Relationship Id="rId2" Type="http://schemas.openxmlformats.org/officeDocument/2006/relationships/hyperlink" Target="http://www.matejero.es/" TargetMode="External"/><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MAT27"/>
  <sheetViews>
    <sheetView showGridLines="0" showRowColHeaders="0" workbookViewId="0"/>
  </sheetViews>
  <sheetFormatPr baseColWidth="10" defaultColWidth="0" defaultRowHeight="15" zeroHeight="1" x14ac:dyDescent="0.25"/>
  <cols>
    <col min="1" max="1" width="92.42578125" style="8" customWidth="1"/>
    <col min="2" max="8" width="10.85546875" style="8" hidden="1"/>
    <col min="9" max="9" width="6" style="8" hidden="1"/>
    <col min="10" max="38" width="10.85546875" style="8" hidden="1"/>
    <col min="39" max="8834" width="0" style="8" hidden="1"/>
    <col min="8835" max="16384" width="10.85546875" style="8" hidden="1"/>
  </cols>
  <sheetData>
    <row r="1" spans="39:39" ht="320.10000000000002" customHeight="1" x14ac:dyDescent="0.25"/>
    <row r="2" spans="39:39" hidden="1" x14ac:dyDescent="0.25"/>
    <row r="3" spans="39:39" hidden="1" x14ac:dyDescent="0.25"/>
    <row r="4" spans="39:39" hidden="1" x14ac:dyDescent="0.25"/>
    <row r="5" spans="39:39" hidden="1" x14ac:dyDescent="0.25"/>
    <row r="6" spans="39:39" hidden="1" x14ac:dyDescent="0.25"/>
    <row r="7" spans="39:39" hidden="1" x14ac:dyDescent="0.25">
      <c r="AM7" s="9" t="s">
        <v>39</v>
      </c>
    </row>
    <row r="8" spans="39:39" hidden="1" x14ac:dyDescent="0.25"/>
    <row r="9" spans="39:39" hidden="1" x14ac:dyDescent="0.25"/>
    <row r="10" spans="39:39" hidden="1" x14ac:dyDescent="0.25"/>
    <row r="11" spans="39:39" hidden="1" x14ac:dyDescent="0.25"/>
    <row r="12" spans="39:39" hidden="1" x14ac:dyDescent="0.25"/>
    <row r="13" spans="39:39" hidden="1" x14ac:dyDescent="0.25"/>
    <row r="14" spans="39:39" hidden="1" x14ac:dyDescent="0.25"/>
    <row r="15" spans="39:39" hidden="1" x14ac:dyDescent="0.25"/>
    <row r="16" spans="39:39" hidden="1" x14ac:dyDescent="0.25"/>
    <row r="17" spans="339:339 8834:8834" hidden="1" x14ac:dyDescent="0.25"/>
    <row r="18" spans="339:339 8834:8834" hidden="1" x14ac:dyDescent="0.25"/>
    <row r="19" spans="339:339 8834:8834" hidden="1" x14ac:dyDescent="0.25"/>
    <row r="20" spans="339:339 8834:8834" hidden="1" x14ac:dyDescent="0.25"/>
    <row r="21" spans="339:339 8834:8834" hidden="1" x14ac:dyDescent="0.25"/>
    <row r="22" spans="339:339 8834:8834" hidden="1" x14ac:dyDescent="0.25"/>
    <row r="23" spans="339:339 8834:8834" ht="12" hidden="1" customHeight="1" x14ac:dyDescent="0.25"/>
    <row r="24" spans="339:339 8834:8834" hidden="1" x14ac:dyDescent="0.25"/>
    <row r="25" spans="339:339 8834:8834" hidden="1" x14ac:dyDescent="0.25"/>
    <row r="26" spans="339:339 8834:8834" hidden="1" x14ac:dyDescent="0.25"/>
    <row r="27" spans="339:339 8834:8834" hidden="1" x14ac:dyDescent="0.25">
      <c r="MA27" s="9" t="s">
        <v>39</v>
      </c>
      <c r="MAT27" s="9" t="s">
        <v>39</v>
      </c>
    </row>
  </sheetData>
  <sheetProtection sheet="1" objects="1" scenarios="1" selectLockedCells="1"/>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SAQ108"/>
  <sheetViews>
    <sheetView showGridLines="0" showRowColHeaders="0" tabSelected="1" workbookViewId="0">
      <selection activeCell="H44" sqref="H44"/>
    </sheetView>
  </sheetViews>
  <sheetFormatPr baseColWidth="10" defaultColWidth="0" defaultRowHeight="15" zeroHeight="1" x14ac:dyDescent="0.25"/>
  <cols>
    <col min="1" max="1" width="2.140625" style="1" customWidth="1"/>
    <col min="2" max="2" width="5.85546875" style="1" customWidth="1"/>
    <col min="3" max="3" width="11.42578125" style="1" customWidth="1"/>
    <col min="4" max="4" width="9.42578125" style="1" customWidth="1"/>
    <col min="5" max="5" width="39.42578125" style="1" customWidth="1"/>
    <col min="6" max="6" width="13.140625" style="1" customWidth="1"/>
    <col min="7" max="7" width="3.85546875" style="1" customWidth="1"/>
    <col min="8" max="9" width="5.28515625" style="1" customWidth="1"/>
    <col min="10" max="10" width="4.7109375" style="1" customWidth="1"/>
    <col min="11" max="11" width="13.7109375" style="1" customWidth="1"/>
    <col min="12" max="12" width="3.42578125" style="1" customWidth="1"/>
    <col min="13" max="13" width="2.85546875" style="1" customWidth="1"/>
    <col min="14" max="14" width="4.140625" style="1" bestFit="1" customWidth="1"/>
    <col min="15" max="15" width="12.7109375" style="1" customWidth="1"/>
    <col min="16" max="16" width="7.28515625" style="1" customWidth="1"/>
    <col min="17" max="20" width="3.28515625" style="1" customWidth="1"/>
    <col min="21" max="21" width="3.42578125" style="1" customWidth="1"/>
    <col min="22" max="22" width="3.7109375" style="1" customWidth="1"/>
    <col min="23" max="23" width="4.140625" style="1" customWidth="1"/>
    <col min="24" max="24" width="3.42578125" style="7" customWidth="1"/>
    <col min="25" max="25" width="11.85546875" style="338" bestFit="1" customWidth="1"/>
    <col min="26" max="26" width="3.42578125" style="7" customWidth="1"/>
    <col min="27" max="27" width="5.42578125" style="7" customWidth="1"/>
    <col min="28" max="28" width="3" style="7" customWidth="1"/>
    <col min="29" max="29" width="11.28515625" style="1" hidden="1" customWidth="1"/>
    <col min="30" max="30" width="4.140625" style="1" hidden="1" customWidth="1"/>
    <col min="31" max="31" width="7.28515625" style="1" hidden="1" customWidth="1"/>
    <col min="32" max="32" width="11.42578125" style="1" hidden="1" customWidth="1"/>
    <col min="33" max="33" width="5" style="1" hidden="1" customWidth="1"/>
    <col min="34" max="37" width="2.42578125" style="1" hidden="1" customWidth="1"/>
    <col min="38" max="38" width="3.42578125" style="1" hidden="1" customWidth="1"/>
    <col min="39" max="39" width="3.7109375" style="1" hidden="1" customWidth="1"/>
    <col min="40" max="40" width="4.140625" style="1" hidden="1" customWidth="1"/>
    <col min="41" max="41" width="11.7109375" style="1" hidden="1" customWidth="1"/>
    <col min="42" max="42" width="8.7109375" style="1" hidden="1" customWidth="1"/>
    <col min="43" max="43" width="2.85546875" style="1" hidden="1" customWidth="1"/>
    <col min="44" max="44" width="11.42578125" style="1" hidden="1" customWidth="1"/>
    <col min="45" max="45" width="15.140625" style="1" hidden="1" customWidth="1"/>
    <col min="46" max="46" width="15.7109375" style="1" hidden="1" customWidth="1"/>
    <col min="47" max="47" width="2.28515625" style="1" hidden="1" customWidth="1"/>
    <col min="48" max="48" width="11.42578125" style="1" hidden="1" customWidth="1"/>
    <col min="49" max="51" width="9.42578125" style="1" hidden="1" customWidth="1"/>
    <col min="52" max="52" width="8.42578125" style="1" hidden="1" customWidth="1"/>
    <col min="53" max="56" width="7.140625" style="1" hidden="1" customWidth="1"/>
    <col min="57" max="58" width="8.42578125" style="1" hidden="1" customWidth="1"/>
    <col min="59" max="59" width="7.140625" style="1" hidden="1" customWidth="1"/>
    <col min="60" max="63" width="3" style="1" hidden="1" customWidth="1"/>
    <col min="64" max="64" width="2.7109375" style="1" hidden="1" customWidth="1"/>
    <col min="65" max="65" width="11.85546875" style="1" hidden="1" customWidth="1"/>
    <col min="66" max="66" width="11" style="1" hidden="1" customWidth="1"/>
    <col min="67" max="67" width="11.85546875" style="1" hidden="1" customWidth="1"/>
    <col min="68" max="68" width="11" style="1" hidden="1" customWidth="1"/>
    <col min="69" max="70" width="3" style="1" hidden="1" customWidth="1"/>
    <col min="71" max="71" width="11.85546875" style="1" hidden="1" customWidth="1"/>
    <col min="72" max="72" width="4.85546875" style="1" hidden="1" customWidth="1"/>
    <col min="73" max="73" width="13.85546875" style="1" hidden="1" customWidth="1"/>
    <col min="74" max="74" width="3.42578125" style="1" hidden="1" customWidth="1"/>
    <col min="75" max="75" width="3" style="1" hidden="1" customWidth="1"/>
    <col min="76" max="76" width="4.7109375" style="1" hidden="1" customWidth="1"/>
    <col min="77" max="77" width="10.85546875" style="2" hidden="1" customWidth="1"/>
    <col min="78" max="78" width="1.42578125" style="2" hidden="1" customWidth="1"/>
    <col min="79" max="100" width="7.28515625" style="2" hidden="1" customWidth="1"/>
    <col min="101" max="102" width="2" style="2" hidden="1" customWidth="1"/>
    <col min="103" max="117" width="10.85546875" style="2" hidden="1" customWidth="1"/>
    <col min="118" max="118" width="10.85546875" style="11" hidden="1" customWidth="1"/>
    <col min="119" max="16384" width="10.85546875" style="2" hidden="1"/>
  </cols>
  <sheetData>
    <row r="1" spans="1:118" x14ac:dyDescent="0.25">
      <c r="A1" s="147"/>
      <c r="B1" s="147"/>
      <c r="C1" s="147"/>
      <c r="D1" s="147"/>
      <c r="E1" s="147"/>
      <c r="F1" s="35" t="s">
        <v>40</v>
      </c>
      <c r="G1" s="125"/>
      <c r="H1" s="35"/>
      <c r="I1" s="35"/>
      <c r="J1" s="35"/>
      <c r="K1" s="35"/>
      <c r="L1" s="147"/>
      <c r="M1" s="147"/>
      <c r="N1" s="147"/>
      <c r="O1" s="147"/>
      <c r="P1" s="147"/>
      <c r="Q1" s="147"/>
      <c r="R1" s="147"/>
      <c r="S1" s="147"/>
      <c r="T1" s="147"/>
      <c r="U1" s="147"/>
      <c r="V1" s="147"/>
      <c r="W1" s="147"/>
      <c r="X1" s="147"/>
      <c r="Y1" s="147"/>
      <c r="Z1" s="147"/>
      <c r="AA1" s="147"/>
      <c r="AB1" s="147"/>
      <c r="AC1" s="408"/>
      <c r="AD1" s="408"/>
      <c r="AE1" s="408"/>
      <c r="AF1" s="408"/>
      <c r="AG1" s="408"/>
      <c r="AH1" s="408"/>
      <c r="AI1" s="408"/>
      <c r="AJ1" s="408"/>
      <c r="AK1" s="408"/>
      <c r="AL1" s="408"/>
      <c r="AM1" s="408"/>
      <c r="AN1" s="408"/>
      <c r="AO1" s="408"/>
      <c r="AP1" s="408"/>
      <c r="AQ1" s="408"/>
      <c r="AR1" s="408"/>
      <c r="AS1" s="408"/>
      <c r="AT1" s="408"/>
      <c r="AU1" s="408"/>
      <c r="AV1" s="408"/>
      <c r="AW1" s="408"/>
      <c r="AX1" s="408"/>
      <c r="AY1" s="408"/>
      <c r="AZ1" s="408"/>
      <c r="BA1" s="408"/>
      <c r="BB1" s="408"/>
      <c r="BC1" s="408"/>
      <c r="BD1" s="408"/>
      <c r="BE1" s="408"/>
      <c r="BF1" s="408"/>
      <c r="BG1" s="408"/>
      <c r="BH1" s="408"/>
      <c r="BI1" s="408"/>
      <c r="BJ1" s="408"/>
      <c r="BK1" s="408"/>
      <c r="BL1" s="408"/>
      <c r="BM1" s="408"/>
      <c r="BN1" s="408"/>
      <c r="BO1" s="408"/>
      <c r="BP1" s="408"/>
      <c r="BQ1" s="408"/>
      <c r="BR1" s="408"/>
      <c r="BS1" s="408"/>
      <c r="BT1" s="408"/>
      <c r="BU1" s="408"/>
      <c r="BV1" s="408"/>
      <c r="BW1" s="408"/>
      <c r="BX1" s="408"/>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475"/>
    </row>
    <row r="2" spans="1:118" ht="20.100000000000001" customHeight="1" x14ac:dyDescent="0.25">
      <c r="A2" s="85" t="s">
        <v>24</v>
      </c>
      <c r="B2" s="85"/>
      <c r="C2" s="85"/>
      <c r="D2" s="85"/>
      <c r="E2" s="85"/>
      <c r="F2" s="18"/>
      <c r="G2" s="85"/>
      <c r="H2" s="18"/>
      <c r="I2" s="18"/>
      <c r="J2" s="18"/>
      <c r="K2" s="18"/>
      <c r="L2" s="86"/>
      <c r="M2" s="86"/>
      <c r="N2" s="86"/>
      <c r="O2" s="86"/>
      <c r="P2" s="86"/>
      <c r="Q2" s="86"/>
      <c r="R2" s="86"/>
      <c r="S2" s="86"/>
      <c r="T2" s="86"/>
      <c r="U2" s="86"/>
      <c r="V2" s="86"/>
      <c r="W2" s="86"/>
      <c r="X2" s="148"/>
      <c r="Y2" s="148"/>
      <c r="Z2" s="148"/>
      <c r="AA2" s="148"/>
      <c r="AB2" s="148"/>
      <c r="AC2" s="409"/>
      <c r="AD2" s="14"/>
      <c r="AE2" s="14" t="s">
        <v>44</v>
      </c>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410"/>
      <c r="BY2" s="14"/>
      <c r="BZ2" s="14"/>
      <c r="CA2" s="14"/>
      <c r="CB2" s="14"/>
      <c r="CC2" s="14"/>
      <c r="CD2" s="14"/>
      <c r="CE2" s="14"/>
      <c r="CF2" s="14"/>
      <c r="CG2" s="14"/>
      <c r="CH2" s="14"/>
      <c r="CI2" s="14" t="s">
        <v>214</v>
      </c>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475"/>
    </row>
    <row r="3" spans="1:118" ht="15.75" thickBot="1" x14ac:dyDescent="0.3">
      <c r="A3" s="87"/>
      <c r="B3" s="87"/>
      <c r="C3" s="88" t="s">
        <v>15</v>
      </c>
      <c r="D3" s="88" t="s">
        <v>178</v>
      </c>
      <c r="E3" s="87" t="s">
        <v>111</v>
      </c>
      <c r="F3" s="20" t="s">
        <v>41</v>
      </c>
      <c r="G3" s="88"/>
      <c r="H3" s="21" t="s">
        <v>43</v>
      </c>
      <c r="I3" s="21" t="s">
        <v>43</v>
      </c>
      <c r="J3" s="21"/>
      <c r="K3" s="19" t="s">
        <v>42</v>
      </c>
      <c r="L3" s="86"/>
      <c r="M3" s="86"/>
      <c r="N3" s="86"/>
      <c r="O3" s="86"/>
      <c r="P3" s="86"/>
      <c r="Q3" s="86"/>
      <c r="R3" s="86"/>
      <c r="S3" s="86"/>
      <c r="T3" s="86"/>
      <c r="U3" s="86"/>
      <c r="V3" s="86"/>
      <c r="W3" s="86"/>
      <c r="X3" s="148"/>
      <c r="Y3" s="148"/>
      <c r="Z3" s="148"/>
      <c r="AA3" s="148"/>
      <c r="AB3" s="148"/>
      <c r="AC3" s="409"/>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410"/>
      <c r="BY3" s="14"/>
      <c r="BZ3" s="14"/>
      <c r="CA3" s="411">
        <v>1</v>
      </c>
      <c r="CB3" s="411">
        <v>12</v>
      </c>
      <c r="CC3" s="411">
        <v>18</v>
      </c>
      <c r="CD3" s="411">
        <v>19</v>
      </c>
      <c r="CE3" s="411">
        <v>13</v>
      </c>
      <c r="CF3" s="411">
        <v>20</v>
      </c>
      <c r="CG3" s="411">
        <v>21</v>
      </c>
      <c r="CH3" s="411">
        <v>22</v>
      </c>
      <c r="CI3" s="411">
        <v>3</v>
      </c>
      <c r="CJ3" s="411">
        <v>2</v>
      </c>
      <c r="CK3" s="411">
        <v>14</v>
      </c>
      <c r="CL3" s="411">
        <v>17</v>
      </c>
      <c r="CM3" s="411">
        <v>16</v>
      </c>
      <c r="CN3" s="411">
        <v>15</v>
      </c>
      <c r="CO3" s="411">
        <v>4</v>
      </c>
      <c r="CP3" s="411">
        <v>5</v>
      </c>
      <c r="CQ3" s="411">
        <v>10</v>
      </c>
      <c r="CR3" s="411">
        <v>8</v>
      </c>
      <c r="CS3" s="411">
        <v>6</v>
      </c>
      <c r="CT3" s="411">
        <v>11</v>
      </c>
      <c r="CU3" s="411">
        <v>7</v>
      </c>
      <c r="CV3" s="411">
        <v>9</v>
      </c>
      <c r="CW3" s="411" t="s">
        <v>213</v>
      </c>
      <c r="CX3" s="411" t="s">
        <v>213</v>
      </c>
      <c r="CY3" s="14"/>
      <c r="CZ3" s="14"/>
      <c r="DA3" s="14"/>
      <c r="DB3" s="14"/>
      <c r="DC3" s="412" t="s">
        <v>186</v>
      </c>
      <c r="DD3" s="412" t="s">
        <v>187</v>
      </c>
      <c r="DE3" s="412" t="s">
        <v>189</v>
      </c>
      <c r="DF3" s="412" t="s">
        <v>190</v>
      </c>
      <c r="DG3" s="412" t="s">
        <v>191</v>
      </c>
      <c r="DH3" s="412" t="s">
        <v>192</v>
      </c>
      <c r="DI3" s="412" t="s">
        <v>193</v>
      </c>
      <c r="DJ3" s="412" t="s">
        <v>194</v>
      </c>
      <c r="DK3" s="412" t="s">
        <v>195</v>
      </c>
      <c r="DL3" s="412" t="s">
        <v>196</v>
      </c>
      <c r="DM3" s="14"/>
      <c r="DN3" s="475"/>
    </row>
    <row r="4" spans="1:118" ht="15.75" thickBot="1" x14ac:dyDescent="0.3">
      <c r="A4" s="74"/>
      <c r="B4" s="512" t="s">
        <v>0</v>
      </c>
      <c r="C4" s="257">
        <v>43265</v>
      </c>
      <c r="D4" s="258">
        <v>0.70833333333333337</v>
      </c>
      <c r="E4" s="259" t="s">
        <v>206</v>
      </c>
      <c r="F4" s="339" t="s">
        <v>19</v>
      </c>
      <c r="G4" s="242"/>
      <c r="H4" s="476">
        <v>2</v>
      </c>
      <c r="I4" s="476">
        <v>0</v>
      </c>
      <c r="J4" s="217"/>
      <c r="K4" s="364" t="s">
        <v>172</v>
      </c>
      <c r="L4" s="149">
        <f>IF(NOT(OR(ISBLANK(H4),ISBLANK(I4))),1,0)</f>
        <v>1</v>
      </c>
      <c r="M4" s="79"/>
      <c r="N4" s="150" t="s">
        <v>27</v>
      </c>
      <c r="O4" s="151"/>
      <c r="P4" s="151"/>
      <c r="Q4" s="151"/>
      <c r="R4" s="151"/>
      <c r="S4" s="151"/>
      <c r="T4" s="151"/>
      <c r="U4" s="151"/>
      <c r="V4" s="151"/>
      <c r="W4" s="152"/>
      <c r="X4" s="16"/>
      <c r="Y4" s="566" t="s">
        <v>218</v>
      </c>
      <c r="Z4" s="566"/>
      <c r="AA4" s="566"/>
      <c r="AB4" s="16"/>
      <c r="AC4" s="413"/>
      <c r="AD4" s="14"/>
      <c r="AE4" s="414" t="s">
        <v>33</v>
      </c>
      <c r="AF4" s="14"/>
      <c r="AG4" s="14"/>
      <c r="AH4" s="14"/>
      <c r="AI4" s="14"/>
      <c r="AJ4" s="14"/>
      <c r="AK4" s="14"/>
      <c r="AL4" s="14"/>
      <c r="AM4" s="14"/>
      <c r="AN4" s="14"/>
      <c r="AO4" s="14"/>
      <c r="AP4" s="415"/>
      <c r="AQ4" s="14"/>
      <c r="AR4" s="14" t="s">
        <v>183</v>
      </c>
      <c r="AS4" s="14"/>
      <c r="AT4" s="14"/>
      <c r="AU4" s="14"/>
      <c r="AV4" s="416" t="str">
        <f>CONCATENATE(N4," - GOLAVERAGE")</f>
        <v>Grupo A - GOLAVERAGE</v>
      </c>
      <c r="AW4" s="417"/>
      <c r="AX4" s="417"/>
      <c r="AY4" s="508" t="s">
        <v>49</v>
      </c>
      <c r="AZ4" s="509"/>
      <c r="BA4" s="509"/>
      <c r="BB4" s="509"/>
      <c r="BC4" s="509"/>
      <c r="BD4" s="510"/>
      <c r="BE4" s="508" t="s">
        <v>48</v>
      </c>
      <c r="BF4" s="509"/>
      <c r="BG4" s="509"/>
      <c r="BH4" s="509"/>
      <c r="BI4" s="509"/>
      <c r="BJ4" s="510"/>
      <c r="BK4" s="410"/>
      <c r="BL4" s="410"/>
      <c r="BM4" s="410"/>
      <c r="BN4" s="410"/>
      <c r="BO4" s="410"/>
      <c r="BP4" s="410"/>
      <c r="BQ4" s="410"/>
      <c r="BR4" s="410"/>
      <c r="BS4" s="410"/>
      <c r="BT4" s="410"/>
      <c r="BU4" s="410"/>
      <c r="BV4" s="410"/>
      <c r="BW4" s="410"/>
      <c r="BX4" s="410"/>
      <c r="BY4" s="14" t="s">
        <v>215</v>
      </c>
      <c r="BZ4" s="14" t="s">
        <v>216</v>
      </c>
      <c r="CA4" s="418">
        <f>SUM(CA6:CA9)</f>
        <v>0</v>
      </c>
      <c r="CB4" s="418">
        <f t="shared" ref="CB4:CX4" si="0">SUM(CB6:CB9)</f>
        <v>0</v>
      </c>
      <c r="CC4" s="418">
        <f t="shared" si="0"/>
        <v>0</v>
      </c>
      <c r="CD4" s="418">
        <f t="shared" si="0"/>
        <v>1</v>
      </c>
      <c r="CE4" s="418">
        <f t="shared" si="0"/>
        <v>0</v>
      </c>
      <c r="CF4" s="418">
        <f t="shared" si="0"/>
        <v>2</v>
      </c>
      <c r="CG4" s="418">
        <f t="shared" si="0"/>
        <v>1</v>
      </c>
      <c r="CH4" s="418">
        <f t="shared" si="0"/>
        <v>2</v>
      </c>
      <c r="CI4" s="418">
        <f t="shared" si="0"/>
        <v>0</v>
      </c>
      <c r="CJ4" s="418">
        <f t="shared" si="0"/>
        <v>0</v>
      </c>
      <c r="CK4" s="418">
        <f t="shared" si="0"/>
        <v>0</v>
      </c>
      <c r="CL4" s="418">
        <f t="shared" si="0"/>
        <v>1</v>
      </c>
      <c r="CM4" s="418">
        <f t="shared" si="0"/>
        <v>1</v>
      </c>
      <c r="CN4" s="418">
        <f t="shared" si="0"/>
        <v>1</v>
      </c>
      <c r="CO4" s="418">
        <f t="shared" si="0"/>
        <v>0</v>
      </c>
      <c r="CP4" s="418">
        <f t="shared" si="0"/>
        <v>0</v>
      </c>
      <c r="CQ4" s="418">
        <f t="shared" si="0"/>
        <v>0</v>
      </c>
      <c r="CR4" s="418">
        <f t="shared" si="0"/>
        <v>0</v>
      </c>
      <c r="CS4" s="418">
        <f t="shared" si="0"/>
        <v>0</v>
      </c>
      <c r="CT4" s="418">
        <f t="shared" si="0"/>
        <v>0</v>
      </c>
      <c r="CU4" s="418">
        <f t="shared" si="0"/>
        <v>0</v>
      </c>
      <c r="CV4" s="418">
        <f t="shared" si="0"/>
        <v>0</v>
      </c>
      <c r="CW4" s="418">
        <f t="shared" si="0"/>
        <v>0</v>
      </c>
      <c r="CX4" s="418">
        <f t="shared" si="0"/>
        <v>0</v>
      </c>
      <c r="CY4" s="14"/>
      <c r="CZ4" s="14"/>
      <c r="DA4" s="14"/>
      <c r="DB4" s="14"/>
      <c r="DC4" s="412">
        <v>1234</v>
      </c>
      <c r="DD4" s="412">
        <v>123</v>
      </c>
      <c r="DE4" s="412">
        <v>12</v>
      </c>
      <c r="DF4" s="412">
        <v>234</v>
      </c>
      <c r="DG4" s="412">
        <v>34</v>
      </c>
      <c r="DH4" s="412">
        <v>23</v>
      </c>
      <c r="DI4" s="412">
        <v>1</v>
      </c>
      <c r="DJ4" s="412">
        <v>2</v>
      </c>
      <c r="DK4" s="412">
        <v>3</v>
      </c>
      <c r="DL4" s="412">
        <v>4</v>
      </c>
      <c r="DM4" s="14"/>
      <c r="DN4" s="475"/>
    </row>
    <row r="5" spans="1:118" x14ac:dyDescent="0.25">
      <c r="A5" s="74"/>
      <c r="B5" s="513"/>
      <c r="C5" s="260">
        <v>43266</v>
      </c>
      <c r="D5" s="261">
        <v>0.58333333333333337</v>
      </c>
      <c r="E5" s="262" t="s">
        <v>100</v>
      </c>
      <c r="F5" s="340" t="s">
        <v>163</v>
      </c>
      <c r="G5" s="243"/>
      <c r="H5" s="477">
        <v>1</v>
      </c>
      <c r="I5" s="477">
        <v>3</v>
      </c>
      <c r="J5" s="218"/>
      <c r="K5" s="365" t="s">
        <v>162</v>
      </c>
      <c r="L5" s="149">
        <f t="shared" ref="L5:L44" si="1">IF(NOT(OR(ISBLANK(H5),ISBLANK(I5))),1,0)</f>
        <v>1</v>
      </c>
      <c r="M5" s="79"/>
      <c r="N5" s="50" t="s">
        <v>26</v>
      </c>
      <c r="O5" s="51" t="s">
        <v>6</v>
      </c>
      <c r="P5" s="52" t="s">
        <v>12</v>
      </c>
      <c r="Q5" s="52" t="s">
        <v>7</v>
      </c>
      <c r="R5" s="52" t="s">
        <v>8</v>
      </c>
      <c r="S5" s="52" t="s">
        <v>4</v>
      </c>
      <c r="T5" s="52" t="s">
        <v>9</v>
      </c>
      <c r="U5" s="52" t="s">
        <v>10</v>
      </c>
      <c r="V5" s="52" t="s">
        <v>11</v>
      </c>
      <c r="W5" s="53" t="s">
        <v>14</v>
      </c>
      <c r="X5" s="407">
        <f>COUNTIF(X6:X9,"&lt;100")</f>
        <v>0</v>
      </c>
      <c r="Y5" s="566"/>
      <c r="Z5" s="566"/>
      <c r="AA5" s="566"/>
      <c r="AB5" s="17"/>
      <c r="AC5" s="413"/>
      <c r="AD5" s="419" t="s">
        <v>183</v>
      </c>
      <c r="AE5" s="420" t="s">
        <v>16</v>
      </c>
      <c r="AF5" s="421" t="s">
        <v>6</v>
      </c>
      <c r="AG5" s="421" t="s">
        <v>17</v>
      </c>
      <c r="AH5" s="421" t="s">
        <v>7</v>
      </c>
      <c r="AI5" s="421" t="s">
        <v>8</v>
      </c>
      <c r="AJ5" s="421" t="s">
        <v>4</v>
      </c>
      <c r="AK5" s="421" t="s">
        <v>9</v>
      </c>
      <c r="AL5" s="421" t="s">
        <v>10</v>
      </c>
      <c r="AM5" s="421" t="s">
        <v>11</v>
      </c>
      <c r="AN5" s="421" t="s">
        <v>14</v>
      </c>
      <c r="AO5" s="421" t="s">
        <v>18</v>
      </c>
      <c r="AP5" s="422" t="s">
        <v>16</v>
      </c>
      <c r="AQ5" s="14"/>
      <c r="AR5" s="14"/>
      <c r="AS5" s="423" t="s">
        <v>45</v>
      </c>
      <c r="AT5" s="424" t="s">
        <v>46</v>
      </c>
      <c r="AU5" s="14"/>
      <c r="AV5" s="425" t="s">
        <v>6</v>
      </c>
      <c r="AW5" s="426" t="s">
        <v>50</v>
      </c>
      <c r="AX5" s="427" t="s">
        <v>53</v>
      </c>
      <c r="AY5" s="428" t="s">
        <v>52</v>
      </c>
      <c r="AZ5" s="426" t="s">
        <v>47</v>
      </c>
      <c r="BA5" s="429" t="str">
        <f>AV6</f>
        <v>Rusia</v>
      </c>
      <c r="BB5" s="430" t="str">
        <f>AV7</f>
        <v>Arabia Saudí</v>
      </c>
      <c r="BC5" s="430" t="str">
        <f>AV8</f>
        <v>Egipto</v>
      </c>
      <c r="BD5" s="431" t="str">
        <f>AV9</f>
        <v>Uruguay</v>
      </c>
      <c r="BE5" s="426" t="s">
        <v>52</v>
      </c>
      <c r="BF5" s="426" t="s">
        <v>47</v>
      </c>
      <c r="BG5" s="429" t="str">
        <f>BA5</f>
        <v>Rusia</v>
      </c>
      <c r="BH5" s="430" t="str">
        <f t="shared" ref="BH5:BJ5" si="2">BB5</f>
        <v>Arabia Saudí</v>
      </c>
      <c r="BI5" s="430" t="str">
        <f t="shared" si="2"/>
        <v>Egipto</v>
      </c>
      <c r="BJ5" s="431" t="str">
        <f t="shared" si="2"/>
        <v>Uruguay</v>
      </c>
      <c r="BK5" s="410"/>
      <c r="BL5" s="432"/>
      <c r="BM5" s="432" t="s">
        <v>184</v>
      </c>
      <c r="BN5" s="432"/>
      <c r="BO5" s="432" t="s">
        <v>185</v>
      </c>
      <c r="BP5" s="432"/>
      <c r="BQ5" s="410"/>
      <c r="BR5" s="433"/>
      <c r="BS5" s="433" t="s">
        <v>6</v>
      </c>
      <c r="BT5" s="433" t="s">
        <v>17</v>
      </c>
      <c r="BU5" s="433" t="s">
        <v>204</v>
      </c>
      <c r="BV5" s="433" t="s">
        <v>14</v>
      </c>
      <c r="BW5" s="433" t="s">
        <v>205</v>
      </c>
      <c r="BX5" s="410"/>
      <c r="BY5" s="14"/>
      <c r="BZ5" s="14" t="s">
        <v>217</v>
      </c>
      <c r="CA5" s="418" t="s">
        <v>188</v>
      </c>
      <c r="CB5" s="418" t="s">
        <v>197</v>
      </c>
      <c r="CC5" s="418" t="s">
        <v>198</v>
      </c>
      <c r="CD5" s="418" t="s">
        <v>199</v>
      </c>
      <c r="CE5" s="418" t="s">
        <v>200</v>
      </c>
      <c r="CF5" s="418" t="s">
        <v>201</v>
      </c>
      <c r="CG5" s="418" t="s">
        <v>202</v>
      </c>
      <c r="CH5" s="418" t="s">
        <v>203</v>
      </c>
      <c r="CI5" s="418" t="s">
        <v>198</v>
      </c>
      <c r="CJ5" s="418" t="s">
        <v>198</v>
      </c>
      <c r="CK5" s="418" t="s">
        <v>199</v>
      </c>
      <c r="CL5" s="418" t="s">
        <v>202</v>
      </c>
      <c r="CM5" s="418" t="s">
        <v>201</v>
      </c>
      <c r="CN5" s="418" t="s">
        <v>201</v>
      </c>
      <c r="CO5" s="418" t="s">
        <v>200</v>
      </c>
      <c r="CP5" s="418" t="s">
        <v>197</v>
      </c>
      <c r="CQ5" s="418" t="s">
        <v>202</v>
      </c>
      <c r="CR5" s="418" t="s">
        <v>201</v>
      </c>
      <c r="CS5" s="418" t="s">
        <v>199</v>
      </c>
      <c r="CT5" s="418" t="s">
        <v>202</v>
      </c>
      <c r="CU5" s="418" t="s">
        <v>199</v>
      </c>
      <c r="CV5" s="418" t="s">
        <v>201</v>
      </c>
      <c r="CW5" s="418"/>
      <c r="CX5" s="418"/>
      <c r="CY5" s="14"/>
      <c r="CZ5" s="14"/>
      <c r="DA5" s="14"/>
      <c r="DB5" s="14"/>
      <c r="DC5" s="412">
        <v>1</v>
      </c>
      <c r="DD5" s="412">
        <v>1</v>
      </c>
      <c r="DE5" s="412">
        <v>1</v>
      </c>
      <c r="DF5" s="412">
        <v>2</v>
      </c>
      <c r="DG5" s="412">
        <v>3</v>
      </c>
      <c r="DH5" s="412">
        <v>2</v>
      </c>
      <c r="DI5" s="412">
        <v>1</v>
      </c>
      <c r="DJ5" s="412">
        <v>2</v>
      </c>
      <c r="DK5" s="412">
        <v>3</v>
      </c>
      <c r="DL5" s="412">
        <v>4</v>
      </c>
      <c r="DM5" s="14"/>
      <c r="DN5" s="475"/>
    </row>
    <row r="6" spans="1:118" x14ac:dyDescent="0.25">
      <c r="A6" s="74"/>
      <c r="B6" s="513"/>
      <c r="C6" s="260">
        <v>43270</v>
      </c>
      <c r="D6" s="261">
        <v>0.83333333333333337</v>
      </c>
      <c r="E6" s="262" t="s">
        <v>212</v>
      </c>
      <c r="F6" s="340" t="s">
        <v>19</v>
      </c>
      <c r="G6" s="243"/>
      <c r="H6" s="477">
        <v>1</v>
      </c>
      <c r="I6" s="477">
        <v>1</v>
      </c>
      <c r="J6" s="218"/>
      <c r="K6" s="365" t="s">
        <v>163</v>
      </c>
      <c r="L6" s="149">
        <f t="shared" si="1"/>
        <v>1</v>
      </c>
      <c r="M6" s="79"/>
      <c r="N6" s="48">
        <v>1</v>
      </c>
      <c r="O6" s="47" t="str">
        <f>VLOOKUP(N6,$AD$6:$AF$9,3,0)</f>
        <v>Uruguay</v>
      </c>
      <c r="P6" s="39">
        <f>VLOOKUP(O6,$AF$6:$AO$9,2,FALSE)</f>
        <v>9</v>
      </c>
      <c r="Q6" s="39">
        <f>VLOOKUP($O6,$AF$6:$AO$9,3,FALSE)</f>
        <v>3</v>
      </c>
      <c r="R6" s="39">
        <f>VLOOKUP($O6,$AF$6:$AO$9,4,FALSE)</f>
        <v>3</v>
      </c>
      <c r="S6" s="39">
        <f>VLOOKUP($O6,$AF$6:$AO$9,5,FALSE)</f>
        <v>0</v>
      </c>
      <c r="T6" s="39">
        <f>VLOOKUP($O6,$AF$6:$AO$9,6,FALSE)</f>
        <v>0</v>
      </c>
      <c r="U6" s="39">
        <f>VLOOKUP($O6,$AF$6:$AO$9,7,FALSE)</f>
        <v>7</v>
      </c>
      <c r="V6" s="39">
        <f>VLOOKUP($O6,$AF$6:$AO$9,8,FALSE)</f>
        <v>3</v>
      </c>
      <c r="W6" s="49">
        <f>VLOOKUP($O6,$AF$6:$AO$9,9,FALSE)</f>
        <v>4</v>
      </c>
      <c r="X6" s="28">
        <f>IF(SUM($AH$6:$AH$9)=12,MIN(ABS(BP5-BP6),ABS(BP6-BP7)),100)</f>
        <v>5030299999.9699993</v>
      </c>
      <c r="Y6" s="402" t="str">
        <f>IF(AND(X6&gt;=0,X6&lt;90),VLOOKUP(N6,$BL$6:$BM$9,2,0),"")</f>
        <v/>
      </c>
      <c r="Z6" s="405"/>
      <c r="AA6" s="28"/>
      <c r="AB6" s="28"/>
      <c r="AC6" s="413">
        <f>VLOOKUP($O6,$AF$6:$AO$9,10,FALSE)</f>
        <v>9040710999.9599991</v>
      </c>
      <c r="AD6" s="14">
        <f>RANK(AR6,$AR$6:$AR$9)</f>
        <v>2</v>
      </c>
      <c r="AE6" s="434">
        <f>RANK(AO6,$AO$6:$AO$9)</f>
        <v>2</v>
      </c>
      <c r="AF6" s="412" t="s">
        <v>19</v>
      </c>
      <c r="AG6" s="418">
        <f>AI6*3+AJ6*1+AK6*0</f>
        <v>4</v>
      </c>
      <c r="AH6" s="418">
        <f>COUNTIFS($F$4:$F$9,AF6,$H$4:$H$9,"&lt;&gt;",$I$4:$I$9,"&lt;&gt;")+COUNTIFS($K$4:$K$9,AF6,$I$4:$I$9,"&lt;&gt;",$H$4:$H$9,"&lt;&gt;")</f>
        <v>3</v>
      </c>
      <c r="AI6" s="418">
        <f t="array" ref="AI6">SUM((F$4:F$9=AF6)*(H$4:H$9&lt;&gt;"")*(I$4:I$9&lt;&gt;"")*(H$4:H$9&gt;I$4:I$9),(K$4:K$9=AF6)*(H$4:H$9&lt;&gt;"")*(I$4:I$9&lt;&gt;"")*(H$4:H$9&lt;I$4:I$9))</f>
        <v>1</v>
      </c>
      <c r="AJ6" s="418">
        <f t="array" ref="AJ6">SUM((F$4:F$9=AF6)*(H$4:H$9&lt;&gt;"")*(I$4:I$9&lt;&gt;"")*(H$4:H$9=I$4:I$9),(K$4:K$9=AF6)*(H$4:H$9&lt;&gt;"")*(I$4:I$9&lt;&gt;"")*(H$4:H$9=I$4:I$9))</f>
        <v>1</v>
      </c>
      <c r="AK6" s="418">
        <f t="array" ref="AK6">SUM((F$4:F$9=AF6)*(I$4:I$9&lt;&gt;"")*(H$4:H$9&lt;&gt;"")*(H$4:H$9&lt;I$4:I$9),(H$4:H$9&lt;&gt;"")*(K$4:K$9=AF6)*(I$4:I$9&lt;&gt;"")*(H$4:H$9&gt;I$4:I$9))</f>
        <v>1</v>
      </c>
      <c r="AL6" s="418">
        <f t="array" ref="AL6">SUMIFS($H$4:$H$9,$F$4:$F$9,AF6,$H$4:$H$9,"&lt;&gt;",$I$4:$I$9,"&lt;&gt;")+SUMIFS($I$4:$I$9,$K$4:$K$9,AF6,$H$4:$H$9,"&lt;&gt;",$I$4:$I$9,"&lt;&gt;")</f>
        <v>4</v>
      </c>
      <c r="AM6" s="418">
        <f t="array" ref="AM6">SUMIFS($H$4:$H$9,$K$4:$K$9,AF6,$H$4:$H$9,"&lt;&gt;",$I$4:$I$9,"&lt;&gt;")+SUMIFS($I$4:$I$9,$F$4:$F$9,AF6,$H$4:$H$9,"&lt;&gt;",$I$4:$I$9,"&lt;&gt;")</f>
        <v>3</v>
      </c>
      <c r="AN6" s="418">
        <f>AL6-AM6</f>
        <v>1</v>
      </c>
      <c r="AO6" s="418">
        <f>IF(AH6=0,-($AT$13*VLOOKUP(AF6,Tabla3[[ZfP4b()8G6b·$55Ma-t·%fv-ttyZxR-.R*+Fd]:[N!"kvfjM.%&amp;gk5kfmfvv)/%;V$&amp;VW]],2,FALSE)),AG6*$AT$7+AN6*$AT$8+AL6*$AT$9+AX6-($AT$13*VLOOKUP(AF6,Tabla3[[ZfP4b()8G6b·$55Ma-t·%fv-ttyZxR-.R*+Fd]:[N!"kvfjM.%&amp;gk5kfmfvv)/%;V$&amp;VW]],2,FALSE)/100))</f>
        <v>4010410999.9899998</v>
      </c>
      <c r="AP6" s="435">
        <f>AE6</f>
        <v>2</v>
      </c>
      <c r="AQ6" s="14"/>
      <c r="AR6" s="14">
        <f>IFERROR(AO6-VLOOKUP(AF6,$Y$6:$Z$9,2,0),AO6)</f>
        <v>4010410999.9899998</v>
      </c>
      <c r="AS6" s="436" t="s">
        <v>51</v>
      </c>
      <c r="AT6" s="437">
        <f>AT7*2</f>
        <v>2000000000</v>
      </c>
      <c r="AU6" s="14"/>
      <c r="AV6" s="438" t="str">
        <f>AF6</f>
        <v>Rusia</v>
      </c>
      <c r="AW6" s="418">
        <f>COUNTIF(AG6:AG9,AG6)</f>
        <v>2</v>
      </c>
      <c r="AX6" s="439">
        <f>(AY6*$AT$12)+(BE6*$AT$11)</f>
        <v>11000</v>
      </c>
      <c r="AY6" s="440">
        <f>RANK(AZ6,AZ6:AZ9,1)</f>
        <v>1</v>
      </c>
      <c r="AZ6" s="440">
        <f>SUM(IF(AND(AG6=AG7,AN6=AN7,AL6=AL7),BB6,0),IF(AND(AG6=AG8,AN6=AN8,AL6=AL8),BC6,0),IF(AND(AG6=AG9,AN6=AN9,AL6=AL9),BD6,0))</f>
        <v>0</v>
      </c>
      <c r="BA6" s="441">
        <v>0</v>
      </c>
      <c r="BB6" s="442">
        <f>H4</f>
        <v>2</v>
      </c>
      <c r="BC6" s="442">
        <f>H6</f>
        <v>1</v>
      </c>
      <c r="BD6" s="443">
        <f>I8</f>
        <v>1</v>
      </c>
      <c r="BE6" s="440">
        <f>RANK(BF6,BF6:BF9,1)</f>
        <v>1</v>
      </c>
      <c r="BF6" s="440">
        <f>SUM(IF(AND(AG6=AG7,AN6=AN7,AL6=AL7),BH6,0),IF(AND(AG6=AG8,AN6=AN8,AL6=AL8),BI6,0),IF(AND(AG6=AG9,AN6=AN9,AL6=AL9),BJ6,0))</f>
        <v>0</v>
      </c>
      <c r="BG6" s="441">
        <v>0</v>
      </c>
      <c r="BH6" s="442">
        <f>BB6-BA7</f>
        <v>2</v>
      </c>
      <c r="BI6" s="442">
        <f>BC6-BA8</f>
        <v>0</v>
      </c>
      <c r="BJ6" s="443">
        <f>BD6-BA9</f>
        <v>-1</v>
      </c>
      <c r="BK6" s="410">
        <v>1</v>
      </c>
      <c r="BL6" s="412">
        <f>RANK(BN6,$BN$6:$BN$9)</f>
        <v>2</v>
      </c>
      <c r="BM6" s="412" t="s">
        <v>19</v>
      </c>
      <c r="BN6" s="412">
        <f>IF(AH6=0,-($AT$13*VLOOKUP(AF6,Tabla3[[ZfP4b()8G6b·$55Ma-t·%fv-ttyZxR-.R*+Fd]:[N!"kvfjM.%&amp;gk5kfmfvv)/%;V$&amp;VW]],2,FALSE)),AG6*$AT$7+AN6*$AT$8+AL6*$AT$9+AX6-($AT$13*VLOOKUP(AF6,Tabla3[[ZfP4b()8G6b·$55Ma-t·%fv-ttyZxR-.R*+Fd]:[N!"kvfjM.%&amp;gk5kfmfvv)/%;V$&amp;VW]],2,FALSE)/100))</f>
        <v>4010410999.9899998</v>
      </c>
      <c r="BO6" s="412" t="str">
        <f>VLOOKUP(N6,$AE$6:$AF$9,2,0)</f>
        <v>Uruguay</v>
      </c>
      <c r="BP6" s="412">
        <f>VLOOKUP($BO6,$AF$6:$AO$9,10,FALSE)</f>
        <v>9040710999.9599991</v>
      </c>
      <c r="BQ6" s="410"/>
      <c r="BR6" s="412">
        <v>1</v>
      </c>
      <c r="BS6" s="412" t="str">
        <f>VLOOKUP(BR6,$AE$6:$AF$9,2,0)</f>
        <v>Uruguay</v>
      </c>
      <c r="BT6" s="412">
        <f>VLOOKUP(BS6,$AF$6:$AO$9,2,FALSE)</f>
        <v>9</v>
      </c>
      <c r="BU6" s="444">
        <f>IF(SUM($AH$6:$AH$9)=12,MIN(ABS(BP5-BP6),ABS(BP6-BP7)),100)</f>
        <v>5030299999.9699993</v>
      </c>
      <c r="BV6" s="412">
        <f>VLOOKUP($BS6,$AF$6:$AO$9,9,FALSE)</f>
        <v>4</v>
      </c>
      <c r="BW6" s="412">
        <f>VLOOKUP($BS6,$AF$6:$AO$9,7,FALSE)</f>
        <v>7</v>
      </c>
      <c r="BX6" s="410">
        <f>IF($BY$6=$CA$5,$DC$5:$DC$8,IF($BY$6=$CB$5,$DD$5:$DD$7,IF(OR($BY$6=$CC$5,$BY$6=$CD$5),$DE$5:$DE$6,$DI$5)))</f>
        <v>1</v>
      </c>
      <c r="BY6" s="418" t="str">
        <f>IFERROR(HLOOKUP(4,CA4:CX5,2,0),CH5)</f>
        <v>COM_8</v>
      </c>
      <c r="BZ6" s="14">
        <v>1</v>
      </c>
      <c r="CA6" s="418">
        <f t="array" ref="CA6">IF(AND($BT$6:$BT$9=$BT$6,$BU$6:$BU$9&lt;90,$AN$6:$AN$9=$AN$6,$BW$6:$BW$9=$BW$6),1,0)</f>
        <v>0</v>
      </c>
      <c r="CB6" s="418">
        <f t="array" ref="CB6">IF(AND($BT$6:$BT$8=$BT$6,$BU$6:$BU$8&lt;90,$BT$6&lt;&gt;$BT$9),1,0)</f>
        <v>0</v>
      </c>
      <c r="CC6" s="418">
        <f t="array" ref="CC6">IF(AND($BT$6:$BT$7=$BT$6,$BU$6:$BU$7&lt;90,$BT$6&lt;&gt;$BT$8),1,0)</f>
        <v>0</v>
      </c>
      <c r="CD6" s="418">
        <f t="array" ref="CD6">IF(AND($BT$6:$BT$7=$BT$6,$BU$6:$BU$7&lt;90,$BT$6&lt;&gt;$BT$8),1,0)</f>
        <v>0</v>
      </c>
      <c r="CE6" s="418">
        <f t="array" ref="CE6">IF(AND($BT$7:$BT$9=$BT$7,$BU$7:$BU$9&lt;90,$BT$6&lt;&gt;$BT$7),1,0)</f>
        <v>0</v>
      </c>
      <c r="CF6" s="418">
        <f t="array" ref="CF6">IF(AND($BT$6&lt;&gt;$BT$7,$BT$6&lt;&gt;$BT$9),1,0)</f>
        <v>1</v>
      </c>
      <c r="CG6" s="418">
        <f t="array" ref="CG6">IF(AND($BT$6&lt;&gt;$BT$7,$BT$6&lt;&gt;$BT$9),1,0)</f>
        <v>1</v>
      </c>
      <c r="CH6" s="418">
        <f t="array" ref="CH6">IF(AND($BT$6&lt;&gt;$BT$7,$BT$6&lt;&gt;$BT$9),1,0)</f>
        <v>1</v>
      </c>
      <c r="CI6" s="418">
        <f t="array" ref="CI6">IF(AND($BT$6:$BT$9=$BT$6,$BU$6:$BU$9&lt;90,$BV$6:$BV$7=$BV$6,$BV$6&lt;&gt;$BV$8),1,0)</f>
        <v>0</v>
      </c>
      <c r="CJ6" s="418">
        <f t="array" ref="CJ6">IF(AND($BT$6:$BT$9=$BT$6,$BU$6:$BU$9&lt;90,$BV$6:$BV$9=$BV$6,$BW$6=$BW$7,$BW$6&lt;&gt;$BW$8),1,0)</f>
        <v>0</v>
      </c>
      <c r="CK6" s="418">
        <f t="array" ref="CK6">IF(AND($BT$6:$BT$8=$BT$6,$BU$6:$BU$7&lt;90,$BU$8&gt;90),1,0)</f>
        <v>0</v>
      </c>
      <c r="CL6" s="418">
        <f t="array" ref="CL6">IF(AND($BT$6&lt;&gt;$BT$7,$BT$6&lt;&gt;$BT$8),1,0)</f>
        <v>1</v>
      </c>
      <c r="CM6" s="418">
        <f t="array" ref="CM6">IF(AND($BT$6&lt;&gt;$BT$7,$BT$6&lt;&gt;$BT$8),1,0)</f>
        <v>1</v>
      </c>
      <c r="CN6" s="418">
        <f t="array" ref="CN6">IF(AND($BT$6&lt;&gt;$BT$9,$BT$6:$BT$8=$BT$6,$BU$6&gt;90,$BU$7:$BU$8&lt;90),1,0)</f>
        <v>0</v>
      </c>
      <c r="CO6" s="418">
        <f t="array" ref="CO6">IF(AND($BT$6:$BT$9=$BT$6,$BU$7:$BU$9&lt;90,$BU$6&lt;&gt;$BU$7),1,0)</f>
        <v>0</v>
      </c>
      <c r="CP6" s="418">
        <f t="array" ref="CP6">IF(AND($BT$6:$BT$9=$BT$6,$BU$6:$BU$8&lt;90,$BU$6&lt;&gt;$BU$9),1,0)</f>
        <v>0</v>
      </c>
      <c r="CQ6" s="418">
        <f t="array" ref="CQ6">IF(AND($BT$6:$BT$9=$BT$6,$BU$6:$BU$7&gt;90,$BU$8:$BU$9&lt;90,$BV$6:$BV$9=$BV$6,$BW$6&gt;$BW$7,$BW$6&gt;$BW$8,$BW$6&gt;$BW$9),1,0)</f>
        <v>0</v>
      </c>
      <c r="CR6" s="418">
        <f t="array" ref="CR6">IF(AND($BT$6:$BT$9=$BT$6,$BU$6&gt;90,$BU$7:$BU$8&lt;90,$BU$9&gt;90,$BV$6:$BV$9=$BV$6,$BW$6&gt;$BW$7,$BW$6&gt;$BW$8,$BW$6&gt;$BW$9),1,0)</f>
        <v>0</v>
      </c>
      <c r="CS6" s="418">
        <f t="array" ref="CS6">IF(AND($BT$6:$BT$9=$BT$6,$BU$6:$BU$7&lt;90,$BU$8:$BU$9&gt;90,$BV$6:$BV$9=$BV$6,$BW$6=$BW$7,$BW$6&gt;$BW$8,$BW$6&gt;$BW$9),1,0)</f>
        <v>0</v>
      </c>
      <c r="CT6" s="418">
        <f t="array" ref="CT6">IF(AND($BT$6:$BT$9=$BT$6,$BU$6:$BU$7&gt;90,$BU$8:$BU$9&lt;90,$BV$6:$BV$9=$BV$6,$BW$6&gt;$BW$7,$BW$7:$BW$9=$BW$7),1,0)</f>
        <v>0</v>
      </c>
      <c r="CU6" s="418">
        <f t="array" ref="CU6">IF(AND($BT$6:$BT$9=$BT$6,$BU$6:$BU$7&lt;90,$BU$8:$BU$9&gt;90,$BV$6:$BV$9=$BV$6,$BW$6:$BW$8=$BW$6,$BW$6&gt;$BW$9),1,0)</f>
        <v>0</v>
      </c>
      <c r="CV6" s="418">
        <f t="array" ref="CV6">IF(AND($BT$6:$BT$9=$BT$6,$BU$6&gt;90,$BU$9&gt;90,$BU$7:$BU$8&lt;90,$BV$6:$BV$9=$BV$6,$BW$6&gt;$BW$7:$BW$9),1,0)</f>
        <v>0</v>
      </c>
      <c r="CW6" s="418"/>
      <c r="CX6" s="418"/>
      <c r="CY6" s="14"/>
      <c r="CZ6" s="14"/>
      <c r="DA6" s="14"/>
      <c r="DB6" s="14"/>
      <c r="DC6" s="412">
        <v>2</v>
      </c>
      <c r="DD6" s="412">
        <v>2</v>
      </c>
      <c r="DE6" s="412">
        <v>2</v>
      </c>
      <c r="DF6" s="412">
        <v>3</v>
      </c>
      <c r="DG6" s="412">
        <v>4</v>
      </c>
      <c r="DH6" s="412">
        <v>3</v>
      </c>
      <c r="DI6" s="412"/>
      <c r="DJ6" s="412"/>
      <c r="DK6" s="412"/>
      <c r="DL6" s="412"/>
      <c r="DM6" s="14"/>
      <c r="DN6" s="475"/>
    </row>
    <row r="7" spans="1:118" x14ac:dyDescent="0.25">
      <c r="A7" s="74"/>
      <c r="B7" s="513"/>
      <c r="C7" s="260">
        <v>43271</v>
      </c>
      <c r="D7" s="261">
        <v>0.70833333333333337</v>
      </c>
      <c r="E7" s="262" t="s">
        <v>101</v>
      </c>
      <c r="F7" s="340" t="s">
        <v>162</v>
      </c>
      <c r="G7" s="243"/>
      <c r="H7" s="477">
        <v>2</v>
      </c>
      <c r="I7" s="477">
        <v>1</v>
      </c>
      <c r="J7" s="219"/>
      <c r="K7" s="365" t="s">
        <v>172</v>
      </c>
      <c r="L7" s="149">
        <f t="shared" si="1"/>
        <v>1</v>
      </c>
      <c r="M7" s="79"/>
      <c r="N7" s="48">
        <v>2</v>
      </c>
      <c r="O7" s="47" t="str">
        <f>VLOOKUP(N7,$AD$6:$AF$9,3,0)</f>
        <v>Rusia</v>
      </c>
      <c r="P7" s="39">
        <f>VLOOKUP(O7,$AF$6:$AO$9,2,FALSE)</f>
        <v>4</v>
      </c>
      <c r="Q7" s="39">
        <f>VLOOKUP($O7,$AF$6:$AO$9,3,FALSE)</f>
        <v>3</v>
      </c>
      <c r="R7" s="39">
        <f>VLOOKUP($O7,$AF$6:$AO$9,4,FALSE)</f>
        <v>1</v>
      </c>
      <c r="S7" s="39">
        <f>VLOOKUP($O7,$AF$6:$AO$9,5,FALSE)</f>
        <v>1</v>
      </c>
      <c r="T7" s="39">
        <f>VLOOKUP($O7,$AF$6:$AO$9,6,FALSE)</f>
        <v>1</v>
      </c>
      <c r="U7" s="39">
        <f>VLOOKUP($O7,$AF$6:$AO$9,7,FALSE)</f>
        <v>4</v>
      </c>
      <c r="V7" s="39">
        <f>VLOOKUP($O7,$AF$6:$AO$9,8,FALSE)</f>
        <v>3</v>
      </c>
      <c r="W7" s="49">
        <f>VLOOKUP($O7,$AF$6:$AO$9,9,FALSE)</f>
        <v>1</v>
      </c>
      <c r="X7" s="28">
        <f t="shared" ref="X7:X9" si="3">IF(SUM($AH$6:$AH$9)=12,MIN(ABS(BP6-BP7),ABS(BP7-BP8)),100)</f>
        <v>9900000.0199999809</v>
      </c>
      <c r="Y7" s="402" t="str">
        <f>IF(AND(X7&gt;=0,X7&lt;90),VLOOKUP(N7,$BL$6:$BM$9,2,0),"")</f>
        <v/>
      </c>
      <c r="Z7" s="406"/>
      <c r="AA7" s="29"/>
      <c r="AB7" s="29"/>
      <c r="AC7" s="413">
        <f t="shared" ref="AC7:AC9" si="4">VLOOKUP($O7,$AF$6:$AO$9,10,FALSE)</f>
        <v>4010410999.9899998</v>
      </c>
      <c r="AD7" s="14">
        <f t="shared" ref="AD7:AD9" si="5">RANK(AR7,$AR$6:$AR$9)</f>
        <v>4</v>
      </c>
      <c r="AE7" s="434">
        <f>RANK(AO7,$AO$6:$AO$9)</f>
        <v>4</v>
      </c>
      <c r="AF7" s="412" t="s">
        <v>172</v>
      </c>
      <c r="AG7" s="418">
        <f>AI7*3+AJ7*1+AK7*0</f>
        <v>0</v>
      </c>
      <c r="AH7" s="418">
        <f t="shared" ref="AH7:AH9" si="6">COUNTIFS($F$4:$F$9,AF7,$H$4:$H$9,"&lt;&gt;",$I$4:$I$9,"&lt;&gt;")+COUNTIFS($K$4:$K$9,AF7,$I$4:$I$9,"&lt;&gt;",$H$4:$H$9,"&lt;&gt;")</f>
        <v>3</v>
      </c>
      <c r="AI7" s="418">
        <f t="array" ref="AI7">SUM((F$4:F$9=AF7)*(H$4:H$9&lt;&gt;"")*(I$4:I$9&lt;&gt;"")*(H$4:H$9&gt;I$4:I$9),(K$4:K$9=AF7)*(H$4:H$9&lt;&gt;"")*(I$4:I$9&lt;&gt;"")*(H$4:H$9&lt;I$4:I$9))</f>
        <v>0</v>
      </c>
      <c r="AJ7" s="418">
        <f t="array" ref="AJ7">SUM((F$4:F$9=AF7)*(H$4:H$9&lt;&gt;"")*(I$4:I$9&lt;&gt;"")*(H$4:H$9=I$4:I$9),(K$4:K$9=AF7)*(H$4:H$9&lt;&gt;"")*(I$4:I$9&lt;&gt;"")*(H$4:H$9=I$4:I$9))</f>
        <v>0</v>
      </c>
      <c r="AK7" s="418">
        <f t="array" ref="AK7">SUM((F$4:F$9=AF7)*(I$4:I$9&lt;&gt;"")*(H$4:H$9&lt;&gt;"")*(H$4:H$9&lt;I$4:I$9),(H$4:H$9&lt;&gt;"")*(K$4:K$9=AF7)*(I$4:I$9&lt;&gt;"")*(H$4:H$9&gt;I$4:I$9))</f>
        <v>3</v>
      </c>
      <c r="AL7" s="418">
        <f t="array" ref="AL7">SUMIFS($H$4:$H$9,$F$4:$F$9,AF7,$H$4:$H$9,"&lt;&gt;",$I$4:$I$9,"&lt;&gt;")+SUMIFS($I$4:$I$9,$K$4:$K$9,AF7,$H$4:$H$9,"&lt;&gt;",$I$4:$I$9,"&lt;&gt;")</f>
        <v>2</v>
      </c>
      <c r="AM7" s="418">
        <f t="array" ref="AM7">SUMIFS($H$4:$H$9,$K$4:$K$9,AF7,$H$4:$H$9,"&lt;&gt;",$I$4:$I$9,"&lt;&gt;")+SUMIFS($I$4:$I$9,$F$4:$F$9,AF7,$H$4:$H$9,"&lt;&gt;",$I$4:$I$9,"&lt;&gt;")</f>
        <v>7</v>
      </c>
      <c r="AN7" s="418">
        <f>AL7-AM7</f>
        <v>-5</v>
      </c>
      <c r="AO7" s="418">
        <f>IF(AH7=0,-($AT$13*VLOOKUP(AF7,Tabla3[[ZfP4b()8G6b·$55Ma-t·%fv-ttyZxR-.R*+Fd]:[N!"kvfjM.%&amp;gk5kfmfvv)/%;V$&amp;VW]],2,FALSE)),AG7*$AT$7+AN7*$AT$8+AL7*$AT$9+AX7-($AT$13*VLOOKUP(AF7,Tabla3[[ZfP4b()8G6b·$55Ma-t·%fv-ttyZxR-.R*+Fd]:[N!"kvfjM.%&amp;gk5kfmfvv)/%;V$&amp;VW]],2,FALSE)/100))</f>
        <v>-49789000.020000003</v>
      </c>
      <c r="AP7" s="435">
        <f>AE7</f>
        <v>4</v>
      </c>
      <c r="AQ7" s="14"/>
      <c r="AR7" s="14">
        <f t="shared" ref="AR7:AR9" si="7">IFERROR(AO7-VLOOKUP(AF7,$Y$6:$Z$9,2,0),AO7)</f>
        <v>-49789000.020000003</v>
      </c>
      <c r="AS7" s="436" t="s">
        <v>55</v>
      </c>
      <c r="AT7" s="437">
        <f>AT8*100</f>
        <v>1000000000</v>
      </c>
      <c r="AU7" s="14"/>
      <c r="AV7" s="438" t="str">
        <f>AF7</f>
        <v>Arabia Saudí</v>
      </c>
      <c r="AW7" s="418">
        <f>COUNTIF(AG6:AG9,AG7)</f>
        <v>1</v>
      </c>
      <c r="AX7" s="439">
        <f>(AY7*$AT$12)+(BE7*$AT$11)</f>
        <v>11000</v>
      </c>
      <c r="AY7" s="440">
        <f>RANK(AZ7,AZ6:AZ9,1)</f>
        <v>1</v>
      </c>
      <c r="AZ7" s="440">
        <f>SUM(IF(AND(AG7=AG8,AN7=AN8,AL7=AL8),BC7,0),IF(AND(AG7=AG9,AN7=AN9,AL7=AL9),BD7,0),IF(AND(AG7=AG6,AN7=AN6,AL7=AL6),BA7,0))</f>
        <v>0</v>
      </c>
      <c r="BA7" s="441">
        <f>I4</f>
        <v>0</v>
      </c>
      <c r="BB7" s="442">
        <v>0</v>
      </c>
      <c r="BC7" s="442">
        <f>H9</f>
        <v>1</v>
      </c>
      <c r="BD7" s="443">
        <f>I7</f>
        <v>1</v>
      </c>
      <c r="BE7" s="440">
        <f>RANK(BF7,BF6:BF9,1)</f>
        <v>1</v>
      </c>
      <c r="BF7" s="440">
        <f>SUM(IF(AND(AG7=AG8,AN7=AN8,AL7=AL8),BI7,0),IF(AND(AG7=AG9,AN7=AN9,AL7=AL9),BJ7,0),IF(AND(AG7=AG6,AN7=AN6,AL7=AL6),BG7,0))</f>
        <v>0</v>
      </c>
      <c r="BG7" s="441">
        <f>BA7-BB6</f>
        <v>-2</v>
      </c>
      <c r="BH7" s="442">
        <v>0</v>
      </c>
      <c r="BI7" s="442">
        <f>BC7-BB8</f>
        <v>-2</v>
      </c>
      <c r="BJ7" s="443">
        <f>BD7-BB9</f>
        <v>-1</v>
      </c>
      <c r="BK7" s="410">
        <v>2</v>
      </c>
      <c r="BL7" s="412">
        <f t="shared" ref="BL7:BL9" si="8">RANK(BN7,$BN$6:$BN$9)</f>
        <v>4</v>
      </c>
      <c r="BM7" s="412" t="s">
        <v>172</v>
      </c>
      <c r="BN7" s="412">
        <f>IF(AH7=0,-($AT$13*VLOOKUP(AF7,Tabla3[[ZfP4b()8G6b·$55Ma-t·%fv-ttyZxR-.R*+Fd]:[N!"kvfjM.%&amp;gk5kfmfvv)/%;V$&amp;VW]],2,FALSE)),AG7*$AT$7+AN7*$AT$8+AL7*$AT$9+AX7-($AT$13*VLOOKUP(AF7,Tabla3[[ZfP4b()8G6b·$55Ma-t·%fv-ttyZxR-.R*+Fd]:[N!"kvfjM.%&amp;gk5kfmfvv)/%;V$&amp;VW]],2,FALSE)/100))</f>
        <v>-49789000.020000003</v>
      </c>
      <c r="BO7" s="412" t="str">
        <f t="shared" ref="BO7:BO9" si="9">VLOOKUP(N7,$AE$6:$AF$9,2,0)</f>
        <v>Rusia</v>
      </c>
      <c r="BP7" s="412">
        <f t="shared" ref="BP7:BP9" si="10">VLOOKUP($BO7,$AF$6:$AO$9,10,FALSE)</f>
        <v>4010410999.9899998</v>
      </c>
      <c r="BQ7" s="410"/>
      <c r="BR7" s="412">
        <v>2</v>
      </c>
      <c r="BS7" s="412" t="str">
        <f t="shared" ref="BS7:BS9" si="11">VLOOKUP(BR7,$AE$6:$AF$9,2,0)</f>
        <v>Rusia</v>
      </c>
      <c r="BT7" s="412">
        <f t="shared" ref="BT7:BT9" si="12">VLOOKUP(BS7,$AF$6:$AO$9,2,FALSE)</f>
        <v>4</v>
      </c>
      <c r="BU7" s="444">
        <f t="shared" ref="BU7:BU9" si="13">IF(SUM($AH$6:$AH$9)=12,MIN(ABS(BP6-BP7),ABS(BP7-BP8)),100)</f>
        <v>9900000.0199999809</v>
      </c>
      <c r="BV7" s="412">
        <f t="shared" ref="BV7:BV9" si="14">VLOOKUP($BS7,$AF$6:$AO$9,9,FALSE)</f>
        <v>1</v>
      </c>
      <c r="BW7" s="412">
        <f t="shared" ref="BW7:BW9" si="15">VLOOKUP($BS7,$AF$6:$AO$9,7,FALSE)</f>
        <v>4</v>
      </c>
      <c r="BX7" s="410">
        <f>IF($BY$6=$CA$5,$DC$5:$DC$8,IF($BY$6=$CB$5,$DD$5:$DD$7,IF(OR($BY$6=$CC$5,$BY$6=$CD$5),$DE$5:$DE$6,IF($BY$6=$CE$5,$DF$5:$DF$7,(IF($BY$6=$CF$5,$DH$5:$DH$6,$DJ$5))))))</f>
        <v>2</v>
      </c>
      <c r="BY7" s="14"/>
      <c r="BZ7" s="14">
        <v>2</v>
      </c>
      <c r="CA7" s="418">
        <f t="array" ref="CA7">IF(AND($BT$6:$BT$9=$BT$7,$BU$6:$BU$9&lt;90,$AN$6:$AN$9=$AN$7,$BW$6:$BW$9=$BW$7),1,0)</f>
        <v>0</v>
      </c>
      <c r="CB7" s="418">
        <f t="array" ref="CB7">IF(AND($BT$6:$BT$8=$BT$7,$BU$6:$BU$8&lt;90,$BT$7&lt;&gt;$BT$9),1,0)</f>
        <v>0</v>
      </c>
      <c r="CC7" s="418">
        <f t="array" ref="CC7">IF(AND($BT$6:$BT$7=$BT$6,$BU$6:$BU$7&lt;90,$BT$6&lt;&gt;$BT$8),1,0)</f>
        <v>0</v>
      </c>
      <c r="CD7" s="418">
        <f t="array" ref="CD7">IF(AND($BT$6:$BT$7=$BT$6,$BU$6:$BU$7&lt;90,$BT$6&lt;&gt;$BT$8),1,0)</f>
        <v>0</v>
      </c>
      <c r="CE7" s="418">
        <f t="array" ref="CE7">IF(AND($BT$7:$BT$9=$BT$7,$BU$7:$BU$9&lt;90,$BT$6&lt;&gt;$BT$7),1,0)</f>
        <v>0</v>
      </c>
      <c r="CF7" s="418">
        <f t="array" ref="CF7">IF(AND($BT$7:$BT$8=$BT$7,$BU$7:$BU$8&lt;90,$BT$7&lt;&gt;$BT$6,$BT$7&lt;&gt;$BT$9),1,0)</f>
        <v>0</v>
      </c>
      <c r="CG7" s="418">
        <f t="array" ref="CG7">IF(AND($BT$7&lt;&gt;$BT$6,$BT$7&lt;&gt;$BT$8),1,0)</f>
        <v>0</v>
      </c>
      <c r="CH7" s="418">
        <f t="array" ref="CH7">IF(AND($BT$7&lt;&gt;$BT$6,$BT$7&lt;&gt;$BT$8),1,0)</f>
        <v>0</v>
      </c>
      <c r="CI7" s="418">
        <f t="array" ref="CI7">IF(AND($BT$6:$BT$9=$BT$6,$BU$6:$BU$9&lt;90,$BV$6:$BV$7=$BV$6,$BV$7&lt;&gt;$BV$8),1,0)</f>
        <v>0</v>
      </c>
      <c r="CJ7" s="418">
        <f t="array" ref="CJ7">IF(AND($BT$6:$BT$9=$BT$6,$BU$6:$BU$9&lt;90,$BV$6:$BV$9=$BV$6,$BW$6=$BW$7,$BW$7&lt;&gt;$BW$8),1,0)</f>
        <v>0</v>
      </c>
      <c r="CK7" s="418">
        <f t="array" ref="CK7">IF(AND($BT$6:$BT$8=$BT$7,$BU$6:$BU$7&lt;90,$BU$8&gt;90),1,0)</f>
        <v>0</v>
      </c>
      <c r="CL7" s="418">
        <f t="array" ref="CL7">IF(AND($BT$7&lt;&gt;$BT$6,$BT$7:$BT$9=$BT$7,$BU$7&gt;90,$BU$8:$BU$9&lt;90),1,0)</f>
        <v>0</v>
      </c>
      <c r="CM7" s="418">
        <f t="array" ref="CM7">IF(AND($BT$7&lt;&gt;$BT$6,$BT$7:$BT$9=$BT$7,$BU$9&gt;90,$BU$7:$BU$8&lt;90),1,0)</f>
        <v>0</v>
      </c>
      <c r="CN7" s="418">
        <f t="array" ref="CN7">IF(AND($BT$7&lt;&gt;$BT$9,$BT$6:$BT$8=$BT$7,$BU$6&gt;90,$BU$7:$BU$8&lt;90),1,0)</f>
        <v>0</v>
      </c>
      <c r="CO7" s="418">
        <f t="array" ref="CO7">IF(AND($BT$6:$BT$9=$BT$7,$BU$7:$BU$9&lt;90,$BU$6&lt;&gt;$BU$7),1,0)</f>
        <v>0</v>
      </c>
      <c r="CP7" s="418">
        <f t="array" ref="CP7">IF(AND($BT$6:$BT$9=$BT$7,$BU$6:$BU$8&lt;90,$BU$7&lt;&gt;$BU$9),1,0)</f>
        <v>0</v>
      </c>
      <c r="CQ7" s="418">
        <f t="array" ref="CQ7">IF(AND($BT$6:$BT$9=$BT$7,$BU$6:$BU$7&gt;90,$BU$8:$BU$9&lt;90,$BV$6:$BV$9=$BV$7,$BW$6&gt;$BW$7,$BW$7&gt;$BW$8,$BW$7&gt;$BW$9),1,0)</f>
        <v>0</v>
      </c>
      <c r="CR7" s="418">
        <f t="array" ref="CR7">IF(AND($BT$6:$BT$9=$BT$7,$BU$6&gt;90,$BU$7:$BU$8&lt;90,$BU$9&gt;90,$BV$6:$BV$9=$BV$7,$BW$6&gt;$BW$7,$BW$7=$BW$8,$BW$7&gt;$BW$9),1,0)</f>
        <v>0</v>
      </c>
      <c r="CS7" s="418">
        <f t="array" ref="CS7">IF(AND($BT$6:$BT$9=$BT$7,$BU$6:$BU$7&lt;90,$BU$8:$BU$9&gt;90,$BV$6:$BV$9=$BV$7,$BW$6=$BW$7,$BW$7&gt;$BW$8,$BW$7&gt;$BW$9),1,0)</f>
        <v>0</v>
      </c>
      <c r="CT7" s="418">
        <f t="array" ref="CT7">IF(AND($BT$6:$BT$9=$BT$7,$BU$6:$BU$7&gt;90,$BU$8:$BU$9&lt;90,$BV$6:$BV$9=$BV$7,$BW$6&gt;$BW$7,$BW$7:$BW$9=$BW$7),1,0)</f>
        <v>0</v>
      </c>
      <c r="CU7" s="418">
        <f t="array" ref="CU7">IF(AND($BT$6:$BT$9=$BT$7,$BU$6:$BU$7&lt;90,$BU$8:$BU$9&gt;90,$BV$6:$BV$9=$BV$7,$BW$6:$BW$8=$BW$7,$BW$7&gt;$BW$9),1,0)</f>
        <v>0</v>
      </c>
      <c r="CV7" s="418">
        <f t="array" ref="CV7">IF(AND($BT$6:$BT$9=$BT$7,$BU$6&gt;90,$BU$9&gt;90,$BU$7:$BU$8&lt;90,$BV$6:$BV$9=$BV$7,$BW$6&gt;$BW$7:$BW$9,$BW$7:$BW$9=$BW$7),1,0)</f>
        <v>0</v>
      </c>
      <c r="CW7" s="418"/>
      <c r="CX7" s="418"/>
      <c r="CY7" s="14"/>
      <c r="CZ7" s="14"/>
      <c r="DA7" s="14"/>
      <c r="DB7" s="14"/>
      <c r="DC7" s="412">
        <v>3</v>
      </c>
      <c r="DD7" s="412">
        <v>3</v>
      </c>
      <c r="DE7" s="412"/>
      <c r="DF7" s="412">
        <v>4</v>
      </c>
      <c r="DG7" s="412"/>
      <c r="DH7" s="412"/>
      <c r="DI7" s="412"/>
      <c r="DJ7" s="412"/>
      <c r="DK7" s="412"/>
      <c r="DL7" s="412"/>
      <c r="DM7" s="14"/>
      <c r="DN7" s="475"/>
    </row>
    <row r="8" spans="1:118" x14ac:dyDescent="0.25">
      <c r="A8" s="74"/>
      <c r="B8" s="513"/>
      <c r="C8" s="260">
        <v>43276</v>
      </c>
      <c r="D8" s="261">
        <v>0.66666666666666663</v>
      </c>
      <c r="E8" s="262" t="s">
        <v>102</v>
      </c>
      <c r="F8" s="340" t="s">
        <v>162</v>
      </c>
      <c r="G8" s="243"/>
      <c r="H8" s="477">
        <v>2</v>
      </c>
      <c r="I8" s="477">
        <v>1</v>
      </c>
      <c r="J8" s="218"/>
      <c r="K8" s="365" t="s">
        <v>19</v>
      </c>
      <c r="L8" s="149">
        <f t="shared" si="1"/>
        <v>1</v>
      </c>
      <c r="M8" s="79"/>
      <c r="N8" s="40">
        <v>3</v>
      </c>
      <c r="O8" s="38" t="str">
        <f>VLOOKUP(N8,$AD$6:$AF$9,3,0)</f>
        <v>Egipto</v>
      </c>
      <c r="P8" s="39">
        <f>VLOOKUP(O8,$AF$6:$AO$9,2,FALSE)</f>
        <v>4</v>
      </c>
      <c r="Q8" s="37">
        <f>VLOOKUP($O8,$AF$6:$AO$9,3,FALSE)</f>
        <v>3</v>
      </c>
      <c r="R8" s="37">
        <f>VLOOKUP($O8,$AF$6:$AO$9,4,FALSE)</f>
        <v>1</v>
      </c>
      <c r="S8" s="37">
        <f>VLOOKUP($O8,$AF$6:$AO$9,5,FALSE)</f>
        <v>1</v>
      </c>
      <c r="T8" s="37">
        <f>VLOOKUP($O8,$AF$6:$AO$9,6,FALSE)</f>
        <v>1</v>
      </c>
      <c r="U8" s="37">
        <f>VLOOKUP($O8,$AF$6:$AO$9,7,FALSE)</f>
        <v>5</v>
      </c>
      <c r="V8" s="37">
        <f>VLOOKUP($O8,$AF$6:$AO$9,8,FALSE)</f>
        <v>5</v>
      </c>
      <c r="W8" s="45">
        <f>VLOOKUP($O8,$AF$6:$AO$9,9,FALSE)</f>
        <v>0</v>
      </c>
      <c r="X8" s="28">
        <f t="shared" si="3"/>
        <v>9900000.0199999809</v>
      </c>
      <c r="Y8" s="402" t="str">
        <f>IF(AND(X8&gt;=0,X8&lt;90),VLOOKUP(N8,$BL$6:$BM$9,2,0),"")</f>
        <v/>
      </c>
      <c r="Z8" s="406"/>
      <c r="AA8" s="29"/>
      <c r="AB8" s="29"/>
      <c r="AC8" s="413">
        <f t="shared" si="4"/>
        <v>4000510999.9699998</v>
      </c>
      <c r="AD8" s="14">
        <f t="shared" si="5"/>
        <v>3</v>
      </c>
      <c r="AE8" s="434">
        <f>RANK(AO8,$AO$6:$AO$9)</f>
        <v>3</v>
      </c>
      <c r="AF8" s="412" t="s">
        <v>163</v>
      </c>
      <c r="AG8" s="418">
        <f>AI8*3+AJ8*1+AK8*0</f>
        <v>4</v>
      </c>
      <c r="AH8" s="418">
        <f t="shared" si="6"/>
        <v>3</v>
      </c>
      <c r="AI8" s="418">
        <f t="array" ref="AI8">SUM((F$4:F$9=AF8)*(H$4:H$9&lt;&gt;"")*(I$4:I$9&lt;&gt;"")*(H$4:H$9&gt;I$4:I$9),(K$4:K$9=AF8)*(H$4:H$9&lt;&gt;"")*(I$4:I$9&lt;&gt;"")*(H$4:H$9&lt;I$4:I$9))</f>
        <v>1</v>
      </c>
      <c r="AJ8" s="418">
        <f t="array" ref="AJ8">SUM((F$4:F$9=AF8)*(H$4:H$9&lt;&gt;"")*(I$4:I$9&lt;&gt;"")*(H$4:H$9=I$4:I$9),(K$4:K$9=AF8)*(H$4:H$9&lt;&gt;"")*(I$4:I$9&lt;&gt;"")*(H$4:H$9=I$4:I$9))</f>
        <v>1</v>
      </c>
      <c r="AK8" s="418">
        <f t="array" ref="AK8">SUM((F$4:F$9=AF8)*(I$4:I$9&lt;&gt;"")*(H$4:H$9&lt;&gt;"")*(H$4:H$9&lt;I$4:I$9),(H$4:H$9&lt;&gt;"")*(K$4:K$9=AF8)*(I$4:I$9&lt;&gt;"")*(H$4:H$9&gt;I$4:I$9))</f>
        <v>1</v>
      </c>
      <c r="AL8" s="418">
        <f t="array" ref="AL8">SUMIFS($H$4:$H$9,$F$4:$F$9,AF8,$H$4:$H$9,"&lt;&gt;",$I$4:$I$9,"&lt;&gt;")+SUMIFS($I$4:$I$9,$K$4:$K$9,AF8,$H$4:$H$9,"&lt;&gt;",$I$4:$I$9,"&lt;&gt;")</f>
        <v>5</v>
      </c>
      <c r="AM8" s="418">
        <f t="array" ref="AM8">SUMIFS($H$4:$H$9,$K$4:$K$9,AF8,$H$4:$H$9,"&lt;&gt;",$I$4:$I$9,"&lt;&gt;")+SUMIFS($I$4:$I$9,$F$4:$F$9,AF8,$H$4:$H$9,"&lt;&gt;",$I$4:$I$9,"&lt;&gt;")</f>
        <v>5</v>
      </c>
      <c r="AN8" s="418">
        <f>AL8-AM8</f>
        <v>0</v>
      </c>
      <c r="AO8" s="418">
        <f>IF(AH8=0,-($AT$13*VLOOKUP(AF8,Tabla3[[ZfP4b()8G6b·$55Ma-t·%fv-ttyZxR-.R*+Fd]:[N!"kvfjM.%&amp;gk5kfmfvv)/%;V$&amp;VW]],2,FALSE)),AG8*$AT$7+AN8*$AT$8+AL8*$AT$9+AX8-($AT$13*VLOOKUP(AF8,Tabla3[[ZfP4b()8G6b·$55Ma-t·%fv-ttyZxR-.R*+Fd]:[N!"kvfjM.%&amp;gk5kfmfvv)/%;V$&amp;VW]],2,FALSE)/100))</f>
        <v>4000510999.9699998</v>
      </c>
      <c r="AP8" s="435">
        <f>AE8</f>
        <v>3</v>
      </c>
      <c r="AQ8" s="14"/>
      <c r="AR8" s="14">
        <f t="shared" si="7"/>
        <v>4000510999.9699998</v>
      </c>
      <c r="AS8" s="436" t="s">
        <v>140</v>
      </c>
      <c r="AT8" s="437">
        <f>AT9*100</f>
        <v>10000000</v>
      </c>
      <c r="AU8" s="14"/>
      <c r="AV8" s="438" t="str">
        <f>AF8</f>
        <v>Egipto</v>
      </c>
      <c r="AW8" s="418">
        <f>COUNTIF(AG6:AG9,AG8)</f>
        <v>2</v>
      </c>
      <c r="AX8" s="439">
        <f>(AY8*$AT$12)+(BE8*$AT$11)</f>
        <v>11000</v>
      </c>
      <c r="AY8" s="440">
        <f>RANK(AZ8,AZ6:AZ9,1)</f>
        <v>1</v>
      </c>
      <c r="AZ8" s="440">
        <f>SUM(IF(AND(AG8=AG9,AN8=AN9,AL8=AL9),BD8,0),IF(AND(AG8=AG6,AN8=AN6,AL8=AL6),BA8,0),IF(AND(AG8=AG7,AN8=AN7,AL8=AL7),BB8,0))</f>
        <v>0</v>
      </c>
      <c r="BA8" s="441">
        <f>I6</f>
        <v>1</v>
      </c>
      <c r="BB8" s="442">
        <f>I9</f>
        <v>3</v>
      </c>
      <c r="BC8" s="442">
        <v>0</v>
      </c>
      <c r="BD8" s="443">
        <f>H5</f>
        <v>1</v>
      </c>
      <c r="BE8" s="440">
        <f>RANK(BF8,BF6:BF9,1)</f>
        <v>1</v>
      </c>
      <c r="BF8" s="440">
        <f>SUM(IF(AND(AG8=AG9,AN8=AN9,AL8=AL9),BJ8,0),IF(AND(AG8=AG6,AN8=AN6,AL8=AL6),BG8,0),IF(AND(AG8=AG7,AN8=AN7,AL8=AL7),BH8,0))</f>
        <v>0</v>
      </c>
      <c r="BG8" s="441">
        <f>BA8-BC6</f>
        <v>0</v>
      </c>
      <c r="BH8" s="442">
        <f>BB8-BC7</f>
        <v>2</v>
      </c>
      <c r="BI8" s="442">
        <v>0</v>
      </c>
      <c r="BJ8" s="443">
        <f>BD8-BC9</f>
        <v>-2</v>
      </c>
      <c r="BK8" s="410">
        <v>3</v>
      </c>
      <c r="BL8" s="412">
        <f t="shared" si="8"/>
        <v>3</v>
      </c>
      <c r="BM8" s="412" t="s">
        <v>163</v>
      </c>
      <c r="BN8" s="412">
        <f>IF(AH8=0,-($AT$13*VLOOKUP(AF8,Tabla3[[ZfP4b()8G6b·$55Ma-t·%fv-ttyZxR-.R*+Fd]:[N!"kvfjM.%&amp;gk5kfmfvv)/%;V$&amp;VW]],2,FALSE)),AG8*$AT$7+AN8*$AT$8+AL8*$AT$9+AX8-($AT$13*VLOOKUP(AF8,Tabla3[[ZfP4b()8G6b·$55Ma-t·%fv-ttyZxR-.R*+Fd]:[N!"kvfjM.%&amp;gk5kfmfvv)/%;V$&amp;VW]],2,FALSE)/100))</f>
        <v>4000510999.9699998</v>
      </c>
      <c r="BO8" s="412" t="str">
        <f t="shared" si="9"/>
        <v>Egipto</v>
      </c>
      <c r="BP8" s="412">
        <f t="shared" si="10"/>
        <v>4000510999.9699998</v>
      </c>
      <c r="BQ8" s="410"/>
      <c r="BR8" s="412">
        <v>3</v>
      </c>
      <c r="BS8" s="412" t="str">
        <f t="shared" si="11"/>
        <v>Egipto</v>
      </c>
      <c r="BT8" s="412">
        <f t="shared" si="12"/>
        <v>4</v>
      </c>
      <c r="BU8" s="444">
        <f t="shared" si="13"/>
        <v>9900000.0199999809</v>
      </c>
      <c r="BV8" s="412">
        <f t="shared" si="14"/>
        <v>0</v>
      </c>
      <c r="BW8" s="412">
        <f t="shared" si="15"/>
        <v>5</v>
      </c>
      <c r="BX8" s="410">
        <f>IF($BY$6=$CA$5,$DC$5:$DC$8,IF($BY$6=$CB$5,$DD$5:$DD$7,IF(OR($BY$6=$CC$5,$BY$6=$CG$5),$DG$5:$DG$6,IF($BY$6=$CE$5,$DF$5:$DF$7,(IF($BY$6=$CF$5,$DH$5:$DH$6,$DK$5))))))</f>
        <v>3</v>
      </c>
      <c r="BY8" s="14"/>
      <c r="BZ8" s="14">
        <v>3</v>
      </c>
      <c r="CA8" s="418">
        <f t="array" ref="CA8">IF(AND($BT$6:$BT$9=$BT$8,$BU$6:$BU$9&lt;90,$AN$6:$AN$9=$AN$8,$BW$6:$BW$9=$BW$8),1,0)</f>
        <v>0</v>
      </c>
      <c r="CB8" s="418">
        <f t="array" ref="CB8">IF(AND($BT$6:$BT$8=$BT$8,$BU$6:$BU$8&lt;90,$BT$8&lt;&gt;$BT$9),1,0)</f>
        <v>0</v>
      </c>
      <c r="CC8" s="418">
        <f t="array" ref="CC8">IF(AND($BT$8:$BT$9=$BT$8,$BU$8:$BU$9&lt;90,$BT$8&lt;&gt;$BT$7),1,0)</f>
        <v>0</v>
      </c>
      <c r="CD8" s="418">
        <f t="array" ref="CD8">IF(OR(AND($BT$8&lt;&gt;$BT$7,$BT$8&lt;&gt;$BT$9),AND($BT$8&lt;&gt;$BT$7,$BT$8=$BT$9,$BU$8&gt;90,$BU$9&gt;90)),1,0)</f>
        <v>0</v>
      </c>
      <c r="CE8" s="418">
        <f t="array" ref="CE8">IF(AND($BT$7:$BT$9=$BT$7,$BU$7:$BU$9&lt;90,$BT$6&lt;&gt;$BT$8),1,0)</f>
        <v>0</v>
      </c>
      <c r="CF8" s="418">
        <f t="array" ref="CF8">IF(AND($BT$7:$BT$8=$BT$8,$BU$7:$BU$8&lt;90,$BT$8&lt;&gt;$BT$6,$BT$8&lt;&gt;$BT$9),1,0)</f>
        <v>0</v>
      </c>
      <c r="CG8" s="418">
        <f t="array" ref="CG8">IF(AND($BT$8:$BT$9=$BT$8,$BU$8:$BU$9&lt;90,$BT$8&lt;&gt;$BT$7),1,0)</f>
        <v>0</v>
      </c>
      <c r="CH8" s="418">
        <f t="array" ref="CH8">IF(AND($BT$8&lt;&gt;$BT$7,$BT$8&lt;&gt;$BT$9),1,0)</f>
        <v>0</v>
      </c>
      <c r="CI8" s="418">
        <f t="array" ref="CI8">IF(AND($BT$6:$BT$9=$BT$6,$BU$6:$BU$9&lt;90,$BV$8:$BV$9=$BV$8,$BV$7&lt;&gt;$BV$8),1,0)</f>
        <v>0</v>
      </c>
      <c r="CJ8" s="418">
        <f t="array" ref="CJ8">IF(AND($BT$6:$BT$9=$BT$6,$BU$6:$BU$9&lt;90,$BV$6:$BV$9=$BV$6,$BW$8=$BW$9,$BW$7&lt;&gt;$BW$8),1,0)</f>
        <v>0</v>
      </c>
      <c r="CK8" s="418">
        <f t="array" ref="CK8">IF(AND($BT$6:$BT$8=$BT$8,$BU$6:$BU$7&lt;90,$BU$8&gt;90),1,0)</f>
        <v>0</v>
      </c>
      <c r="CL8" s="418">
        <f t="array" ref="CL8">IF(AND($BT$7&lt;&gt;$BT$6,$BT$7:$BT$9=$BT$8,$BU$7&gt;90,$BU$8:$BU$9&lt;90),1,0)</f>
        <v>0</v>
      </c>
      <c r="CM8" s="418">
        <f t="array" ref="CM8">IF(AND($BT$7&lt;&gt;$BT$6,$BT$7:$BT$9=$BT$7,$BU$9&gt;90,$BU$7:$BU$8&lt;90),1,0)</f>
        <v>0</v>
      </c>
      <c r="CN8" s="418">
        <f t="array" ref="CN8">IF(AND($BT$8&lt;&gt;$BT$9,$BT$6:$BT$8=$BT$8,$BU$6&gt;90,$BU$7:$BU$8&lt;90),1,0)</f>
        <v>0</v>
      </c>
      <c r="CO8" s="418">
        <f t="array" ref="CO8">IF(AND($BT$6:$BT$9=$BT$7,$BU$7:$BU$9&lt;90,$BU$6&lt;&gt;$BU$8),1,0)</f>
        <v>0</v>
      </c>
      <c r="CP8" s="418">
        <f t="array" ref="CP8">IF(AND($BT$6:$BT$9=$BT$8,$BU$6:$BU$8&lt;90,$BU$8&lt;&gt;$BU$9),1,0)</f>
        <v>0</v>
      </c>
      <c r="CQ8" s="418">
        <f t="array" ref="CQ8">IF(AND($BT$6:$BT$9=$BT$8,$BU$6:$BU$7&gt;90,$BU$8:$BU$9&lt;90,$BV$6:$BV$9=$BV$8,$BW$6&gt;$BW$7,$BW$7&gt;$BW$8,$BW$8=$BW$9),1,0)</f>
        <v>0</v>
      </c>
      <c r="CR8" s="418">
        <f t="array" ref="CR8">IF(AND($BT$6:$BT$9=$BT$8,$BU$6&gt;90,$BU$7:$BU$8&lt;90,$BU$9&gt;90,$BV$6:$BV$9=$BV$8,$BW$6&gt;$BW$7,$BW$7=$BW$8,$BW$8&gt;$BW$9),1,0)</f>
        <v>0</v>
      </c>
      <c r="CS8" s="418">
        <f t="array" ref="CS8">IF(AND($BT$6:$BT$9=$BT$8,$BU$6:$BU$7&lt;90,$BU$8:$BU$9&gt;90,$BV$6:$BV$9=$BV$8,$BW$6=$BW$7,$BW$7&gt;$BW$8,$BW$8&gt;$BW$9),1,0)</f>
        <v>0</v>
      </c>
      <c r="CT8" s="418">
        <f t="array" ref="CT8">IF(AND($BT$6:$BT$9=$BT$8,$BU$6:$BU$7&gt;90,$BU$8:$BU$9&lt;90,$BV$6:$BV$9=$BV$7,$BW$6&gt;$BW$8,$BW$7:$BW$9=$BW$8),1,0)</f>
        <v>0</v>
      </c>
      <c r="CU8" s="418">
        <f t="array" ref="CU8">IF(AND($BT$6:$BT$9=$BT$8,$BU$6:$BU$7&lt;90,$BU$8:$BU$9&gt;90,$BV$6:$BV$9=$BV$8,$BW$6:$BW$8=$BW$8,$BW$8&gt;$BW$9),1,0)</f>
        <v>0</v>
      </c>
      <c r="CV8" s="418">
        <f t="array" ref="CV8">IF(AND($BT$6:$BT$9=$BT$8,$BU$6&gt;90,$BU$9&gt;90,$BU$7:$BU$8&lt;90,$BV$6:$BV$9=$BV$8,$BW$6&gt;$BW$7:$BW$9,$BW$7:$BW$9=$BW$8),1,0)</f>
        <v>0</v>
      </c>
      <c r="CW8" s="418"/>
      <c r="CX8" s="418"/>
      <c r="CY8" s="14"/>
      <c r="CZ8" s="14"/>
      <c r="DA8" s="14"/>
      <c r="DB8" s="14"/>
      <c r="DC8" s="412">
        <v>4</v>
      </c>
      <c r="DD8" s="412"/>
      <c r="DE8" s="412"/>
      <c r="DF8" s="412"/>
      <c r="DG8" s="412"/>
      <c r="DH8" s="412"/>
      <c r="DI8" s="412"/>
      <c r="DJ8" s="412"/>
      <c r="DK8" s="412"/>
      <c r="DL8" s="412"/>
      <c r="DM8" s="14"/>
      <c r="DN8" s="475"/>
    </row>
    <row r="9" spans="1:118" ht="15.75" thickBot="1" x14ac:dyDescent="0.3">
      <c r="A9" s="74"/>
      <c r="B9" s="514"/>
      <c r="C9" s="263">
        <v>43276</v>
      </c>
      <c r="D9" s="264">
        <v>0.66666666666666663</v>
      </c>
      <c r="E9" s="265" t="s">
        <v>221</v>
      </c>
      <c r="F9" s="341" t="s">
        <v>172</v>
      </c>
      <c r="G9" s="244"/>
      <c r="H9" s="477">
        <v>1</v>
      </c>
      <c r="I9" s="477">
        <v>3</v>
      </c>
      <c r="J9" s="220"/>
      <c r="K9" s="366" t="s">
        <v>163</v>
      </c>
      <c r="L9" s="149">
        <f t="shared" si="1"/>
        <v>1</v>
      </c>
      <c r="M9" s="79"/>
      <c r="N9" s="41">
        <v>4</v>
      </c>
      <c r="O9" s="42" t="str">
        <f>VLOOKUP(N9,$AD$6:$AF$9,3,0)</f>
        <v>Arabia Saudí</v>
      </c>
      <c r="P9" s="43">
        <f>VLOOKUP(O9,$AF$6:$AO$9,2,FALSE)</f>
        <v>0</v>
      </c>
      <c r="Q9" s="44">
        <f>VLOOKUP($O9,$AF$6:$AO$9,3,FALSE)</f>
        <v>3</v>
      </c>
      <c r="R9" s="44">
        <f>VLOOKUP($O9,$AF$6:$AO$9,4,FALSE)</f>
        <v>0</v>
      </c>
      <c r="S9" s="44">
        <f>VLOOKUP($O9,$AF$6:$AO$9,5,FALSE)</f>
        <v>0</v>
      </c>
      <c r="T9" s="44">
        <f>VLOOKUP($O9,$AF$6:$AO$9,6,FALSE)</f>
        <v>3</v>
      </c>
      <c r="U9" s="44">
        <f>VLOOKUP($O9,$AF$6:$AO$9,7,FALSE)</f>
        <v>2</v>
      </c>
      <c r="V9" s="44">
        <f>VLOOKUP($O9,$AF$6:$AO$9,8,FALSE)</f>
        <v>7</v>
      </c>
      <c r="W9" s="46">
        <f>VLOOKUP($O9,$AF$6:$AO$9,9,FALSE)</f>
        <v>-5</v>
      </c>
      <c r="X9" s="28">
        <f t="shared" si="3"/>
        <v>49789000.020000003</v>
      </c>
      <c r="Y9" s="402" t="str">
        <f>IF(AND(X9&gt;=0,X9&lt;90),VLOOKUP(N9,$BL$6:$BM$9,2,0),"")</f>
        <v/>
      </c>
      <c r="Z9" s="405"/>
      <c r="AA9" s="28"/>
      <c r="AB9" s="28"/>
      <c r="AC9" s="413">
        <f t="shared" si="4"/>
        <v>-49789000.020000003</v>
      </c>
      <c r="AD9" s="14">
        <f t="shared" si="5"/>
        <v>1</v>
      </c>
      <c r="AE9" s="445">
        <f>RANK(AO9,$AO$6:$AO$9)</f>
        <v>1</v>
      </c>
      <c r="AF9" s="446" t="s">
        <v>162</v>
      </c>
      <c r="AG9" s="447">
        <f>AI9*3+AJ9*1+AK9*0</f>
        <v>9</v>
      </c>
      <c r="AH9" s="447">
        <f t="shared" si="6"/>
        <v>3</v>
      </c>
      <c r="AI9" s="447">
        <f t="array" ref="AI9">SUM((F$4:F$9=AF9)*(H$4:H$9&lt;&gt;"")*(I$4:I$9&lt;&gt;"")*(H$4:H$9&gt;I$4:I$9),(K$4:K$9=AF9)*(H$4:H$9&lt;&gt;"")*(I$4:I$9&lt;&gt;"")*(H$4:H$9&lt;I$4:I$9))</f>
        <v>3</v>
      </c>
      <c r="AJ9" s="447">
        <f t="array" ref="AJ9">SUM((F$4:F$9=AF9)*(H$4:H$9&lt;&gt;"")*(I$4:I$9&lt;&gt;"")*(H$4:H$9=I$4:I$9),(K$4:K$9=AF9)*(H$4:H$9&lt;&gt;"")*(I$4:I$9&lt;&gt;"")*(H$4:H$9=I$4:I$9))</f>
        <v>0</v>
      </c>
      <c r="AK9" s="447">
        <f t="array" ref="AK9">SUM((F$4:F$9=AF9)*(I$4:I$9&lt;&gt;"")*(H$4:H$9&lt;&gt;"")*(H$4:H$9&lt;I$4:I$9),(H$4:H$9&lt;&gt;"")*(K$4:K$9=AF9)*(I$4:I$9&lt;&gt;"")*(H$4:H$9&gt;I$4:I$9))</f>
        <v>0</v>
      </c>
      <c r="AL9" s="448">
        <f t="array" ref="AL9">SUMIFS($H$4:$H$9,$F$4:$F$9,AF9,$H$4:$H$9,"&lt;&gt;",$I$4:$I$9,"&lt;&gt;")+SUMIFS($I$4:$I$9,$K$4:$K$9,AF9,$H$4:$H$9,"&lt;&gt;",$I$4:$I$9,"&lt;&gt;")</f>
        <v>7</v>
      </c>
      <c r="AM9" s="448">
        <f t="array" ref="AM9">SUMIFS($H$4:$H$9,$K$4:$K$9,AF9,$H$4:$H$9,"&lt;&gt;",$I$4:$I$9,"&lt;&gt;")+SUMIFS($I$4:$I$9,$F$4:$F$9,AF9,$H$4:$H$9,"&lt;&gt;",$I$4:$I$9,"&lt;&gt;")</f>
        <v>3</v>
      </c>
      <c r="AN9" s="447">
        <f>AL9-AM9</f>
        <v>4</v>
      </c>
      <c r="AO9" s="447">
        <f>IF(AH9=0,-($AT$13*VLOOKUP(AF9,Tabla3[[ZfP4b()8G6b·$55Ma-t·%fv-ttyZxR-.R*+Fd]:[N!"kvfjM.%&amp;gk5kfmfvv)/%;V$&amp;VW]],2,FALSE)),AG9*$AT$7+AN9*$AT$8+AL9*$AT$9+AX9-($AT$13*VLOOKUP(AF9,Tabla3[[ZfP4b()8G6b·$55Ma-t·%fv-ttyZxR-.R*+Fd]:[N!"kvfjM.%&amp;gk5kfmfvv)/%;V$&amp;VW]],2,FALSE)/100))</f>
        <v>9040710999.9599991</v>
      </c>
      <c r="AP9" s="449">
        <f>AE9</f>
        <v>1</v>
      </c>
      <c r="AQ9" s="14"/>
      <c r="AR9" s="14">
        <f t="shared" si="7"/>
        <v>9040710999.9599991</v>
      </c>
      <c r="AS9" s="436" t="s">
        <v>54</v>
      </c>
      <c r="AT9" s="437">
        <f>AT12*100</f>
        <v>100000</v>
      </c>
      <c r="AU9" s="14"/>
      <c r="AV9" s="450" t="str">
        <f>AF9</f>
        <v>Uruguay</v>
      </c>
      <c r="AW9" s="451">
        <f>COUNTIF(AG6:AG9,AG9)</f>
        <v>1</v>
      </c>
      <c r="AX9" s="452">
        <f>(AY9*$AT$12)+(BE9*$AT$11)</f>
        <v>11000</v>
      </c>
      <c r="AY9" s="453">
        <f>RANK(AZ9,AZ6:AZ9,1)</f>
        <v>1</v>
      </c>
      <c r="AZ9" s="453">
        <f>SUM(IF(AND(AG9=AG6,AN9=AN6,AL9=AL6),BA9,0),IF(AND(AG9=AG7,AN9=AN7,AL9=AL7),BB9,0),IF(AND(AG9=AG8,AN9=AN8,AL9=AL8),BC9,0))</f>
        <v>0</v>
      </c>
      <c r="BA9" s="454">
        <f>H8</f>
        <v>2</v>
      </c>
      <c r="BB9" s="455">
        <f>H7</f>
        <v>2</v>
      </c>
      <c r="BC9" s="455">
        <f>I5</f>
        <v>3</v>
      </c>
      <c r="BD9" s="456">
        <v>0</v>
      </c>
      <c r="BE9" s="453">
        <f>RANK(BF9,BF6:BF9,1)</f>
        <v>1</v>
      </c>
      <c r="BF9" s="453">
        <f>SUM(IF(AND(AG9=AG6,AN9=AN6,AL9=AL6),BG9,0),IF(AND(AG9=AG7,AN9=AN7,AL9=AL7),BH9,0),IF(AND(AG9=AG8,AN9=AN8,AL9=AL8),BI9,0))</f>
        <v>0</v>
      </c>
      <c r="BG9" s="454">
        <f>BA9-BD6</f>
        <v>1</v>
      </c>
      <c r="BH9" s="455">
        <f>BB9-BD7</f>
        <v>1</v>
      </c>
      <c r="BI9" s="455">
        <f>BC9-BD8</f>
        <v>2</v>
      </c>
      <c r="BJ9" s="456">
        <v>0</v>
      </c>
      <c r="BK9" s="410">
        <v>4</v>
      </c>
      <c r="BL9" s="412">
        <f t="shared" si="8"/>
        <v>1</v>
      </c>
      <c r="BM9" s="412" t="s">
        <v>162</v>
      </c>
      <c r="BN9" s="412">
        <f>IF(AH9=0,-($AT$13*VLOOKUP(AF9,Tabla3[[ZfP4b()8G6b·$55Ma-t·%fv-ttyZxR-.R*+Fd]:[N!"kvfjM.%&amp;gk5kfmfvv)/%;V$&amp;VW]],2,FALSE)),AG9*$AT$7+AN9*$AT$8+AL9*$AT$9+AX9-($AT$13*VLOOKUP(AF9,Tabla3[[ZfP4b()8G6b·$55Ma-t·%fv-ttyZxR-.R*+Fd]:[N!"kvfjM.%&amp;gk5kfmfvv)/%;V$&amp;VW]],2,FALSE)/100))</f>
        <v>9040710999.9599991</v>
      </c>
      <c r="BO9" s="412" t="str">
        <f t="shared" si="9"/>
        <v>Arabia Saudí</v>
      </c>
      <c r="BP9" s="412">
        <f t="shared" si="10"/>
        <v>-49789000.020000003</v>
      </c>
      <c r="BQ9" s="410"/>
      <c r="BR9" s="412">
        <v>4</v>
      </c>
      <c r="BS9" s="412" t="str">
        <f t="shared" si="11"/>
        <v>Arabia Saudí</v>
      </c>
      <c r="BT9" s="412">
        <f t="shared" si="12"/>
        <v>0</v>
      </c>
      <c r="BU9" s="444">
        <f t="shared" si="13"/>
        <v>49789000.020000003</v>
      </c>
      <c r="BV9" s="412">
        <f t="shared" si="14"/>
        <v>-5</v>
      </c>
      <c r="BW9" s="412">
        <f t="shared" si="15"/>
        <v>2</v>
      </c>
      <c r="BX9" s="410">
        <f>IF($BY$6=$CA$5,$DC$5:$DC$8,IF(OR($BY$6=$CC$5,$BY$6=$CG$5),$DG$5:$DG$6,IF($BY$6=$CE$5,$DF$5:$DF$7,$DL$5)))</f>
        <v>4</v>
      </c>
      <c r="BY9" s="14"/>
      <c r="BZ9" s="14">
        <v>4</v>
      </c>
      <c r="CA9" s="418">
        <f t="array" ref="CA9">IF(AND($BT$6:$BT$9=$BT$9,$BU$6:$BU$9&lt;90,$AN$6:$AN$9=$AN$9,$BW$6:$BW$9=$BW$9),1,0)</f>
        <v>0</v>
      </c>
      <c r="CB9" s="418">
        <f t="array" ref="CB9">IF(AND($BT$6:$BT$8=$BT$6,$BU$6:$BU$8&lt;90,$BU$9&gt;90,$BT$6&lt;&gt;$BT$9),1,0)</f>
        <v>0</v>
      </c>
      <c r="CC9" s="418">
        <f t="array" ref="CC9">IF(AND($BT$8:$BT$9=$BT$8,$BU$8:$BU$9&lt;90,$BT$8&lt;&gt;$BT$7),1,0)</f>
        <v>0</v>
      </c>
      <c r="CD9" s="418">
        <f t="array" ref="CD9">IF(AND($BT$9&lt;&gt;$BT$7,$BT$9&lt;&gt;$BT$6),1,0)</f>
        <v>1</v>
      </c>
      <c r="CE9" s="418">
        <f t="array" ref="CE9">IF(AND($BT$7:$BT$9=$BT$7,$BU$7:$BU$9&lt;90,$BT$6&lt;&gt;$BT$9),1,0)</f>
        <v>0</v>
      </c>
      <c r="CF9" s="418">
        <f t="array" ref="CF9">IF(AND($BT$9&lt;&gt;$BT$7,$BT$9&lt;&gt;$BT$6),1,0)</f>
        <v>1</v>
      </c>
      <c r="CG9" s="418">
        <f t="array" ref="CG9">IF(AND($BT$8:$BT$9=$BT$8,$BU$8:$BU$9&lt;90,$BT$8&lt;&gt;$BT$7),1,0)</f>
        <v>0</v>
      </c>
      <c r="CH9" s="418">
        <f t="array" ref="CH9">IF(AND($BT$9&lt;&gt;$BT$7,$BT$9&lt;&gt;$BT$6),1,0)</f>
        <v>1</v>
      </c>
      <c r="CI9" s="418">
        <f t="array" ref="CI9">IF(AND($BT$6:$BT$9=$BT$6,$BU$6:$BU$9&lt;90,$BV$8:$BV$9=$BV$9,$BV$7&lt;&gt;$BV$9),1,0)</f>
        <v>0</v>
      </c>
      <c r="CJ9" s="418">
        <f t="array" ref="CJ9">IF(AND($BT$6:$BT$9=$BT$6,$BU$6:$BU$9&lt;90,$BV$6:$BV$9=$BV$6,$BW$8=$BW$9,$BW$7&lt;&gt;$BW$8),1,0)</f>
        <v>0</v>
      </c>
      <c r="CK9" s="418">
        <f t="array" ref="CK9">IF(AND($BT$6:$BT$8=$BT$6,$BU$6:$BU$7&lt;90,$BT$8&lt;&gt;$BT$9),1,0)</f>
        <v>0</v>
      </c>
      <c r="CL9" s="418">
        <f t="array" ref="CL9">IF(AND($BT$7&lt;&gt;$BT$6,$BT$7:$BT$9=$BT$8,$BU$7&gt;90,$BU$8:$BU$9&lt;90),1,0)</f>
        <v>0</v>
      </c>
      <c r="CM9" s="418">
        <f t="array" ref="CM9">IF(AND($BT$7&lt;&gt;$BT$6,$BT$7:$BT$9=$BT$7,$BU$9&gt;90,$BU$7:$BU$8&lt;90),1,0)</f>
        <v>0</v>
      </c>
      <c r="CN9" s="418">
        <f t="array" ref="CN9">IF(AND($BT$9&lt;&gt;$BT$7,$BT$9&lt;&gt;$BT$8),1,0)</f>
        <v>1</v>
      </c>
      <c r="CO9" s="418">
        <f t="array" ref="CO9">IF(AND($BT$6:$BT$9=$BT$7,$BU$7:$BU$9&lt;90,$BU$6&lt;&gt;$BU$9),1,0)</f>
        <v>0</v>
      </c>
      <c r="CP9" s="418">
        <f t="array" ref="CP9">IF(AND($BT$6:$BT$9=$BT$6,$BU$6:$BU$8&lt;90,$BU$8&lt;&gt;$BU$9),1,0)</f>
        <v>0</v>
      </c>
      <c r="CQ9" s="418">
        <f t="array" ref="CQ9">IF(AND($BT$6:$BT$9=$BT$9,$BU$6:$BU$7&gt;90,$BU$8:$BU$9&lt;90,$BV$6:$BV$9=$BV$9,$BW$6&gt;$BW$7,$BW$7&gt;$BW$9,$BW$8=$BW$9),1,0)</f>
        <v>0</v>
      </c>
      <c r="CR9" s="418">
        <f t="array" ref="CR9">IF(AND($BT$6:$BT$9=$BT$7,$BU$6&gt;90,$BU$7:$BU$8&lt;90,$BU$9&gt;90,$BV$6:$BV$9=$BV$9,$BW$6&gt;$BW$9,$BW$7=$BW$8,$BW$7&gt;$BW$9),1,0)</f>
        <v>0</v>
      </c>
      <c r="CS9" s="418">
        <f t="array" ref="CS9">IF(AND($BT$6:$BT$9=$BT$9,$BU$6:$BU$7&lt;90,$BU$8:$BU$9&gt;90,$BV$6:$BV$9=$BV$9,$BW$6=$BW$7,$BW$7&gt;$BW$8,$BW$8&gt;$BW$9),1,0)</f>
        <v>0</v>
      </c>
      <c r="CT9" s="418">
        <f t="array" ref="CT9">IF(AND($BT$6:$BT$9=$BT$9,$BU$6:$BU$7&gt;90,$BU$8:$BU$9&lt;90,$BV$6:$BV$9=$BV$9,$BW$6&gt;$BW$9,$BW$7:$BW$9=$BW$9),1,0)</f>
        <v>0</v>
      </c>
      <c r="CU9" s="418">
        <f t="array" ref="CU9">IF(AND($BT$6:$BT$9=$BT$9,$BU$6:$BU$7&lt;90,$BU$8:$BU$9&gt;90,$BV$6:$BV$9=$BV$9,$BW$6:$BW$8=$BW$8,$BW$6:$BW$8&gt;$BW$9),1,0)</f>
        <v>0</v>
      </c>
      <c r="CV9" s="418">
        <f t="array" ref="CV9">IF(AND($BT$6:$BT$9=$BT$9,$BU$6&gt;90,$BU$9&gt;90,$BU$7:$BU$8&lt;90,$BV$6:$BV$9=$BV$9,$BW$6&gt;$BW$7:$BW$9,$BW$7:$BW$9=$BW$9),1,0)</f>
        <v>0</v>
      </c>
      <c r="CW9" s="418"/>
      <c r="CX9" s="418"/>
      <c r="CY9" s="14"/>
      <c r="CZ9" s="14"/>
      <c r="DA9" s="14"/>
      <c r="DB9" s="14"/>
      <c r="DC9" s="14"/>
      <c r="DD9" s="14"/>
      <c r="DE9" s="14"/>
      <c r="DF9" s="14"/>
      <c r="DG9" s="14"/>
      <c r="DH9" s="14"/>
      <c r="DI9" s="14"/>
      <c r="DJ9" s="14"/>
      <c r="DK9" s="14"/>
      <c r="DL9" s="14"/>
      <c r="DM9" s="14"/>
      <c r="DN9" s="475"/>
    </row>
    <row r="10" spans="1:118" ht="7.5" customHeight="1" thickBot="1" x14ac:dyDescent="0.3">
      <c r="A10" s="74"/>
      <c r="B10" s="75"/>
      <c r="C10" s="266"/>
      <c r="D10" s="267"/>
      <c r="E10" s="76"/>
      <c r="F10" s="78"/>
      <c r="G10" s="79"/>
      <c r="H10" s="80"/>
      <c r="I10" s="80"/>
      <c r="J10" s="81"/>
      <c r="K10" s="82"/>
      <c r="L10" s="149"/>
      <c r="M10" s="79"/>
      <c r="N10" s="23"/>
      <c r="O10" s="22"/>
      <c r="P10" s="36"/>
      <c r="Q10" s="23"/>
      <c r="R10" s="23"/>
      <c r="S10" s="23"/>
      <c r="T10" s="23"/>
      <c r="U10" s="23"/>
      <c r="V10" s="23"/>
      <c r="W10" s="23"/>
      <c r="X10" s="28"/>
      <c r="Y10" s="28"/>
      <c r="Z10" s="28"/>
      <c r="AA10" s="28"/>
      <c r="AB10" s="28"/>
      <c r="AC10" s="413"/>
      <c r="AD10" s="14"/>
      <c r="AE10" s="457"/>
      <c r="AF10" s="410"/>
      <c r="AG10" s="457"/>
      <c r="AH10" s="457"/>
      <c r="AI10" s="457"/>
      <c r="AJ10" s="457"/>
      <c r="AK10" s="457"/>
      <c r="AL10" s="458"/>
      <c r="AM10" s="458"/>
      <c r="AN10" s="457"/>
      <c r="AO10" s="457"/>
      <c r="AP10" s="457"/>
      <c r="AQ10" s="14"/>
      <c r="AR10" s="14"/>
      <c r="AS10" s="436"/>
      <c r="AT10" s="437"/>
      <c r="AU10" s="14"/>
      <c r="AV10" s="459"/>
      <c r="AW10" s="457"/>
      <c r="AX10" s="457"/>
      <c r="AY10" s="460"/>
      <c r="AZ10" s="461"/>
      <c r="BA10" s="461"/>
      <c r="BB10" s="461"/>
      <c r="BC10" s="461"/>
      <c r="BD10" s="462"/>
      <c r="BE10" s="460"/>
      <c r="BF10" s="461"/>
      <c r="BG10" s="461"/>
      <c r="BH10" s="461"/>
      <c r="BI10" s="461"/>
      <c r="BJ10" s="462"/>
      <c r="BK10" s="410"/>
      <c r="BL10" s="410"/>
      <c r="BM10" s="410"/>
      <c r="BN10" s="410"/>
      <c r="BO10" s="410"/>
      <c r="BP10" s="410"/>
      <c r="BQ10" s="410"/>
      <c r="BR10" s="410"/>
      <c r="BS10" s="410"/>
      <c r="BT10" s="410"/>
      <c r="BU10" s="410"/>
      <c r="BV10" s="410"/>
      <c r="BW10" s="410"/>
      <c r="BX10" s="410"/>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475"/>
    </row>
    <row r="11" spans="1:118" ht="15.75" thickBot="1" x14ac:dyDescent="0.3">
      <c r="A11" s="74"/>
      <c r="B11" s="515" t="s">
        <v>1</v>
      </c>
      <c r="C11" s="268">
        <v>43266</v>
      </c>
      <c r="D11" s="269">
        <v>0.83333333333333337</v>
      </c>
      <c r="E11" s="270" t="s">
        <v>207</v>
      </c>
      <c r="F11" s="342" t="s">
        <v>152</v>
      </c>
      <c r="G11" s="245"/>
      <c r="H11" s="478">
        <v>2</v>
      </c>
      <c r="I11" s="478">
        <v>3</v>
      </c>
      <c r="J11" s="221"/>
      <c r="K11" s="367" t="s">
        <v>155</v>
      </c>
      <c r="L11" s="149">
        <f t="shared" si="1"/>
        <v>1</v>
      </c>
      <c r="M11" s="153"/>
      <c r="N11" s="154" t="s">
        <v>32</v>
      </c>
      <c r="O11" s="155"/>
      <c r="P11" s="155"/>
      <c r="Q11" s="155"/>
      <c r="R11" s="155"/>
      <c r="S11" s="155"/>
      <c r="T11" s="155"/>
      <c r="U11" s="155"/>
      <c r="V11" s="155"/>
      <c r="W11" s="156"/>
      <c r="X11" s="28"/>
      <c r="Y11" s="567" t="s">
        <v>218</v>
      </c>
      <c r="Z11" s="567"/>
      <c r="AA11" s="567"/>
      <c r="AB11" s="28"/>
      <c r="AC11" s="413"/>
      <c r="AD11" s="14"/>
      <c r="AE11" s="414" t="s">
        <v>38</v>
      </c>
      <c r="AF11" s="463"/>
      <c r="AG11" s="14"/>
      <c r="AH11" s="14"/>
      <c r="AI11" s="14"/>
      <c r="AJ11" s="464"/>
      <c r="AK11" s="14"/>
      <c r="AL11" s="14"/>
      <c r="AM11" s="14"/>
      <c r="AN11" s="14"/>
      <c r="AO11" s="464"/>
      <c r="AP11" s="415"/>
      <c r="AQ11" s="14"/>
      <c r="AR11" s="14"/>
      <c r="AS11" s="465" t="s">
        <v>180</v>
      </c>
      <c r="AT11" s="466">
        <f>AT12*10</f>
        <v>10000</v>
      </c>
      <c r="AU11" s="14"/>
      <c r="AV11" s="416" t="str">
        <f>CONCATENATE(N11," - GOLAVERAGE")</f>
        <v>Grupo B - GOLAVERAGE</v>
      </c>
      <c r="AW11" s="417"/>
      <c r="AX11" s="417"/>
      <c r="AY11" s="508" t="s">
        <v>49</v>
      </c>
      <c r="AZ11" s="509"/>
      <c r="BA11" s="509"/>
      <c r="BB11" s="509"/>
      <c r="BC11" s="509"/>
      <c r="BD11" s="510"/>
      <c r="BE11" s="508" t="s">
        <v>48</v>
      </c>
      <c r="BF11" s="509"/>
      <c r="BG11" s="509"/>
      <c r="BH11" s="509"/>
      <c r="BI11" s="509"/>
      <c r="BJ11" s="510"/>
      <c r="BK11" s="410"/>
      <c r="BL11" s="410"/>
      <c r="BM11" s="410"/>
      <c r="BN11" s="410"/>
      <c r="BO11" s="410"/>
      <c r="BP11" s="410"/>
      <c r="BQ11" s="410"/>
      <c r="BR11" s="410"/>
      <c r="BS11" s="410"/>
      <c r="BT11" s="410"/>
      <c r="BU11" s="410"/>
      <c r="BV11" s="410"/>
      <c r="BW11" s="410"/>
      <c r="BX11" s="410"/>
      <c r="BY11" s="14"/>
      <c r="BZ11" s="14" t="s">
        <v>216</v>
      </c>
      <c r="CA11" s="418">
        <f>SUM(CA13:CA16)</f>
        <v>0</v>
      </c>
      <c r="CB11" s="418">
        <f t="shared" ref="CB11:CX11" si="16">SUM(CB13:CB16)</f>
        <v>0</v>
      </c>
      <c r="CC11" s="418">
        <f t="shared" si="16"/>
        <v>0</v>
      </c>
      <c r="CD11" s="418">
        <f t="shared" si="16"/>
        <v>1</v>
      </c>
      <c r="CE11" s="418">
        <f t="shared" si="16"/>
        <v>0</v>
      </c>
      <c r="CF11" s="418">
        <f t="shared" si="16"/>
        <v>2</v>
      </c>
      <c r="CG11" s="418">
        <f t="shared" si="16"/>
        <v>1</v>
      </c>
      <c r="CH11" s="418">
        <f t="shared" si="16"/>
        <v>2</v>
      </c>
      <c r="CI11" s="418">
        <f t="shared" si="16"/>
        <v>0</v>
      </c>
      <c r="CJ11" s="418">
        <f t="shared" si="16"/>
        <v>0</v>
      </c>
      <c r="CK11" s="418">
        <f t="shared" si="16"/>
        <v>0</v>
      </c>
      <c r="CL11" s="418">
        <f t="shared" si="16"/>
        <v>1</v>
      </c>
      <c r="CM11" s="418">
        <f t="shared" si="16"/>
        <v>1</v>
      </c>
      <c r="CN11" s="418">
        <f t="shared" si="16"/>
        <v>1</v>
      </c>
      <c r="CO11" s="418">
        <f t="shared" si="16"/>
        <v>0</v>
      </c>
      <c r="CP11" s="418">
        <f t="shared" si="16"/>
        <v>0</v>
      </c>
      <c r="CQ11" s="418">
        <f t="shared" si="16"/>
        <v>0</v>
      </c>
      <c r="CR11" s="418">
        <f t="shared" si="16"/>
        <v>0</v>
      </c>
      <c r="CS11" s="418">
        <f t="shared" si="16"/>
        <v>0</v>
      </c>
      <c r="CT11" s="418">
        <f t="shared" si="16"/>
        <v>0</v>
      </c>
      <c r="CU11" s="418">
        <f t="shared" si="16"/>
        <v>0</v>
      </c>
      <c r="CV11" s="418">
        <f t="shared" si="16"/>
        <v>0</v>
      </c>
      <c r="CW11" s="418">
        <f t="shared" si="16"/>
        <v>0</v>
      </c>
      <c r="CX11" s="418">
        <f t="shared" si="16"/>
        <v>0</v>
      </c>
      <c r="CY11" s="14"/>
      <c r="CZ11" s="14"/>
      <c r="DA11" s="14"/>
      <c r="DB11" s="14"/>
      <c r="DC11" s="14"/>
      <c r="DD11" s="14"/>
      <c r="DE11" s="14"/>
      <c r="DF11" s="14"/>
      <c r="DG11" s="14"/>
      <c r="DH11" s="14"/>
      <c r="DI11" s="14"/>
      <c r="DJ11" s="14"/>
      <c r="DK11" s="14"/>
      <c r="DL11" s="14"/>
      <c r="DM11" s="14"/>
      <c r="DN11" s="475"/>
    </row>
    <row r="12" spans="1:118" x14ac:dyDescent="0.25">
      <c r="A12" s="74"/>
      <c r="B12" s="516"/>
      <c r="C12" s="271">
        <v>43266</v>
      </c>
      <c r="D12" s="272">
        <v>0.70833333333333337</v>
      </c>
      <c r="E12" s="273" t="s">
        <v>212</v>
      </c>
      <c r="F12" s="343" t="s">
        <v>170</v>
      </c>
      <c r="G12" s="246"/>
      <c r="H12" s="479">
        <v>1</v>
      </c>
      <c r="I12" s="479">
        <v>0</v>
      </c>
      <c r="J12" s="222"/>
      <c r="K12" s="368" t="s">
        <v>166</v>
      </c>
      <c r="L12" s="149">
        <f t="shared" si="1"/>
        <v>1</v>
      </c>
      <c r="M12" s="153"/>
      <c r="N12" s="157" t="s">
        <v>26</v>
      </c>
      <c r="O12" s="158" t="s">
        <v>6</v>
      </c>
      <c r="P12" s="159" t="s">
        <v>12</v>
      </c>
      <c r="Q12" s="159" t="s">
        <v>7</v>
      </c>
      <c r="R12" s="159" t="s">
        <v>8</v>
      </c>
      <c r="S12" s="159" t="s">
        <v>4</v>
      </c>
      <c r="T12" s="159" t="s">
        <v>9</v>
      </c>
      <c r="U12" s="159" t="s">
        <v>10</v>
      </c>
      <c r="V12" s="159" t="s">
        <v>11</v>
      </c>
      <c r="W12" s="160" t="s">
        <v>14</v>
      </c>
      <c r="X12" s="407">
        <f>COUNTIF(X13:X16,"&lt;100")</f>
        <v>0</v>
      </c>
      <c r="Y12" s="567"/>
      <c r="Z12" s="567"/>
      <c r="AA12" s="567"/>
      <c r="AB12" s="29"/>
      <c r="AC12" s="413"/>
      <c r="AD12" s="419"/>
      <c r="AE12" s="420" t="s">
        <v>16</v>
      </c>
      <c r="AF12" s="467" t="s">
        <v>6</v>
      </c>
      <c r="AG12" s="421" t="s">
        <v>17</v>
      </c>
      <c r="AH12" s="421" t="s">
        <v>7</v>
      </c>
      <c r="AI12" s="421" t="s">
        <v>8</v>
      </c>
      <c r="AJ12" s="421" t="s">
        <v>4</v>
      </c>
      <c r="AK12" s="421" t="s">
        <v>9</v>
      </c>
      <c r="AL12" s="421" t="s">
        <v>10</v>
      </c>
      <c r="AM12" s="421" t="s">
        <v>11</v>
      </c>
      <c r="AN12" s="421" t="s">
        <v>14</v>
      </c>
      <c r="AO12" s="421" t="s">
        <v>18</v>
      </c>
      <c r="AP12" s="422" t="s">
        <v>16</v>
      </c>
      <c r="AQ12" s="14"/>
      <c r="AR12" s="14"/>
      <c r="AS12" s="465" t="s">
        <v>181</v>
      </c>
      <c r="AT12" s="466">
        <f>AT13*1000</f>
        <v>1000</v>
      </c>
      <c r="AU12" s="14"/>
      <c r="AV12" s="425" t="s">
        <v>6</v>
      </c>
      <c r="AW12" s="426" t="s">
        <v>50</v>
      </c>
      <c r="AX12" s="427" t="s">
        <v>53</v>
      </c>
      <c r="AY12" s="428" t="s">
        <v>52</v>
      </c>
      <c r="AZ12" s="426" t="s">
        <v>47</v>
      </c>
      <c r="BA12" s="429" t="str">
        <f>AV13</f>
        <v>Portugal</v>
      </c>
      <c r="BB12" s="430" t="str">
        <f>AV14</f>
        <v>España</v>
      </c>
      <c r="BC12" s="430" t="str">
        <f>AV15</f>
        <v>Marruecos</v>
      </c>
      <c r="BD12" s="431" t="str">
        <f>AV16</f>
        <v>Irán</v>
      </c>
      <c r="BE12" s="426" t="s">
        <v>52</v>
      </c>
      <c r="BF12" s="426" t="s">
        <v>47</v>
      </c>
      <c r="BG12" s="429" t="str">
        <f>BA12</f>
        <v>Portugal</v>
      </c>
      <c r="BH12" s="430" t="str">
        <f t="shared" ref="BH12" si="17">BB12</f>
        <v>España</v>
      </c>
      <c r="BI12" s="430" t="str">
        <f t="shared" ref="BI12" si="18">BC12</f>
        <v>Marruecos</v>
      </c>
      <c r="BJ12" s="431" t="str">
        <f t="shared" ref="BJ12" si="19">BD12</f>
        <v>Irán</v>
      </c>
      <c r="BK12" s="410"/>
      <c r="BL12" s="432"/>
      <c r="BM12" s="432" t="s">
        <v>184</v>
      </c>
      <c r="BN12" s="432"/>
      <c r="BO12" s="432" t="s">
        <v>185</v>
      </c>
      <c r="BP12" s="432"/>
      <c r="BQ12" s="410"/>
      <c r="BR12" s="433"/>
      <c r="BS12" s="433" t="s">
        <v>6</v>
      </c>
      <c r="BT12" s="433" t="s">
        <v>17</v>
      </c>
      <c r="BU12" s="433" t="s">
        <v>204</v>
      </c>
      <c r="BV12" s="433" t="s">
        <v>14</v>
      </c>
      <c r="BW12" s="433" t="s">
        <v>205</v>
      </c>
      <c r="BX12" s="410"/>
      <c r="BY12" s="14"/>
      <c r="BZ12" s="14" t="s">
        <v>217</v>
      </c>
      <c r="CA12" s="418" t="s">
        <v>188</v>
      </c>
      <c r="CB12" s="418" t="s">
        <v>197</v>
      </c>
      <c r="CC12" s="418" t="s">
        <v>198</v>
      </c>
      <c r="CD12" s="418" t="s">
        <v>199</v>
      </c>
      <c r="CE12" s="418" t="s">
        <v>200</v>
      </c>
      <c r="CF12" s="418" t="s">
        <v>201</v>
      </c>
      <c r="CG12" s="418" t="s">
        <v>202</v>
      </c>
      <c r="CH12" s="418" t="s">
        <v>203</v>
      </c>
      <c r="CI12" s="418" t="s">
        <v>198</v>
      </c>
      <c r="CJ12" s="418" t="s">
        <v>198</v>
      </c>
      <c r="CK12" s="418" t="s">
        <v>199</v>
      </c>
      <c r="CL12" s="418" t="s">
        <v>202</v>
      </c>
      <c r="CM12" s="418" t="s">
        <v>201</v>
      </c>
      <c r="CN12" s="418" t="s">
        <v>201</v>
      </c>
      <c r="CO12" s="418" t="s">
        <v>200</v>
      </c>
      <c r="CP12" s="418" t="s">
        <v>197</v>
      </c>
      <c r="CQ12" s="418" t="s">
        <v>202</v>
      </c>
      <c r="CR12" s="418" t="s">
        <v>201</v>
      </c>
      <c r="CS12" s="418" t="s">
        <v>199</v>
      </c>
      <c r="CT12" s="418" t="s">
        <v>202</v>
      </c>
      <c r="CU12" s="418" t="s">
        <v>199</v>
      </c>
      <c r="CV12" s="418" t="s">
        <v>201</v>
      </c>
      <c r="CW12" s="418"/>
      <c r="CX12" s="418"/>
      <c r="CY12" s="14"/>
      <c r="CZ12" s="14"/>
      <c r="DA12" s="14"/>
      <c r="DB12" s="14"/>
      <c r="DC12" s="14"/>
      <c r="DD12" s="14"/>
      <c r="DE12" s="14"/>
      <c r="DF12" s="14"/>
      <c r="DG12" s="14"/>
      <c r="DH12" s="14"/>
      <c r="DI12" s="14"/>
      <c r="DJ12" s="14"/>
      <c r="DK12" s="14"/>
      <c r="DL12" s="14"/>
      <c r="DM12" s="14"/>
      <c r="DN12" s="475"/>
    </row>
    <row r="13" spans="1:118" x14ac:dyDescent="0.25">
      <c r="A13" s="74"/>
      <c r="B13" s="516"/>
      <c r="C13" s="271">
        <v>43271</v>
      </c>
      <c r="D13" s="272">
        <v>0.58333333333333337</v>
      </c>
      <c r="E13" s="273" t="s">
        <v>206</v>
      </c>
      <c r="F13" s="344" t="s">
        <v>152</v>
      </c>
      <c r="G13" s="246"/>
      <c r="H13" s="479">
        <v>1</v>
      </c>
      <c r="I13" s="479">
        <v>1</v>
      </c>
      <c r="J13" s="222"/>
      <c r="K13" s="368" t="s">
        <v>170</v>
      </c>
      <c r="L13" s="149">
        <f t="shared" si="1"/>
        <v>1</v>
      </c>
      <c r="M13" s="153"/>
      <c r="N13" s="161">
        <v>1</v>
      </c>
      <c r="O13" s="162" t="str">
        <f>VLOOKUP(N13,$AD$13:$AF$16,3,0)</f>
        <v>España</v>
      </c>
      <c r="P13" s="163">
        <f>VLOOKUP(O13,AF13:AO16,2,FALSE)</f>
        <v>9</v>
      </c>
      <c r="Q13" s="163">
        <f>VLOOKUP(O13,AF13:AO16,3,FALSE)</f>
        <v>3</v>
      </c>
      <c r="R13" s="163">
        <f>VLOOKUP(O13,AF13:AO16,4,FALSE)</f>
        <v>3</v>
      </c>
      <c r="S13" s="163">
        <f>VLOOKUP(O13,AF13:AO16,5,FALSE)</f>
        <v>0</v>
      </c>
      <c r="T13" s="163">
        <f>VLOOKUP(O13,AF13:AO16,6,FALSE)</f>
        <v>0</v>
      </c>
      <c r="U13" s="163">
        <f>VLOOKUP(O13,AF13:AO16,7,FALSE)</f>
        <v>9</v>
      </c>
      <c r="V13" s="163">
        <f>VLOOKUP(O13,AF13:AO16,8,FALSE)</f>
        <v>4</v>
      </c>
      <c r="W13" s="164">
        <f>VLOOKUP(O13,AF13:AO16,9,FALSE)</f>
        <v>5</v>
      </c>
      <c r="X13" s="28">
        <f>IF(SUM($AH$13:$AH$16)=12,MIN(ABS(BP12-BP13),ABS(BP13-BP14)),100)</f>
        <v>5050299999.9899998</v>
      </c>
      <c r="Y13" s="402" t="str">
        <f>IF(AND(X13&gt;=0,X13&lt;90),VLOOKUP(N13,$BL$13:$BM$16,2,0),"")</f>
        <v/>
      </c>
      <c r="Z13" s="406"/>
      <c r="AA13" s="29"/>
      <c r="AB13" s="29"/>
      <c r="AC13" s="413">
        <f>VLOOKUP(O13,$AF$13:$AO$16,10,FALSE)</f>
        <v>9050910999.9799995</v>
      </c>
      <c r="AD13" s="14">
        <f>RANK(AR13,$AR$13:$AR$16)</f>
        <v>2</v>
      </c>
      <c r="AE13" s="434">
        <f>RANK(AO13,$AO$13:$AO$16)</f>
        <v>2</v>
      </c>
      <c r="AF13" s="412" t="s">
        <v>152</v>
      </c>
      <c r="AG13" s="418">
        <f>AI13*3+AJ13*1+AK13*0</f>
        <v>4</v>
      </c>
      <c r="AH13" s="418">
        <f>COUNTIFS($F$11:$F$16,AF13,$H$11:$H$16,"&lt;&gt;",$I$11:$I$16,"&lt;&gt;")+COUNTIFS($K$11:$K$16,AF13,$I$11:$I$16,"&lt;&gt;",$H$11:$H$16,"&lt;&gt;")</f>
        <v>3</v>
      </c>
      <c r="AI13" s="418">
        <f t="array" ref="AI13">SUM((F$11:F$16=AF13)*(H$11:H$16&lt;&gt;"")*(I$11:I$16&lt;&gt;"")*(H$11:H$16&gt;I$11:I$16),(K$11:K$16=AF13)*(H$11:H$16&lt;&gt;"")*(I$11:I$16&lt;&gt;"")*(H$11:H$16&lt;I$11:I$16))</f>
        <v>1</v>
      </c>
      <c r="AJ13" s="418">
        <f t="array" ref="AJ13">SUM((F$11:F$16=AF13)*(H$11:H$16&lt;&gt;"")*(I$11:I$16&lt;&gt;"")*(H$11:H$16=I$11:I$16),(K$11:K$16=AF13)*(I$11:I$16&lt;&gt;"")*(H$11:H$16&lt;&gt;"")*(H$11:H$16=I$11:I$16))</f>
        <v>1</v>
      </c>
      <c r="AK13" s="418">
        <f t="array" ref="AK13">SUM((F$11:F$16=AF13)*(I$11:I$16&lt;&gt;"")*(H$11:H$16&lt;&gt;"")*(H$11:H$16&lt;I$11:I$16),(H$11:H$16&lt;&gt;"")*(K$11:K$16=AF13)*(I$11:I$16&lt;&gt;"")*(H$11:H$16&gt;I$11:I$16))</f>
        <v>1</v>
      </c>
      <c r="AL13" s="418">
        <f t="array" ref="AL13">SUMIFS($H$11:$H$16,$F$11:$F$16,AF13,$H$11:$H$16,"&lt;&gt;",$I$11:$I$16,"&lt;&gt;")+SUMIFS($I$11:$I$16,$K$11:$K$16,AF13,$H$11:$H$16,"&lt;&gt;",$I$11:$I$16,"&lt;&gt;")</f>
        <v>6</v>
      </c>
      <c r="AM13" s="418">
        <f t="array" ref="AM13">SUMIFS($H$11:$H$16,$K$11:$K$16,AF13,$H$11:$H$16,"&lt;&gt;",$I$11:$I$16,"&lt;&gt;")+SUMIFS($I$11:$I$16,$F$11:$F$16,AF13,$H$11:$H$16,"&lt;&gt;",$I$11:$I$16,"&lt;&gt;")</f>
        <v>6</v>
      </c>
      <c r="AN13" s="418">
        <f>AL13-AM13</f>
        <v>0</v>
      </c>
      <c r="AO13" s="418">
        <f>IF(AH13=0,-($AT$13*VLOOKUP(AF13,Tabla3[[ZfP4b()8G6b·$55Ma-t·%fv-ttyZxR-.R*+Fd]:[N!"kvfjM.%&amp;gk5kfmfvv)/%;V$&amp;VW]],2,FALSE)),AG13*$AT$7+AN13*$AT$8+AL13*$AT$9+AX13-($AT$13*VLOOKUP(AF13,Tabla3[[ZfP4b()8G6b·$55Ma-t·%fv-ttyZxR-.R*+Fd]:[N!"kvfjM.%&amp;gk5kfmfvv)/%;V$&amp;VW]],2,FALSE)/100))</f>
        <v>4000610999.9899998</v>
      </c>
      <c r="AP13" s="435">
        <f>AE13</f>
        <v>2</v>
      </c>
      <c r="AQ13" s="14"/>
      <c r="AR13" s="14">
        <f>IFERROR(AO13-VLOOKUP(AF13,$Y$13:$Z$16,2,0),AO13)</f>
        <v>4000610999.9899998</v>
      </c>
      <c r="AS13" s="465" t="s">
        <v>141</v>
      </c>
      <c r="AT13" s="466">
        <v>1</v>
      </c>
      <c r="AU13" s="14"/>
      <c r="AV13" s="438" t="str">
        <f>AF13</f>
        <v>Portugal</v>
      </c>
      <c r="AW13" s="418">
        <f>COUNTIFS($AG$13:$AG$16,AG13,$AN$13:$AN$16,AN13,$AL$13:$AL$16,AL13)</f>
        <v>1</v>
      </c>
      <c r="AX13" s="439">
        <f>(AY13*$AT$12)+(BE13*$AT$11)</f>
        <v>11000</v>
      </c>
      <c r="AY13" s="440">
        <f>RANK(AZ13,AZ13:AZ16,1)</f>
        <v>1</v>
      </c>
      <c r="AZ13" s="440">
        <f>SUM(IF(AND(AG13=AG14,AN13=AN14,AL13=AL14),BB13,0),IF(AND(AG13=AG15,AN13=AN15,AL13=AL15),BC13,0),IF(AND(AG13=AG16,AN13=AN16,AL13=AL16),BD13,0))</f>
        <v>0</v>
      </c>
      <c r="BA13" s="441">
        <v>0</v>
      </c>
      <c r="BB13" s="442">
        <f>H11</f>
        <v>2</v>
      </c>
      <c r="BC13" s="442">
        <f>H13</f>
        <v>1</v>
      </c>
      <c r="BD13" s="443">
        <f>I15</f>
        <v>3</v>
      </c>
      <c r="BE13" s="440">
        <f>RANK(BF13,BF13:BF16,1)</f>
        <v>1</v>
      </c>
      <c r="BF13" s="440">
        <f>SUM(IF(AND(AG13=AG14,AN13=AN14,AL13=AL14),BH13,0),IF(AND(AG13=AG15,AN13=AN15,AL13=AL15),BI13,0),IF(AND(AG13=AG16,AN13=AN16,AL13=AL16),BJ13,0))</f>
        <v>0</v>
      </c>
      <c r="BG13" s="441">
        <v>0</v>
      </c>
      <c r="BH13" s="442">
        <f>BB13-BA14</f>
        <v>-1</v>
      </c>
      <c r="BI13" s="442">
        <f>BC13-BA15</f>
        <v>0</v>
      </c>
      <c r="BJ13" s="443">
        <f>BD13-BA16</f>
        <v>1</v>
      </c>
      <c r="BK13" s="410"/>
      <c r="BL13" s="412">
        <f>RANK(BN13,$BN$13:$BN$16)</f>
        <v>2</v>
      </c>
      <c r="BM13" s="412" t="s">
        <v>152</v>
      </c>
      <c r="BN13" s="412">
        <f>IF(AH13=0,-($AT$13*VLOOKUP(AF13,Tabla3[[ZfP4b()8G6b·$55Ma-t·%fv-ttyZxR-.R*+Fd]:[N!"kvfjM.%&amp;gk5kfmfvv)/%;V$&amp;VW]],2,FALSE)),AG13*$AT$7+AN13*$AT$8+AL13*$AT$9+AX13-($AT$13*VLOOKUP(AF13,Tabla3[[ZfP4b()8G6b·$55Ma-t·%fv-ttyZxR-.R*+Fd]:[N!"kvfjM.%&amp;gk5kfmfvv)/%;V$&amp;VW]],2,FALSE)/100))</f>
        <v>4000610999.9899998</v>
      </c>
      <c r="BO13" s="412" t="str">
        <f>VLOOKUP(N13,$AE$13:$AF$16,2,0)</f>
        <v>España</v>
      </c>
      <c r="BP13" s="412">
        <f>VLOOKUP($BO13,$AF$13:$AO$16,10,FALSE)</f>
        <v>9050910999.9799995</v>
      </c>
      <c r="BQ13" s="410"/>
      <c r="BR13" s="412">
        <v>1</v>
      </c>
      <c r="BS13" s="412" t="str">
        <f>VLOOKUP(BR13,$AE$13:$AF$16,2,0)</f>
        <v>España</v>
      </c>
      <c r="BT13" s="412">
        <f>VLOOKUP(BS13,$AF$13:$AO$16,2,FALSE)</f>
        <v>9</v>
      </c>
      <c r="BU13" s="444">
        <f>IF(SUM($AH$13:$AH$16)=12,MIN(ABS(BP12-BP13),ABS(BP13-BP14)),100)</f>
        <v>5050299999.9899998</v>
      </c>
      <c r="BV13" s="412">
        <f>VLOOKUP(BS13,$AF$13:$AO$16,9,FALSE)</f>
        <v>5</v>
      </c>
      <c r="BW13" s="412">
        <f>VLOOKUP(BS13,$AF$13:$AO$16,7,FALSE)</f>
        <v>9</v>
      </c>
      <c r="BX13" s="410">
        <f>IF($BY$13=$CA$12,$DC$5:$DC$8,IF($BY$13=$CB$12,$DD$5:$DD$7,IF(OR($BY$13=$CC$12,$BY$13=$CD$12),$DE$5:$DE$6,$DI$5)))</f>
        <v>1</v>
      </c>
      <c r="BY13" s="418" t="str">
        <f>IFERROR(HLOOKUP(4,CA11:CX12,2,0),CH12)</f>
        <v>COM_8</v>
      </c>
      <c r="BZ13" s="14">
        <v>1</v>
      </c>
      <c r="CA13" s="418">
        <f t="array" ref="CA13">IF(AND($BT$13:$BT$16=$BT$13,$BU$13:$BU$16&lt;160,$AN$13:$AN$16=$AN$13,$BW$13:$BW$16=$BW$13),1,0)</f>
        <v>0</v>
      </c>
      <c r="CB13" s="418">
        <f t="array" ref="CB13">IF(AND($BT$13:$BT$15=$BT$13,$BU$13:$BU$15&lt;160,$BT$13&lt;&gt;$BT$16),1,0)</f>
        <v>0</v>
      </c>
      <c r="CC13" s="418">
        <f t="array" ref="CC13">IF(AND($BT$13:$BT$14=$BT$13,$BU$13:$BU$14&lt;160,$BT$13&lt;&gt;$BT$15),1,0)</f>
        <v>0</v>
      </c>
      <c r="CD13" s="418">
        <f t="array" ref="CD13">IF(AND($BT$13:$BT$14=$BT$13,$BU$13:$BU$14&lt;160,$BT$13&lt;&gt;$BT$15),1,0)</f>
        <v>0</v>
      </c>
      <c r="CE13" s="418">
        <f t="array" ref="CE13">IF(AND($BT$14:$BT$16=$BT$14,$BU$14:$BU$16&lt;160,$BT$13&lt;&gt;$BT$14),1,0)</f>
        <v>0</v>
      </c>
      <c r="CF13" s="418">
        <f t="array" ref="CF13">IF(AND($BT$13&lt;&gt;$BT$14,$BT$13&lt;&gt;$BT$16),1,0)</f>
        <v>1</v>
      </c>
      <c r="CG13" s="418">
        <f t="array" ref="CG13">IF(AND($BT$13&lt;&gt;$BT$14,$BT$13&lt;&gt;$BT$16),1,0)</f>
        <v>1</v>
      </c>
      <c r="CH13" s="418">
        <f t="array" ref="CH13">IF(AND($BT$13&lt;&gt;$BT$14,$BT$13&lt;&gt;$BT$16),1,0)</f>
        <v>1</v>
      </c>
      <c r="CI13" s="418">
        <f t="array" ref="CI13">IF(AND($BT$13:$BT$16=$BT$13,$BU$13:$BU$16&lt;160,$BV$13:$BV$14=$BV$13,$BV$13&lt;&gt;$BV$15),1,0)</f>
        <v>0</v>
      </c>
      <c r="CJ13" s="418">
        <f t="array" ref="CJ13">IF(AND($BT$13:$BT$16=$BT$13,$BU$13:$BU$16&lt;160,$BV$13:$BV$16=$BV$13,$BW$13=$BW$14,$BW$13&lt;&gt;$BW$15),1,0)</f>
        <v>0</v>
      </c>
      <c r="CK13" s="418">
        <f t="array" ref="CK13">IF(AND($BT$13:$BT$15=$BT$13,$BU$13:$BU$14&lt;160,$BU$15&gt;160),1,0)</f>
        <v>0</v>
      </c>
      <c r="CL13" s="418">
        <f t="array" ref="CL13">IF(AND($BT$13&lt;&gt;$BT$14,$BT$13&lt;&gt;$BT$15),1,0)</f>
        <v>1</v>
      </c>
      <c r="CM13" s="418">
        <f t="array" ref="CM13">IF(AND($BT$13&lt;&gt;$BT$14,$BT$13&lt;&gt;$BT$15),1,0)</f>
        <v>1</v>
      </c>
      <c r="CN13" s="418">
        <f t="array" ref="CN13">IF(AND($BT$13&lt;&gt;$BT$16,$BT$13:$BT$15=$BT$13,$BU$13&gt;160,$BU$14:$BU$15&lt;160),1,0)</f>
        <v>0</v>
      </c>
      <c r="CO13" s="418">
        <f t="array" ref="CO13">IF(AND($BT$13:$BT$16=$BT$13,$BU$14:$BU$16&lt;160,$BU$13&lt;&gt;$BU$14),1,0)</f>
        <v>0</v>
      </c>
      <c r="CP13" s="418">
        <f t="array" ref="CP13">IF(AND($BT$13:$BT$16=$BT$13,$BU$13:$BU$15&lt;160,$BU$13&lt;&gt;$BU$16),1,0)</f>
        <v>0</v>
      </c>
      <c r="CQ13" s="418">
        <f t="array" ref="CQ13">IF(AND($BT$13:$BT$16=$BT$13,$BU$13:$BU$14&gt;160,$BU$15:$BU$16&lt;160,$BV$13:$BV$16=$BV$13,$BW$13&gt;$BW$14,$BW$13&gt;$BW$15,$BW$13&gt;$BW$16),1,0)</f>
        <v>0</v>
      </c>
      <c r="CR13" s="418">
        <f t="array" ref="CR13">IF(AND($BT$13:$BT$16=$BT$13,$BU$13&gt;160,$BU$14:$BU$15&lt;160,$BU$16&gt;160,$BV$13:$BV$16=$BV$13,$BW$13&gt;$BW$14,$BW$13&gt;$BW$15,$BW$13&gt;$BW$16),1,0)</f>
        <v>0</v>
      </c>
      <c r="CS13" s="418">
        <f t="array" ref="CS13">IF(AND($BT$13:$BT$16=$BT$13,$BU$13:$BU$14&lt;160,$BU$15:$BU$16&gt;160,$BV$13:$BV$16=$BV$13,$BW$13=$BW$14,$BW$13&gt;$BW$15,$BW$13&gt;$BW$16),1,0)</f>
        <v>0</v>
      </c>
      <c r="CT13" s="418">
        <f t="array" ref="CT13">IF(AND($BT$13:$BT$16=$BT$13,$BU$13:$BU$14&gt;160,$BU$15:$BU$16&lt;160,$BV$13:$BV$16=$BV$13,$BW$13&gt;$BW$14,$BW$14:$BW$16=$BW$14),1,0)</f>
        <v>0</v>
      </c>
      <c r="CU13" s="418">
        <f t="array" ref="CU13">IF(AND($BT$13:$BT$16=$BT$13,$BU$13:$BU$14&lt;160,$BU$15:$BU$16&gt;160,$BV$13:$BV$16=$BV$13,$BW$13:$BW$15=$BW$13,$BW$13&gt;$BW$16),1,0)</f>
        <v>0</v>
      </c>
      <c r="CV13" s="418">
        <f t="array" ref="CV13">IF(AND($BT$13:$BT$16=$BT$13,$BU$13&gt;160,$BU$16&gt;160,$BU$14:$BU$15&lt;160,$BV$13:$BV$16=$BV$13,$BW$13&gt;$BW$14:$BW$16),1,0)</f>
        <v>0</v>
      </c>
      <c r="CW13" s="418"/>
      <c r="CX13" s="418"/>
      <c r="CY13" s="14"/>
      <c r="CZ13" s="14"/>
      <c r="DA13" s="14"/>
      <c r="DB13" s="14"/>
      <c r="DC13" s="14"/>
      <c r="DD13" s="14"/>
      <c r="DE13" s="14"/>
      <c r="DF13" s="14"/>
      <c r="DG13" s="14"/>
      <c r="DH13" s="14"/>
      <c r="DI13" s="14"/>
      <c r="DJ13" s="14"/>
      <c r="DK13" s="14"/>
      <c r="DL13" s="14"/>
      <c r="DM13" s="14"/>
      <c r="DN13" s="475"/>
    </row>
    <row r="14" spans="1:118" x14ac:dyDescent="0.25">
      <c r="A14" s="74"/>
      <c r="B14" s="516"/>
      <c r="C14" s="271">
        <v>43271</v>
      </c>
      <c r="D14" s="272">
        <v>0.83333333333333337</v>
      </c>
      <c r="E14" s="273" t="s">
        <v>104</v>
      </c>
      <c r="F14" s="343" t="s">
        <v>166</v>
      </c>
      <c r="G14" s="246"/>
      <c r="H14" s="479">
        <v>1</v>
      </c>
      <c r="I14" s="479">
        <v>2</v>
      </c>
      <c r="J14" s="222"/>
      <c r="K14" s="368" t="s">
        <v>155</v>
      </c>
      <c r="L14" s="149">
        <f t="shared" si="1"/>
        <v>1</v>
      </c>
      <c r="M14" s="153"/>
      <c r="N14" s="48">
        <v>2</v>
      </c>
      <c r="O14" s="47" t="str">
        <f>VLOOKUP(N14,$AD$13:$AF$16,3,0)</f>
        <v>Portugal</v>
      </c>
      <c r="P14" s="39">
        <f>VLOOKUP(O14,AF13:AO16,2,FALSE)</f>
        <v>4</v>
      </c>
      <c r="Q14" s="39">
        <f>VLOOKUP(O14,AF13:AO16,3,FALSE)</f>
        <v>3</v>
      </c>
      <c r="R14" s="39">
        <f>VLOOKUP(O14,AF13:AO16,4,FALSE)</f>
        <v>1</v>
      </c>
      <c r="S14" s="39">
        <f>VLOOKUP(O14,AF13:AO16,5,FALSE)</f>
        <v>1</v>
      </c>
      <c r="T14" s="39">
        <f>VLOOKUP(O14,AF13:AO16,6,FALSE)</f>
        <v>1</v>
      </c>
      <c r="U14" s="39">
        <f>VLOOKUP(O14,AF13:AO16,7,FALSE)</f>
        <v>6</v>
      </c>
      <c r="V14" s="39">
        <f>VLOOKUP(O14,AF13:AO16,8,FALSE)</f>
        <v>6</v>
      </c>
      <c r="W14" s="49">
        <f>VLOOKUP(O14,AF13:AO16,9,FALSE)</f>
        <v>0</v>
      </c>
      <c r="X14" s="28">
        <f t="shared" ref="X14:X16" si="20">IF(SUM($AH$13:$AH$16)=12,MIN(ABS(BP13-BP14),ABS(BP14-BP15)),100)</f>
        <v>20300000.019999981</v>
      </c>
      <c r="Y14" s="402" t="str">
        <f t="shared" ref="Y14:Y16" si="21">IF(AND(X14&gt;=0,X14&lt;90),VLOOKUP(N14,$BL$13:$BM$16,2,0),"")</f>
        <v/>
      </c>
      <c r="Z14" s="406"/>
      <c r="AA14" s="29"/>
      <c r="AB14" s="29"/>
      <c r="AC14" s="413">
        <f t="shared" ref="AC14:AC16" si="22">VLOOKUP(O14,$AF$13:$AO$16,10,FALSE)</f>
        <v>4000610999.9899998</v>
      </c>
      <c r="AD14" s="14">
        <f t="shared" ref="AD14:AD16" si="23">RANK(AR14,$AR$13:$AR$16)</f>
        <v>1</v>
      </c>
      <c r="AE14" s="434">
        <f>RANK(AO14,$AO$13:$AO$16)</f>
        <v>1</v>
      </c>
      <c r="AF14" s="412" t="s">
        <v>155</v>
      </c>
      <c r="AG14" s="418">
        <f>AI14*3+AJ14*1+AK14*0</f>
        <v>9</v>
      </c>
      <c r="AH14" s="418">
        <f t="shared" ref="AH14:AH16" si="24">COUNTIFS($F$11:$F$16,AF14,$H$11:$H$16,"&lt;&gt;",$I$11:$I$16,"&lt;&gt;")+COUNTIFS($K$11:$K$16,AF14,$I$11:$I$16,"&lt;&gt;",$H$11:$H$16,"&lt;&gt;")</f>
        <v>3</v>
      </c>
      <c r="AI14" s="418">
        <f t="array" ref="AI14">SUM((F$11:F$16=AF14)*(H$11:H$16&lt;&gt;"")*(I$11:I$16&lt;&gt;"")*(H$11:H$16&gt;I$11:I$16),(K$11:K$16=AF14)*(H$11:H$16&lt;&gt;"")*(I$11:I$16&lt;&gt;"")*(H$11:H$16&lt;I$11:I$16))</f>
        <v>3</v>
      </c>
      <c r="AJ14" s="418">
        <f t="array" ref="AJ14">SUM((F$11:F$16=AF14)*(H$11:H$16&lt;&gt;"")*(I$11:I$16&lt;&gt;"")*(H$11:H$16=I$11:I$16),(K$11:K$16=AF14)*(I$11:I$16&lt;&gt;"")*(H$11:H$16&lt;&gt;"")*(H$11:H$16=I$11:I$16))</f>
        <v>0</v>
      </c>
      <c r="AK14" s="418">
        <f t="array" ref="AK14">SUM((F$11:F$16=AF14)*(I$11:I$16&lt;&gt;"")*(H$11:H$16&lt;&gt;"")*(H$11:H$16&lt;I$11:I$16),(H$11:H$16&lt;&gt;"")*(K$11:K$16=AF14)*(I$11:I$16&lt;&gt;"")*(H$11:H$16&gt;I$11:I$16))</f>
        <v>0</v>
      </c>
      <c r="AL14" s="418">
        <f t="array" ref="AL14">SUMIFS($H$11:$H$16,$F$11:$F$16,AF14,$H$11:$H$16,"&lt;&gt;",$I$11:$I$16,"&lt;&gt;")+SUMIFS($I$11:$I$16,$K$11:$K$16,AF14,$H$11:$H$16,"&lt;&gt;",$I$11:$I$16,"&lt;&gt;")</f>
        <v>9</v>
      </c>
      <c r="AM14" s="418">
        <f t="array" ref="AM14">SUMIFS($H$11:$H$16,$K$11:$K$16,AF14,$H$11:$H$16,"&lt;&gt;",$I$11:$I$16,"&lt;&gt;")+SUMIFS($I$11:$I$16,$F$11:$F$16,AF14,$H$11:$H$16,"&lt;&gt;",$I$11:$I$16,"&lt;&gt;")</f>
        <v>4</v>
      </c>
      <c r="AN14" s="418">
        <f>AL14-AM14</f>
        <v>5</v>
      </c>
      <c r="AO14" s="418">
        <f>IF(AH14=0,-($AT$13*VLOOKUP(AF14,Tabla3[[ZfP4b()8G6b·$55Ma-t·%fv-ttyZxR-.R*+Fd]:[N!"kvfjM.%&amp;gk5kfmfvv)/%;V$&amp;VW]],2,FALSE)),AG14*$AT$7+AN14*$AT$8+AL14*$AT$9+AX14-($AT$13*VLOOKUP(AF14,Tabla3[[ZfP4b()8G6b·$55Ma-t·%fv-ttyZxR-.R*+Fd]:[N!"kvfjM.%&amp;gk5kfmfvv)/%;V$&amp;VW]],2,FALSE)/100))</f>
        <v>9050910999.9799995</v>
      </c>
      <c r="AP14" s="435">
        <f>AE14</f>
        <v>1</v>
      </c>
      <c r="AQ14" s="14"/>
      <c r="AR14" s="14">
        <f t="shared" ref="AR14:AR16" si="25">IFERROR(AO14-VLOOKUP(AF14,$Y$13:$Z$16,2,0),AO14)</f>
        <v>9050910999.9799995</v>
      </c>
      <c r="AS14" s="14"/>
      <c r="AT14" s="14"/>
      <c r="AU14" s="14"/>
      <c r="AV14" s="438" t="str">
        <f>AF14</f>
        <v>España</v>
      </c>
      <c r="AW14" s="418">
        <f t="shared" ref="AW14:AW16" si="26">COUNTIFS($AG$13:$AG$16,AG14,$AN$13:$AN$16,AN14,$AL$13:$AL$16,AL14)</f>
        <v>1</v>
      </c>
      <c r="AX14" s="439">
        <f>(AY14*$AT$12)+(BE14*$AT$11)</f>
        <v>11000</v>
      </c>
      <c r="AY14" s="440">
        <f>RANK(AZ14,AZ13:AZ16,1)</f>
        <v>1</v>
      </c>
      <c r="AZ14" s="440">
        <f>SUM(IF(AND(AG14=AG15,AN14=AN15,AL14=AL15),BC14,0),IF(AND(AG14=AG16,AN14=AN16,AL14=AL16),BD14,0),IF(AND(AG14=AG13,AN14=AN13,AL14=AL13),BA14,0))</f>
        <v>0</v>
      </c>
      <c r="BA14" s="441">
        <f>I11</f>
        <v>3</v>
      </c>
      <c r="BB14" s="442">
        <v>0</v>
      </c>
      <c r="BC14" s="442">
        <f>H16</f>
        <v>4</v>
      </c>
      <c r="BD14" s="443">
        <f>I14</f>
        <v>2</v>
      </c>
      <c r="BE14" s="440">
        <f>RANK(BF14,BF13:BF16,1)</f>
        <v>1</v>
      </c>
      <c r="BF14" s="440">
        <f>SUM(IF(AND(AG14=AG15,AN14=AN15,AL14=AL15),BI14,0),IF(AND(AG14=AG16,AN14=AN16,AL14=AL16),BJ14,0),IF(AND(AG14=AG13,AN14=AN13,AL14=AL13),BG14,0))</f>
        <v>0</v>
      </c>
      <c r="BG14" s="441">
        <f>BA14-BB13</f>
        <v>1</v>
      </c>
      <c r="BH14" s="442">
        <v>0</v>
      </c>
      <c r="BI14" s="442">
        <f>BC14-BB15</f>
        <v>3</v>
      </c>
      <c r="BJ14" s="443">
        <f>BD14-BB16</f>
        <v>1</v>
      </c>
      <c r="BK14" s="410"/>
      <c r="BL14" s="412">
        <f t="shared" ref="BL14:BL16" si="27">RANK(BN14,$BN$13:$BN$16)</f>
        <v>1</v>
      </c>
      <c r="BM14" s="412" t="s">
        <v>155</v>
      </c>
      <c r="BN14" s="412">
        <f>IF(AH14=0,-($AT$13*VLOOKUP(AF14,Tabla3[[ZfP4b()8G6b·$55Ma-t·%fv-ttyZxR-.R*+Fd]:[N!"kvfjM.%&amp;gk5kfmfvv)/%;V$&amp;VW]],2,FALSE)),AG14*$AT$7+AN14*$AT$8+AL14*$AT$9+AX14-($AT$13*VLOOKUP(AF14,Tabla3[[ZfP4b()8G6b·$55Ma-t·%fv-ttyZxR-.R*+Fd]:[N!"kvfjM.%&amp;gk5kfmfvv)/%;V$&amp;VW]],2,FALSE)/100))</f>
        <v>9050910999.9799995</v>
      </c>
      <c r="BO14" s="412" t="str">
        <f t="shared" ref="BO14:BO16" si="28">VLOOKUP(N14,$AE$13:$AF$16,2,0)</f>
        <v>Portugal</v>
      </c>
      <c r="BP14" s="412">
        <f t="shared" ref="BP14:BP16" si="29">VLOOKUP($BO14,$AF$13:$AO$16,10,FALSE)</f>
        <v>4000610999.9899998</v>
      </c>
      <c r="BQ14" s="410"/>
      <c r="BR14" s="412">
        <v>2</v>
      </c>
      <c r="BS14" s="412" t="str">
        <f t="shared" ref="BS14:BS16" si="30">VLOOKUP(BR14,$AE$13:$AF$16,2,0)</f>
        <v>Portugal</v>
      </c>
      <c r="BT14" s="412">
        <f t="shared" ref="BT14:BT16" si="31">VLOOKUP(BS14,$AF$13:$AO$16,2,FALSE)</f>
        <v>4</v>
      </c>
      <c r="BU14" s="444">
        <f t="shared" ref="BU14:BU16" si="32">IF(SUM($AH$13:$AH$16)=12,MIN(ABS(BP13-BP14),ABS(BP14-BP15)),100)</f>
        <v>20300000.019999981</v>
      </c>
      <c r="BV14" s="412">
        <f t="shared" ref="BV14:BV16" si="33">VLOOKUP(BS14,$AF$13:$AO$16,9,FALSE)</f>
        <v>0</v>
      </c>
      <c r="BW14" s="412">
        <f t="shared" ref="BW14:BW16" si="34">VLOOKUP(BS14,$AF$13:$AO$16,7,FALSE)</f>
        <v>6</v>
      </c>
      <c r="BX14" s="410">
        <f>IF($BY$13=$CA$12,$DC$5:$DC$8,IF($BY$13=$CB$12,$DD$5:$DD$7,IF(OR($BY$13=$CC$12,$BY$13=$CD$12),$DE$5:$DE$6,IF($BY$13=$CE$12,$DF$5:$DF$7,(IF($BY$13=$CF$12,$DH$5:$DH$6,$DJ$5))))))</f>
        <v>2</v>
      </c>
      <c r="BY14" s="14"/>
      <c r="BZ14" s="14">
        <v>2</v>
      </c>
      <c r="CA14" s="418">
        <f t="array" ref="CA14">IF(AND($BT$13:$BT$16=$BT$14,$BU$13:$BU$16&lt;160,$AN$13:$AN$16=$AN$14,$BW$13:$BW$16=$BW$14),1,0)</f>
        <v>0</v>
      </c>
      <c r="CB14" s="418">
        <f t="array" ref="CB14">IF(AND($BT$13:$BT$15=$BT$14,$BU$13:$BU$15&lt;160,$BT$14&lt;&gt;$BT$16),1,0)</f>
        <v>0</v>
      </c>
      <c r="CC14" s="418">
        <f t="array" ref="CC14">IF(AND($BT$13:$BT$14=$BT$13,$BU$13:$BU$14&lt;160,$BT$13&lt;&gt;$BT$15),1,0)</f>
        <v>0</v>
      </c>
      <c r="CD14" s="418">
        <f t="array" ref="CD14">IF(AND($BT$13:$BT$14=$BT$13,$BU$13:$BU$14&lt;160,$BT$13&lt;&gt;$BT$15),1,0)</f>
        <v>0</v>
      </c>
      <c r="CE14" s="418">
        <f t="array" ref="CE14">IF(AND($BT$14:$BT$16=$BT$14,$BU$14:$BU$16&lt;160,$BT$13&lt;&gt;$BT$14),1,0)</f>
        <v>0</v>
      </c>
      <c r="CF14" s="418">
        <f t="array" ref="CF14">IF(AND($BT$14:$BT$15=$BT$14,$BU$14:$BU$15&lt;160,$BT$14&lt;&gt;$BT$13,$BT$14&lt;&gt;$BT$16),1,0)</f>
        <v>0</v>
      </c>
      <c r="CG14" s="418">
        <f t="array" ref="CG14">IF(AND($BT$14&lt;&gt;$BT$13,$BT$14&lt;&gt;$BT$15),1,0)</f>
        <v>0</v>
      </c>
      <c r="CH14" s="418">
        <f t="array" ref="CH14">IF(AND($BT$14&lt;&gt;$BT$13,$BT$14&lt;&gt;$BT$15),1,0)</f>
        <v>0</v>
      </c>
      <c r="CI14" s="418">
        <f t="array" ref="CI14">IF(AND($BT$13:$BT$16=$BT$13,$BU$13:$BU$16&lt;160,$BV$13:$BV$14=$BV$13,$BV$14&lt;&gt;$BV$15),1,0)</f>
        <v>0</v>
      </c>
      <c r="CJ14" s="418">
        <f t="array" ref="CJ14">IF(AND($BT$13:$BT$16=$BT$13,$BU$13:$BU$16&lt;160,$BV$13:$BV$16=$BV$13,$BW$13=$BW$14,$BW$14&lt;&gt;$BW$15),1,0)</f>
        <v>0</v>
      </c>
      <c r="CK14" s="418">
        <f t="array" ref="CK14">IF(AND($BT$13:$BT$15=$BT$14,$BU$13:$BU$14&lt;160,$BU$15&gt;160),1,0)</f>
        <v>0</v>
      </c>
      <c r="CL14" s="418">
        <f t="array" ref="CL14">IF(AND($BT$14&lt;&gt;$BT$13,$BT$14:$BT$16=$BT$14,$BU$14&gt;160,$BU$15:$BU$16&lt;160),1,0)</f>
        <v>0</v>
      </c>
      <c r="CM14" s="418">
        <f t="array" ref="CM14">IF(AND($BT$14&lt;&gt;$BT$13,$BT$14:$BT$16=$BT$14,$BU$16&gt;160,$BU$14:$BU$15&lt;160),1,0)</f>
        <v>0</v>
      </c>
      <c r="CN14" s="418">
        <f t="array" ref="CN14">IF(AND($BT$14&lt;&gt;$BT$16,$BT$13:$BT$15=$BT$14,$BU$13&gt;160,$BU$14:$BU$15&lt;160),1,0)</f>
        <v>0</v>
      </c>
      <c r="CO14" s="418">
        <f t="array" ref="CO14">IF(AND($BT$13:$BT$16=$BT$14,$BU$14:$BU$16&lt;160,$BU$13&lt;&gt;$BU$14),1,0)</f>
        <v>0</v>
      </c>
      <c r="CP14" s="418">
        <f t="array" ref="CP14">IF(AND($BT$13:$BT$16=$BT$14,$BU$13:$BU$15&lt;160,$BU$14&lt;&gt;$BU$16),1,0)</f>
        <v>0</v>
      </c>
      <c r="CQ14" s="418">
        <f t="array" ref="CQ14">IF(AND($BT$13:$BT$16=$BT$14,$BU$13:$BU$14&gt;160,$BU$15:$BU$16&lt;160,$BV$13:$BV$16=$BV$14,$BW$13&gt;$BW$14,$BW$14&gt;$BW$15,$BW$14&gt;$BW$16),1,0)</f>
        <v>0</v>
      </c>
      <c r="CR14" s="418">
        <f t="array" ref="CR14">IF(AND($BT$13:$BT$16=$BT$14,$BU$13&gt;160,$BU$14:$BU$15&lt;160,$BU$16&gt;160,$BV$13:$BV$16=$BV$14,$BW$13&gt;$BW$14,$BW$14=$BW$15,$BW$14&gt;$BW$16),1,0)</f>
        <v>0</v>
      </c>
      <c r="CS14" s="418">
        <f t="array" ref="CS14">IF(AND($BT$13:$BT$16=$BT$14,$BU$13:$BU$14&lt;160,$BU$15:$BU$16&gt;160,$BV$13:$BV$16=$BV$14,$BW$13=$BW$14,$BW$14&gt;$BW$15,$BW$14&gt;$BW$16),1,0)</f>
        <v>0</v>
      </c>
      <c r="CT14" s="418">
        <f t="array" ref="CT14">IF(AND($BT$13:$BT$16=$BT$14,$BU$13:$BU$14&gt;160,$BU$15:$BU$16&lt;160,$BV$13:$BV$16=$BV$14,$BW$13&gt;$BW$14,$BW$14:$BW$16=$BW$14),1,0)</f>
        <v>0</v>
      </c>
      <c r="CU14" s="418">
        <f t="array" ref="CU14">IF(AND($BT$13:$BT$16=$BT$14,$BU$13:$BU$14&lt;160,$BU$15:$BU$16&gt;160,$BV$13:$BV$16=$BV$14,$BW$13:$BW$15=$BW$14,$BW$14&gt;$BW$16),1,0)</f>
        <v>0</v>
      </c>
      <c r="CV14" s="418">
        <f t="array" ref="CV14">IF(AND($BT$13:$BT$16=$BT$14,$BU$13&gt;160,$BU$16&gt;160,$BU$14:$BU$15&lt;160,$BV$13:$BV$16=$BV$14,$BW$13&gt;$BW$14:$BW$16,$BW$14:$BW$16=$BW$14),1,0)</f>
        <v>0</v>
      </c>
      <c r="CW14" s="418"/>
      <c r="CX14" s="418"/>
      <c r="CY14" s="14"/>
      <c r="CZ14" s="14"/>
      <c r="DA14" s="14"/>
      <c r="DB14" s="14"/>
      <c r="DC14" s="14"/>
      <c r="DD14" s="14"/>
      <c r="DE14" s="14"/>
      <c r="DF14" s="14"/>
      <c r="DG14" s="14"/>
      <c r="DH14" s="14"/>
      <c r="DI14" s="14"/>
      <c r="DJ14" s="14"/>
      <c r="DK14" s="14"/>
      <c r="DL14" s="14"/>
      <c r="DM14" s="14"/>
      <c r="DN14" s="475"/>
    </row>
    <row r="15" spans="1:118" x14ac:dyDescent="0.25">
      <c r="A15" s="74"/>
      <c r="B15" s="516"/>
      <c r="C15" s="271">
        <v>43276</v>
      </c>
      <c r="D15" s="272">
        <v>0.83333333333333337</v>
      </c>
      <c r="E15" s="273" t="s">
        <v>103</v>
      </c>
      <c r="F15" s="344" t="s">
        <v>166</v>
      </c>
      <c r="G15" s="246"/>
      <c r="H15" s="479">
        <v>2</v>
      </c>
      <c r="I15" s="479">
        <v>3</v>
      </c>
      <c r="J15" s="222"/>
      <c r="K15" s="368" t="s">
        <v>152</v>
      </c>
      <c r="L15" s="149">
        <f t="shared" si="1"/>
        <v>1</v>
      </c>
      <c r="M15" s="153"/>
      <c r="N15" s="40">
        <v>3</v>
      </c>
      <c r="O15" s="38" t="str">
        <f>VLOOKUP(N15,$AD$13:$AF$16,3,0)</f>
        <v>Marruecos</v>
      </c>
      <c r="P15" s="39">
        <f>VLOOKUP(O15,AF13:AO16,2,FALSE)</f>
        <v>4</v>
      </c>
      <c r="Q15" s="37">
        <f>VLOOKUP(O15,AF13:AO16,3,FALSE)</f>
        <v>3</v>
      </c>
      <c r="R15" s="37">
        <f>VLOOKUP(O15,AF13:AO16,4,FALSE)</f>
        <v>1</v>
      </c>
      <c r="S15" s="37">
        <f>VLOOKUP(O15,AF13:AO16,5,FALSE)</f>
        <v>1</v>
      </c>
      <c r="T15" s="37">
        <f>VLOOKUP(O15,AF13:AO16,6,FALSE)</f>
        <v>1</v>
      </c>
      <c r="U15" s="37">
        <f>VLOOKUP(O15,AF13:AO16,7,FALSE)</f>
        <v>3</v>
      </c>
      <c r="V15" s="37">
        <f>VLOOKUP(O15,AF13:AO16,8,FALSE)</f>
        <v>5</v>
      </c>
      <c r="W15" s="45">
        <f>VLOOKUP(O15,AF13:AO16,9,FALSE)</f>
        <v>-2</v>
      </c>
      <c r="X15" s="28">
        <f t="shared" si="20"/>
        <v>20300000.019999981</v>
      </c>
      <c r="Y15" s="402" t="str">
        <f t="shared" si="21"/>
        <v/>
      </c>
      <c r="Z15" s="406"/>
      <c r="AA15" s="29"/>
      <c r="AB15" s="29"/>
      <c r="AC15" s="413">
        <f t="shared" si="22"/>
        <v>3980310999.9699998</v>
      </c>
      <c r="AD15" s="14">
        <f t="shared" si="23"/>
        <v>3</v>
      </c>
      <c r="AE15" s="434">
        <f>RANK(AO15,$AO$13:$AO$16)</f>
        <v>3</v>
      </c>
      <c r="AF15" s="412" t="s">
        <v>170</v>
      </c>
      <c r="AG15" s="418">
        <f>AI15*3+AJ15*1+AK15*0</f>
        <v>4</v>
      </c>
      <c r="AH15" s="418">
        <f t="shared" si="24"/>
        <v>3</v>
      </c>
      <c r="AI15" s="418">
        <f t="array" ref="AI15">SUM((F$11:F$16=AF15)*(H$11:H$16&lt;&gt;"")*(I$11:I$16&lt;&gt;"")*(H$11:H$16&gt;I$11:I$16),(K$11:K$16=AF15)*(H$11:H$16&lt;&gt;"")*(I$11:I$16&lt;&gt;"")*(H$11:H$16&lt;I$11:I$16))</f>
        <v>1</v>
      </c>
      <c r="AJ15" s="418">
        <f t="array" ref="AJ15">SUM((F$11:F$16=AF15)*(H$11:H$16&lt;&gt;"")*(I$11:I$16&lt;&gt;"")*(H$11:H$16=I$11:I$16),(K$11:K$16=AF15)*(I$11:I$16&lt;&gt;"")*(H$11:H$16&lt;&gt;"")*(H$11:H$16=I$11:I$16))</f>
        <v>1</v>
      </c>
      <c r="AK15" s="418">
        <f t="array" ref="AK15">SUM((F$11:F$16=AF15)*(I$11:I$16&lt;&gt;"")*(H$11:H$16&lt;&gt;"")*(H$11:H$16&lt;I$11:I$16),(H$11:H$16&lt;&gt;"")*(K$11:K$16=AF15)*(I$11:I$16&lt;&gt;"")*(H$11:H$16&gt;I$11:I$16))</f>
        <v>1</v>
      </c>
      <c r="AL15" s="418">
        <f t="array" ref="AL15">SUMIFS($H$11:$H$16,$F$11:$F$16,AF15,$H$11:$H$16,"&lt;&gt;",$I$11:$I$16,"&lt;&gt;")+SUMIFS($I$11:$I$16,$K$11:$K$16,AF15,$H$11:$H$16,"&lt;&gt;",$I$11:$I$16,"&lt;&gt;")</f>
        <v>3</v>
      </c>
      <c r="AM15" s="418">
        <f t="array" ref="AM15">SUMIFS($H$11:$H$16,$K$11:$K$16,AF15,$H$11:$H$16,"&lt;&gt;",$I$11:$I$16,"&lt;&gt;")+SUMIFS($I$11:$I$16,$F$11:$F$16,AF15,$H$11:$H$16,"&lt;&gt;",$I$11:$I$16,"&lt;&gt;")</f>
        <v>5</v>
      </c>
      <c r="AN15" s="418">
        <f>AL15-AM15</f>
        <v>-2</v>
      </c>
      <c r="AO15" s="418">
        <f>IF(AH15=0,-($AT$13*VLOOKUP(AF15,Tabla3[[ZfP4b()8G6b·$55Ma-t·%fv-ttyZxR-.R*+Fd]:[N!"kvfjM.%&amp;gk5kfmfvv)/%;V$&amp;VW]],2,FALSE)),AG15*$AT$7+AN15*$AT$8+AL15*$AT$9+AX15-($AT$13*VLOOKUP(AF15,Tabla3[[ZfP4b()8G6b·$55Ma-t·%fv-ttyZxR-.R*+Fd]:[N!"kvfjM.%&amp;gk5kfmfvv)/%;V$&amp;VW]],2,FALSE)/100))</f>
        <v>3980310999.9699998</v>
      </c>
      <c r="AP15" s="435">
        <f>AE15</f>
        <v>3</v>
      </c>
      <c r="AQ15" s="14"/>
      <c r="AR15" s="14">
        <f t="shared" si="25"/>
        <v>3980310999.9699998</v>
      </c>
      <c r="AS15" s="14"/>
      <c r="AT15" s="14"/>
      <c r="AU15" s="14"/>
      <c r="AV15" s="438" t="str">
        <f>AF15</f>
        <v>Marruecos</v>
      </c>
      <c r="AW15" s="418">
        <f t="shared" si="26"/>
        <v>1</v>
      </c>
      <c r="AX15" s="439">
        <f>(AY15*$AT$12)+(BE15*$AT$11)</f>
        <v>11000</v>
      </c>
      <c r="AY15" s="440">
        <f>RANK(AZ15,AZ13:AZ16,1)</f>
        <v>1</v>
      </c>
      <c r="AZ15" s="440">
        <f>SUM(IF(AND(AG15=AG16,AN15=AN16,AL15=AL16),BD15,0),IF(AND(AG15=AG13,AN15=AN13,AL15=AL13),BA15,0),IF(AND(AG15=AG14,AN15=AN14,AL15=AL14),BB15,0))</f>
        <v>0</v>
      </c>
      <c r="BA15" s="441">
        <f>I13</f>
        <v>1</v>
      </c>
      <c r="BB15" s="442">
        <f>I16</f>
        <v>1</v>
      </c>
      <c r="BC15" s="442">
        <v>0</v>
      </c>
      <c r="BD15" s="443">
        <f>H12</f>
        <v>1</v>
      </c>
      <c r="BE15" s="440">
        <f>RANK(BF15,BF13:BF16,1)</f>
        <v>1</v>
      </c>
      <c r="BF15" s="440">
        <f>SUM(IF(AND(AG15=AG16,AN15=AN16,AL15=AL16),BJ15,0),IF(AND(AG15=AG13,AN15=AN13,AL15=AL13),BG15,0),IF(AND(AG15=AG14,AN15=AN14,AL15=AL14),BH15,0))</f>
        <v>0</v>
      </c>
      <c r="BG15" s="441">
        <f>BA15-BC13</f>
        <v>0</v>
      </c>
      <c r="BH15" s="442">
        <f>BB15-BC14</f>
        <v>-3</v>
      </c>
      <c r="BI15" s="442">
        <v>0</v>
      </c>
      <c r="BJ15" s="443">
        <f>BD15-BC16</f>
        <v>1</v>
      </c>
      <c r="BK15" s="410"/>
      <c r="BL15" s="412">
        <f t="shared" si="27"/>
        <v>3</v>
      </c>
      <c r="BM15" s="412" t="s">
        <v>170</v>
      </c>
      <c r="BN15" s="412">
        <f>IF(AH15=0,-($AT$13*VLOOKUP(AF15,Tabla3[[ZfP4b()8G6b·$55Ma-t·%fv-ttyZxR-.R*+Fd]:[N!"kvfjM.%&amp;gk5kfmfvv)/%;V$&amp;VW]],2,FALSE)),AG15*$AT$7+AN15*$AT$8+AL15*$AT$9+AX15-($AT$13*VLOOKUP(AF15,Tabla3[[ZfP4b()8G6b·$55Ma-t·%fv-ttyZxR-.R*+Fd]:[N!"kvfjM.%&amp;gk5kfmfvv)/%;V$&amp;VW]],2,FALSE)/100))</f>
        <v>3980310999.9699998</v>
      </c>
      <c r="BO15" s="412" t="str">
        <f t="shared" si="28"/>
        <v>Marruecos</v>
      </c>
      <c r="BP15" s="412">
        <f t="shared" si="29"/>
        <v>3980310999.9699998</v>
      </c>
      <c r="BQ15" s="410"/>
      <c r="BR15" s="412">
        <v>3</v>
      </c>
      <c r="BS15" s="412" t="str">
        <f t="shared" si="30"/>
        <v>Marruecos</v>
      </c>
      <c r="BT15" s="412">
        <f t="shared" si="31"/>
        <v>4</v>
      </c>
      <c r="BU15" s="444">
        <f t="shared" si="32"/>
        <v>20300000.019999981</v>
      </c>
      <c r="BV15" s="412">
        <f t="shared" si="33"/>
        <v>-2</v>
      </c>
      <c r="BW15" s="412">
        <f t="shared" si="34"/>
        <v>3</v>
      </c>
      <c r="BX15" s="410">
        <f>IF($BY$13=$CA$12,$DC$5:$DC$8,IF($BY$13=$CB$12,$DD$5:$DD$7,IF(OR($BY$13=$CC$12,$BY$13=$CG$12),$DG$5:$DG$6,IF($BY$13=$CE$12,$DF$5:$DF$7,(IF($BY$13=$CF$12,$DH$5:$DH$6,$DK$5))))))</f>
        <v>3</v>
      </c>
      <c r="BY15" s="14"/>
      <c r="BZ15" s="14">
        <v>3</v>
      </c>
      <c r="CA15" s="418">
        <f t="array" ref="CA15">IF(AND($BT$13:$BT$16=$BT$15,$BU$13:$BU$16&lt;160,$AN$13:$AN$16=$AN$15,$BW$13:$BW$16=$BW$15),1,0)</f>
        <v>0</v>
      </c>
      <c r="CB15" s="418">
        <f t="array" ref="CB15">IF(AND($BT$13:$BT$15=$BT$15,$BU$13:$BU$15&lt;160,$BT$15&lt;&gt;$BT$16),1,0)</f>
        <v>0</v>
      </c>
      <c r="CC15" s="418">
        <f t="array" ref="CC15">IF(AND($BT$15:$BT$16=$BT$15,$BU$15:$BU$16&lt;160,$BT$15&lt;&gt;$BT$14),1,0)</f>
        <v>0</v>
      </c>
      <c r="CD15" s="418">
        <f t="array" ref="CD15">IF(OR(AND($BT$15&lt;&gt;$BT$14,$BT$15&lt;&gt;$BT$16),AND($BT$15&lt;&gt;$BT$14,$BT$15=$BT$16,$BU$15&gt;160,$BU$16&gt;160)),1,0)</f>
        <v>0</v>
      </c>
      <c r="CE15" s="418">
        <f t="array" ref="CE15">IF(AND($BT$14:$BT$16=$BT$14,$BU$14:$BU$16&lt;160,$BT$13&lt;&gt;$BT$15),1,0)</f>
        <v>0</v>
      </c>
      <c r="CF15" s="418">
        <f t="array" ref="CF15">IF(AND($BT$14:$BT$15=$BT$15,$BU$14:$BU$15&lt;160,$BT$15&lt;&gt;$BT$13,$BT$15&lt;&gt;$BT$16),1,0)</f>
        <v>0</v>
      </c>
      <c r="CG15" s="418">
        <f t="array" ref="CG15">IF(AND($BT$15:$BT$16=$BT$15,$BU$15:$BU$16&lt;160,$BT$15&lt;&gt;$BT$14),1,0)</f>
        <v>0</v>
      </c>
      <c r="CH15" s="418">
        <f t="array" ref="CH15">IF(AND($BT$15&lt;&gt;$BT$14,$BT$15&lt;&gt;$BT$16),1,0)</f>
        <v>0</v>
      </c>
      <c r="CI15" s="418">
        <f t="array" ref="CI15">IF(AND($BT$13:$BT$16=$BT$13,$BU$13:$BU$16&lt;160,$BV$15:$BV$16=$BV$15,$BV$14&lt;&gt;$BV$15),1,0)</f>
        <v>0</v>
      </c>
      <c r="CJ15" s="418">
        <f t="array" ref="CJ15">IF(AND($BT$13:$BT$16=$BT$13,$BU$13:$BU$16&lt;160,$BV$13:$BV$16=$BV$13,$BW$15=$BW$16,$BW$14&lt;&gt;$BW$15),1,0)</f>
        <v>0</v>
      </c>
      <c r="CK15" s="418">
        <f t="array" ref="CK15">IF(AND($BT$13:$BT$15=$BT$15,$BU$13:$BU$14&lt;160,$BU$15&gt;160),1,0)</f>
        <v>0</v>
      </c>
      <c r="CL15" s="418">
        <f t="array" ref="CL15">IF(AND($BT$14&lt;&gt;$BT$13,$BT$14:$BT$16=$BT$15,$BU$14&gt;160,$BU$15:$BU$16&lt;160),1,0)</f>
        <v>0</v>
      </c>
      <c r="CM15" s="418">
        <f t="array" ref="CM15">IF(AND($BT$14&lt;&gt;$BT$13,$BT$14:$BT$16=$BT$14,$BU$16&gt;160,$BU$14:$BU$15&lt;160),1,0)</f>
        <v>0</v>
      </c>
      <c r="CN15" s="418">
        <f t="array" ref="CN15">IF(AND($BT$15&lt;&gt;$BT$16,$BT$13:$BT$15=$BT$15,$BU$13&gt;160,$BU$14:$BU$15&lt;160),1,0)</f>
        <v>0</v>
      </c>
      <c r="CO15" s="418">
        <f t="array" ref="CO15">IF(AND($BT$13:$BT$16=$BT$14,$BU$14:$BU$16&lt;160,$BU$13&lt;&gt;$BU$15),1,0)</f>
        <v>0</v>
      </c>
      <c r="CP15" s="418">
        <f t="array" ref="CP15">IF(AND($BT$13:$BT$16=$BT$15,$BU$13:$BU$15&lt;160,$BU$15&lt;&gt;$BU$16),1,0)</f>
        <v>0</v>
      </c>
      <c r="CQ15" s="418">
        <f t="array" ref="CQ15">IF(AND($BT$13:$BT$16=$BT$15,$BU$13:$BU$14&gt;160,$BU$15:$BU$16&lt;160,$BV$13:$BV$16=$BV$15,$BW$13&gt;$BW$14,$BW$14&gt;$BW$15,$BW$15=$BW$16),1,0)</f>
        <v>0</v>
      </c>
      <c r="CR15" s="418">
        <f t="array" ref="CR15">IF(AND($BT$13:$BT$16=$BT$15,$BU$13&gt;160,$BU$14:$BU$15&lt;160,$BU$16&gt;160,$BV$13:$BV$16=$BV$15,$BW$13&gt;$BW$14,$BW$14=$BW$15,$BW$15&gt;$BW$16),1,0)</f>
        <v>0</v>
      </c>
      <c r="CS15" s="418">
        <f t="array" ref="CS15">IF(AND($BT$13:$BT$16=$BT$15,$BU$13:$BU$14&lt;160,$BU$15:$BU$16&gt;160,$BV$13:$BV$16=$BV$15,$BW$13=$BW$14,$BW$14&gt;$BW$15,$BW$15&gt;$BW$16),1,0)</f>
        <v>0</v>
      </c>
      <c r="CT15" s="418">
        <f t="array" ref="CT15">IF(AND($BT$13:$BT$16=$BT$15,$BU$13:$BU$14&gt;160,$BU$15:$BU$16&lt;160,$BV$13:$BV$16=$BV$14,$BW$13&gt;$BW$15,$BW$14:$BW$16=$BW$15),1,0)</f>
        <v>0</v>
      </c>
      <c r="CU15" s="418">
        <f t="array" ref="CU15">IF(AND($BT$13:$BT$16=$BT$15,$BU$13:$BU$14&lt;160,$BU$15:$BU$16&gt;160,$BV$13:$BV$16=$BV$15,$BW$13:$BW$15=$BW$15,$BW$15&gt;$BW$16),1,0)</f>
        <v>0</v>
      </c>
      <c r="CV15" s="418">
        <f t="array" ref="CV15">IF(AND($BT$13:$BT$16=$BT$15,$BU$13&gt;160,$BU$16&gt;160,$BU$14:$BU$15&lt;160,$BV$13:$BV$16=$BV$15,$BW$13&gt;$BW$14:$BW$16,$BW$14:$BW$16=$BW$15),1,0)</f>
        <v>0</v>
      </c>
      <c r="CW15" s="418"/>
      <c r="CX15" s="418"/>
      <c r="CY15" s="14"/>
      <c r="CZ15" s="14"/>
      <c r="DA15" s="14"/>
      <c r="DB15" s="14"/>
      <c r="DC15" s="14"/>
      <c r="DD15" s="14"/>
      <c r="DE15" s="14"/>
      <c r="DF15" s="14"/>
      <c r="DG15" s="14"/>
      <c r="DH15" s="14"/>
      <c r="DI15" s="14"/>
      <c r="DJ15" s="14"/>
      <c r="DK15" s="14"/>
      <c r="DL15" s="14"/>
      <c r="DM15" s="14"/>
      <c r="DN15" s="475"/>
    </row>
    <row r="16" spans="1:118" ht="15.75" thickBot="1" x14ac:dyDescent="0.3">
      <c r="A16" s="74"/>
      <c r="B16" s="517"/>
      <c r="C16" s="274">
        <v>43276</v>
      </c>
      <c r="D16" s="275">
        <v>0.83333333333333337</v>
      </c>
      <c r="E16" s="276" t="s">
        <v>208</v>
      </c>
      <c r="F16" s="345" t="s">
        <v>155</v>
      </c>
      <c r="G16" s="247"/>
      <c r="H16" s="480">
        <v>4</v>
      </c>
      <c r="I16" s="479">
        <v>1</v>
      </c>
      <c r="J16" s="223"/>
      <c r="K16" s="369" t="s">
        <v>170</v>
      </c>
      <c r="L16" s="149">
        <f t="shared" si="1"/>
        <v>1</v>
      </c>
      <c r="M16" s="153"/>
      <c r="N16" s="41">
        <v>4</v>
      </c>
      <c r="O16" s="42" t="str">
        <f>VLOOKUP(N16,$AD$13:$AF$16,3,0)</f>
        <v>Irán</v>
      </c>
      <c r="P16" s="43">
        <f>VLOOKUP(O16,AF13:AO16,2,FALSE)</f>
        <v>0</v>
      </c>
      <c r="Q16" s="44">
        <f>VLOOKUP(O16,AF13:AO16,3,FALSE)</f>
        <v>3</v>
      </c>
      <c r="R16" s="44">
        <f>VLOOKUP(O16,AF13:AO16,4,FALSE)</f>
        <v>0</v>
      </c>
      <c r="S16" s="44">
        <f>VLOOKUP(O16,AF13:AO16,5,FALSE)</f>
        <v>0</v>
      </c>
      <c r="T16" s="44">
        <f>VLOOKUP(O16,AF13:AO16,6,FALSE)</f>
        <v>3</v>
      </c>
      <c r="U16" s="44">
        <f>VLOOKUP(O16,AF13:AO16,7,FALSE)</f>
        <v>3</v>
      </c>
      <c r="V16" s="44">
        <f>VLOOKUP(O16,AF13:AO16,8,FALSE)</f>
        <v>6</v>
      </c>
      <c r="W16" s="46">
        <f>VLOOKUP(O16,AF13:AO16,9,FALSE)</f>
        <v>-3</v>
      </c>
      <c r="X16" s="28">
        <f t="shared" si="20"/>
        <v>29689000.039999999</v>
      </c>
      <c r="Y16" s="402" t="str">
        <f t="shared" si="21"/>
        <v/>
      </c>
      <c r="Z16" s="405"/>
      <c r="AA16" s="29"/>
      <c r="AB16" s="29"/>
      <c r="AC16" s="413">
        <f t="shared" si="22"/>
        <v>-29689000.039999999</v>
      </c>
      <c r="AD16" s="14">
        <f t="shared" si="23"/>
        <v>4</v>
      </c>
      <c r="AE16" s="445">
        <f>RANK(AO16,$AO$13:$AO$16)</f>
        <v>4</v>
      </c>
      <c r="AF16" s="446" t="s">
        <v>166</v>
      </c>
      <c r="AG16" s="447">
        <f>AI16*3+AJ16*1+AK16*0</f>
        <v>0</v>
      </c>
      <c r="AH16" s="447">
        <f t="shared" si="24"/>
        <v>3</v>
      </c>
      <c r="AI16" s="447">
        <f t="array" ref="AI16">SUM((F$11:F$16=AF16)*(H$11:H$16&lt;&gt;"")*(I$11:I$16&lt;&gt;"")*(H$11:H$16&gt;I$11:I$16),(K$11:K$16=AF16)*(H$11:H$16&lt;&gt;"")*(I$11:I$16&lt;&gt;"")*(H$11:H$16&lt;I$11:I$16))</f>
        <v>0</v>
      </c>
      <c r="AJ16" s="447">
        <f t="array" ref="AJ16">SUM((F$11:F$16=AF16)*(H$11:H$16&lt;&gt;"")*(I$11:I$16&lt;&gt;"")*(H$11:H$16=I$11:I$16),(K$11:K$16=AF16)*(I$11:I$16&lt;&gt;"")*(H$11:H$16&lt;&gt;"")*(H$11:H$16=I$11:I$16))</f>
        <v>0</v>
      </c>
      <c r="AK16" s="447">
        <f t="array" ref="AK16">SUM((F$11:F$16=AF16)*(I$11:I$16&lt;&gt;"")*(H$11:H$16&lt;&gt;"")*(H$11:H$16&lt;I$11:I$16),(H$11:H$16&lt;&gt;"")*(K$11:K$16=AF16)*(I$11:I$16&lt;&gt;"")*(H$11:H$16&gt;I$11:I$16))</f>
        <v>3</v>
      </c>
      <c r="AL16" s="447">
        <f t="array" ref="AL16">SUMIFS($H$11:$H$16,$F$11:$F$16,AF16,$H$11:$H$16,"&lt;&gt;",$I$11:$I$16,"&lt;&gt;")+SUMIFS($I$11:$I$16,$K$11:$K$16,AF16,$H$11:$H$16,"&lt;&gt;",$I$11:$I$16,"&lt;&gt;")</f>
        <v>3</v>
      </c>
      <c r="AM16" s="447">
        <f t="array" ref="AM16">SUMIFS($H$11:$H$16,$K$11:$K$16,AF16,$H$11:$H$16,"&lt;&gt;",$I$11:$I$16,"&lt;&gt;")+SUMIFS($I$11:$I$16,$F$11:$F$16,AF16,$H$11:$H$16,"&lt;&gt;",$I$11:$I$16,"&lt;&gt;")</f>
        <v>6</v>
      </c>
      <c r="AN16" s="447">
        <f>AL16-AM16</f>
        <v>-3</v>
      </c>
      <c r="AO16" s="447">
        <f>IF(AH16=0,-($AT$13*VLOOKUP(AF16,Tabla3[[ZfP4b()8G6b·$55Ma-t·%fv-ttyZxR-.R*+Fd]:[N!"kvfjM.%&amp;gk5kfmfvv)/%;V$&amp;VW]],2,FALSE)),AG16*$AT$7+AN16*$AT$8+AL16*$AT$9+AX16-($AT$13*VLOOKUP(AF16,Tabla3[[ZfP4b()8G6b·$55Ma-t·%fv-ttyZxR-.R*+Fd]:[N!"kvfjM.%&amp;gk5kfmfvv)/%;V$&amp;VW]],2,FALSE)/100))</f>
        <v>-29689000.039999999</v>
      </c>
      <c r="AP16" s="449">
        <f>AE16</f>
        <v>4</v>
      </c>
      <c r="AQ16" s="14"/>
      <c r="AR16" s="14">
        <f t="shared" si="25"/>
        <v>-29689000.039999999</v>
      </c>
      <c r="AS16" s="14"/>
      <c r="AT16" s="14"/>
      <c r="AU16" s="14"/>
      <c r="AV16" s="450" t="str">
        <f>AF16</f>
        <v>Irán</v>
      </c>
      <c r="AW16" s="451">
        <f t="shared" si="26"/>
        <v>1</v>
      </c>
      <c r="AX16" s="452">
        <f>(AY16*$AT$12)+(BE16*$AT$11)</f>
        <v>11000</v>
      </c>
      <c r="AY16" s="453">
        <f>RANK(AZ16,AZ13:AZ16,1)</f>
        <v>1</v>
      </c>
      <c r="AZ16" s="453">
        <f>SUM(IF(AND(AG16=AG13,AN16=AN13,AL16=AL13),BA16,0),IF(AND(AG16=AG14,AN16=AN14,AL16=AL14),BB16,0),IF(AND(AG16=AG15,AN16=AN15,AL16=AL15),BC16,0))</f>
        <v>0</v>
      </c>
      <c r="BA16" s="454">
        <f>H15</f>
        <v>2</v>
      </c>
      <c r="BB16" s="455">
        <f>H14</f>
        <v>1</v>
      </c>
      <c r="BC16" s="455">
        <f>I12</f>
        <v>0</v>
      </c>
      <c r="BD16" s="456">
        <v>0</v>
      </c>
      <c r="BE16" s="453">
        <f>RANK(BF16,BF13:BF16,1)</f>
        <v>1</v>
      </c>
      <c r="BF16" s="453">
        <f>SUM(IF(AND(AG16=AG13,AN16=AN13,AL16=AL13),BG16,0),IF(AND(AG16=AG14,AN16=AN14,AL16=AL14),BH16,0),IF(AND(AG16=AG15,AN16=AN15,AL16=AL15),BI16,0))</f>
        <v>0</v>
      </c>
      <c r="BG16" s="454">
        <f>BA16-BD13</f>
        <v>-1</v>
      </c>
      <c r="BH16" s="455">
        <f>BB16-BD14</f>
        <v>-1</v>
      </c>
      <c r="BI16" s="455">
        <f>BC16-BD15</f>
        <v>-1</v>
      </c>
      <c r="BJ16" s="456">
        <v>0</v>
      </c>
      <c r="BK16" s="410"/>
      <c r="BL16" s="412">
        <f t="shared" si="27"/>
        <v>4</v>
      </c>
      <c r="BM16" s="412" t="s">
        <v>166</v>
      </c>
      <c r="BN16" s="412">
        <f>IF(AH16=0,-($AT$13*VLOOKUP(AF16,Tabla3[[ZfP4b()8G6b·$55Ma-t·%fv-ttyZxR-.R*+Fd]:[N!"kvfjM.%&amp;gk5kfmfvv)/%;V$&amp;VW]],2,FALSE)),AG16*$AT$7+AN16*$AT$8+AL16*$AT$9+AX16-($AT$13*VLOOKUP(AF16,Tabla3[[ZfP4b()8G6b·$55Ma-t·%fv-ttyZxR-.R*+Fd]:[N!"kvfjM.%&amp;gk5kfmfvv)/%;V$&amp;VW]],2,FALSE)/100))</f>
        <v>-29689000.039999999</v>
      </c>
      <c r="BO16" s="412" t="str">
        <f t="shared" si="28"/>
        <v>Irán</v>
      </c>
      <c r="BP16" s="412">
        <f t="shared" si="29"/>
        <v>-29689000.039999999</v>
      </c>
      <c r="BQ16" s="410"/>
      <c r="BR16" s="412">
        <v>4</v>
      </c>
      <c r="BS16" s="412" t="str">
        <f t="shared" si="30"/>
        <v>Irán</v>
      </c>
      <c r="BT16" s="412">
        <f t="shared" si="31"/>
        <v>0</v>
      </c>
      <c r="BU16" s="444">
        <f t="shared" si="32"/>
        <v>29689000.039999999</v>
      </c>
      <c r="BV16" s="412">
        <f t="shared" si="33"/>
        <v>-3</v>
      </c>
      <c r="BW16" s="412">
        <f t="shared" si="34"/>
        <v>3</v>
      </c>
      <c r="BX16" s="410">
        <f>IF($BY$13=$CA$12,$DC$5:$DC$8,IF(OR($BY$13=$CC$12,$BY$13=$CG$12),$DG$5:$DG$6,IF($BY$13=$CE$12,$DF$5:$DF$7,$DL$5)))</f>
        <v>4</v>
      </c>
      <c r="BY16" s="14"/>
      <c r="BZ16" s="14">
        <v>4</v>
      </c>
      <c r="CA16" s="418">
        <f t="array" ref="CA16">IF(AND($BT$13:$BT$16=$BT$16,$BU$13:$BU$16&lt;160,$AN$13:$AN$16=$AN$16,$BW$13:$BW$16=$BW$16),1,0)</f>
        <v>0</v>
      </c>
      <c r="CB16" s="418">
        <f t="array" ref="CB16">IF(AND($BT$13:$BT$15=$BT$13,$BU$13:$BU$15&lt;160,$BU$16&gt;160,$BT$13&lt;&gt;$BT$16),1,0)</f>
        <v>0</v>
      </c>
      <c r="CC16" s="418">
        <f t="array" ref="CC16">IF(AND($BT$15:$BT$16=$BT$15,$BU$15:$BU$16&lt;160,$BT$15&lt;&gt;$BT$14),1,0)</f>
        <v>0</v>
      </c>
      <c r="CD16" s="418">
        <f t="array" ref="CD16">IF(AND($BT$16&lt;&gt;$BT$14,$BT$16&lt;&gt;$BT$13),1,0)</f>
        <v>1</v>
      </c>
      <c r="CE16" s="418">
        <f t="array" ref="CE16">IF(AND($BT$14:$BT$16=$BT$14,$BU$14:$BU$16&lt;160,$BT$13&lt;&gt;$BT$16),1,0)</f>
        <v>0</v>
      </c>
      <c r="CF16" s="418">
        <f t="array" ref="CF16">IF(AND($BT$16&lt;&gt;$BT$14,$BT$16&lt;&gt;$BT$13),1,0)</f>
        <v>1</v>
      </c>
      <c r="CG16" s="418">
        <f t="array" ref="CG16">IF(AND($BT$15:$BT$16=$BT$15,$BU$15:$BU$16&lt;160,$BT$15&lt;&gt;$BT$14),1,0)</f>
        <v>0</v>
      </c>
      <c r="CH16" s="418">
        <f t="array" ref="CH16">IF(AND($BT$16&lt;&gt;$BT$14,$BT$16&lt;&gt;$BT$13),1,0)</f>
        <v>1</v>
      </c>
      <c r="CI16" s="418">
        <f t="array" ref="CI16">IF(AND($BT$13:$BT$16=$BT$13,$BU$13:$BU$16&lt;160,$BV$15:$BV$16=$BV$16,$BV$14&lt;&gt;$BV$16),1,0)</f>
        <v>0</v>
      </c>
      <c r="CJ16" s="418">
        <f t="array" ref="CJ16">IF(AND($BT$13:$BT$16=$BT$13,$BU$13:$BU$16&lt;160,$BV$13:$BV$16=$BV$13,$BW$15=$BW$16,$BW$14&lt;&gt;$BW$15),1,0)</f>
        <v>0</v>
      </c>
      <c r="CK16" s="418">
        <f t="array" ref="CK16">IF(AND($BT$13:$BT$15=$BT$13,$BU$13:$BU$14&lt;160,$BT$15&lt;&gt;$BT$16),1,0)</f>
        <v>0</v>
      </c>
      <c r="CL16" s="418">
        <f t="array" ref="CL16">IF(AND($BT$14&lt;&gt;$BT$13,$BT$14:$BT$16=$BT$15,$BU$14&gt;160,$BU$15:$BU$16&lt;160),1,0)</f>
        <v>0</v>
      </c>
      <c r="CM16" s="418">
        <f t="array" ref="CM16">IF(AND($BT$14&lt;&gt;$BT$13,$BT$14:$BT$16=$BT$14,$BU$16&gt;160,$BU$14:$BU$15&lt;160),1,0)</f>
        <v>0</v>
      </c>
      <c r="CN16" s="418">
        <f t="array" ref="CN16">IF(AND($BT$16&lt;&gt;$BT$14,$BT$16&lt;&gt;$BT$15),1,0)</f>
        <v>1</v>
      </c>
      <c r="CO16" s="418">
        <f t="array" ref="CO16">IF(AND($BT$13:$BT$16=$BT$14,$BU$14:$BU$16&lt;160,$BU$13&lt;&gt;$BU$16),1,0)</f>
        <v>0</v>
      </c>
      <c r="CP16" s="418">
        <f t="array" ref="CP16">IF(AND($BT$13:$BT$16=$BT$13,$BU$13:$BU$15&lt;160,$BU$15&lt;&gt;$BU$16),1,0)</f>
        <v>0</v>
      </c>
      <c r="CQ16" s="418">
        <f t="array" ref="CQ16">IF(AND($BT$13:$BT$16=$BT$16,$BU$13:$BU$14&gt;160,$BU$15:$BU$16&lt;160,$BV$13:$BV$16=$BV$16,$BW$13&gt;$BW$14,$BW$14&gt;$BW$16,$BW$15=$BW$16),1,0)</f>
        <v>0</v>
      </c>
      <c r="CR16" s="418">
        <f t="array" ref="CR16">IF(AND($BT$13:$BT$16=$BT$14,$BU$13&gt;160,$BU$14:$BU$15&lt;160,$BU$16&gt;160,$BV$13:$BV$16=$BV$16,$BW$13&gt;$BW$16,$BW$14=$BW$15,$BW$14&gt;$BW$16),1,0)</f>
        <v>0</v>
      </c>
      <c r="CS16" s="418">
        <f t="array" ref="CS16">IF(AND($BT$13:$BT$16=$BT$16,$BU$13:$BU$14&lt;160,$BU$15:$BU$16&gt;160,$BV$13:$BV$16=$BV$16,$BW$13=$BW$14,$BW$14&gt;$BW$15,$BW$15&gt;$BW$16),1,0)</f>
        <v>0</v>
      </c>
      <c r="CT16" s="418">
        <f t="array" ref="CT16">IF(AND($BT$13:$BT$16=$BT$16,$BU$13:$BU$14&gt;160,$BU$15:$BU$16&lt;160,$BV$13:$BV$16=$BV$16,$BW$13&gt;$BW$16,$BW$14:$BW$16=$BW$16),1,0)</f>
        <v>0</v>
      </c>
      <c r="CU16" s="418">
        <f t="array" ref="CU16">IF(AND($BT$13:$BT$16=$BT$16,$BU$13:$BU$14&lt;160,$BU$15:$BU$16&gt;160,$BV$13:$BV$16=$BV$16,$BW$13:$BW$15=$BW$15,$BW$13:$BW$15&gt;$BW$16),1,0)</f>
        <v>0</v>
      </c>
      <c r="CV16" s="418">
        <f t="array" ref="CV16">IF(AND($BT$13:$BT$16=$BT$16,$BU$13&gt;160,$BU$16&gt;160,$BU$14:$BU$15&lt;160,$BV$13:$BV$16=$BV$16,$BW$13&gt;$BW$14:$BW$16,$BW$14:$BW$16=$BW$16),1,0)</f>
        <v>0</v>
      </c>
      <c r="CW16" s="418"/>
      <c r="CX16" s="418"/>
      <c r="CY16" s="14"/>
      <c r="CZ16" s="14"/>
      <c r="DA16" s="14"/>
      <c r="DB16" s="14"/>
      <c r="DC16" s="14"/>
      <c r="DD16" s="14"/>
      <c r="DE16" s="14"/>
      <c r="DF16" s="14"/>
      <c r="DG16" s="14"/>
      <c r="DH16" s="14"/>
      <c r="DI16" s="14"/>
      <c r="DJ16" s="14"/>
      <c r="DK16" s="14"/>
      <c r="DL16" s="14"/>
      <c r="DM16" s="14"/>
      <c r="DN16" s="475"/>
    </row>
    <row r="17" spans="1:342 8834:8837" ht="7.5" customHeight="1" thickBot="1" x14ac:dyDescent="0.3">
      <c r="A17" s="74"/>
      <c r="B17" s="75"/>
      <c r="C17" s="266"/>
      <c r="D17" s="267"/>
      <c r="E17" s="76"/>
      <c r="F17" s="78"/>
      <c r="G17" s="79"/>
      <c r="H17" s="80"/>
      <c r="I17" s="80"/>
      <c r="J17" s="81"/>
      <c r="K17" s="82"/>
      <c r="L17" s="149"/>
      <c r="M17" s="79"/>
      <c r="N17" s="26"/>
      <c r="O17" s="25"/>
      <c r="P17" s="54"/>
      <c r="Q17" s="26"/>
      <c r="R17" s="26"/>
      <c r="S17" s="26"/>
      <c r="T17" s="26"/>
      <c r="U17" s="26"/>
      <c r="V17" s="26"/>
      <c r="W17" s="26"/>
      <c r="X17" s="28"/>
      <c r="Y17" s="28"/>
      <c r="Z17" s="28"/>
      <c r="AA17" s="28"/>
      <c r="AB17" s="28"/>
      <c r="AC17" s="413"/>
      <c r="AD17" s="14"/>
      <c r="AE17" s="457"/>
      <c r="AF17" s="410"/>
      <c r="AG17" s="457"/>
      <c r="AH17" s="458"/>
      <c r="AI17" s="457"/>
      <c r="AJ17" s="458"/>
      <c r="AK17" s="457"/>
      <c r="AL17" s="457"/>
      <c r="AM17" s="457"/>
      <c r="AN17" s="457"/>
      <c r="AO17" s="457"/>
      <c r="AP17" s="457"/>
      <c r="AQ17" s="14"/>
      <c r="AR17" s="14"/>
      <c r="AS17" s="14"/>
      <c r="AT17" s="14"/>
      <c r="AU17" s="14"/>
      <c r="AV17" s="459"/>
      <c r="AW17" s="457"/>
      <c r="AX17" s="457"/>
      <c r="AY17" s="460"/>
      <c r="AZ17" s="461"/>
      <c r="BA17" s="461"/>
      <c r="BB17" s="461"/>
      <c r="BC17" s="461"/>
      <c r="BD17" s="462"/>
      <c r="BE17" s="460"/>
      <c r="BF17" s="461"/>
      <c r="BG17" s="461"/>
      <c r="BH17" s="461"/>
      <c r="BI17" s="461"/>
      <c r="BJ17" s="462"/>
      <c r="BK17" s="410"/>
      <c r="BL17" s="410"/>
      <c r="BM17" s="410"/>
      <c r="BN17" s="410"/>
      <c r="BO17" s="410"/>
      <c r="BP17" s="410"/>
      <c r="BQ17" s="410"/>
      <c r="BR17" s="410"/>
      <c r="BS17" s="410"/>
      <c r="BT17" s="410"/>
      <c r="BU17" s="468"/>
      <c r="BV17" s="410"/>
      <c r="BW17" s="410"/>
      <c r="BX17" s="410"/>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475"/>
    </row>
    <row r="18" spans="1:342 8834:8837" ht="15.75" customHeight="1" thickBot="1" x14ac:dyDescent="0.3">
      <c r="A18" s="74"/>
      <c r="B18" s="518" t="s">
        <v>2</v>
      </c>
      <c r="C18" s="277">
        <v>43267</v>
      </c>
      <c r="D18" s="278">
        <v>0.5</v>
      </c>
      <c r="E18" s="279" t="s">
        <v>104</v>
      </c>
      <c r="F18" s="346" t="s">
        <v>151</v>
      </c>
      <c r="G18" s="224"/>
      <c r="H18" s="481">
        <v>4</v>
      </c>
      <c r="I18" s="481">
        <v>1</v>
      </c>
      <c r="J18" s="224"/>
      <c r="K18" s="370" t="s">
        <v>173</v>
      </c>
      <c r="L18" s="149">
        <f t="shared" si="1"/>
        <v>1</v>
      </c>
      <c r="M18" s="79"/>
      <c r="N18" s="165" t="s">
        <v>31</v>
      </c>
      <c r="O18" s="166"/>
      <c r="P18" s="166"/>
      <c r="Q18" s="166"/>
      <c r="R18" s="166"/>
      <c r="S18" s="166"/>
      <c r="T18" s="166"/>
      <c r="U18" s="166"/>
      <c r="V18" s="166"/>
      <c r="W18" s="167"/>
      <c r="X18" s="28"/>
      <c r="Y18" s="567" t="s">
        <v>218</v>
      </c>
      <c r="Z18" s="567"/>
      <c r="AA18" s="567"/>
      <c r="AB18" s="28"/>
      <c r="AC18" s="413"/>
      <c r="AD18" s="14"/>
      <c r="AE18" s="414" t="s">
        <v>37</v>
      </c>
      <c r="AF18" s="463"/>
      <c r="AG18" s="14"/>
      <c r="AH18" s="457"/>
      <c r="AI18" s="14"/>
      <c r="AJ18" s="457"/>
      <c r="AK18" s="14"/>
      <c r="AL18" s="14"/>
      <c r="AM18" s="14"/>
      <c r="AN18" s="14"/>
      <c r="AO18" s="14"/>
      <c r="AP18" s="415"/>
      <c r="AQ18" s="14"/>
      <c r="AR18" s="14"/>
      <c r="AS18" s="14"/>
      <c r="AT18" s="14"/>
      <c r="AU18" s="14"/>
      <c r="AV18" s="416" t="str">
        <f>CONCATENATE(N18," - GOLAVERAGE")</f>
        <v>Grupo C - GOLAVERAGE</v>
      </c>
      <c r="AW18" s="417"/>
      <c r="AX18" s="417"/>
      <c r="AY18" s="508" t="s">
        <v>49</v>
      </c>
      <c r="AZ18" s="509"/>
      <c r="BA18" s="509"/>
      <c r="BB18" s="509"/>
      <c r="BC18" s="509"/>
      <c r="BD18" s="510"/>
      <c r="BE18" s="508" t="s">
        <v>48</v>
      </c>
      <c r="BF18" s="509"/>
      <c r="BG18" s="509"/>
      <c r="BH18" s="509"/>
      <c r="BI18" s="509"/>
      <c r="BJ18" s="510"/>
      <c r="BK18" s="410"/>
      <c r="BL18" s="410"/>
      <c r="BM18" s="410"/>
      <c r="BN18" s="410"/>
      <c r="BO18" s="410"/>
      <c r="BP18" s="410"/>
      <c r="BQ18" s="410"/>
      <c r="BR18" s="410"/>
      <c r="BS18" s="410"/>
      <c r="BT18" s="410"/>
      <c r="BU18" s="468"/>
      <c r="BV18" s="410"/>
      <c r="BW18" s="410"/>
      <c r="BX18" s="410"/>
      <c r="BY18" s="14"/>
      <c r="BZ18" s="14" t="s">
        <v>216</v>
      </c>
      <c r="CA18" s="418">
        <f>SUM(CA20:CA23)</f>
        <v>0</v>
      </c>
      <c r="CB18" s="418">
        <f t="shared" ref="CB18:CX18" si="35">SUM(CB20:CB23)</f>
        <v>0</v>
      </c>
      <c r="CC18" s="418">
        <f t="shared" si="35"/>
        <v>0</v>
      </c>
      <c r="CD18" s="418">
        <f t="shared" si="35"/>
        <v>2</v>
      </c>
      <c r="CE18" s="418">
        <f t="shared" si="35"/>
        <v>0</v>
      </c>
      <c r="CF18" s="418">
        <f t="shared" si="35"/>
        <v>2</v>
      </c>
      <c r="CG18" s="418">
        <f t="shared" si="35"/>
        <v>2</v>
      </c>
      <c r="CH18" s="418">
        <f t="shared" si="35"/>
        <v>4</v>
      </c>
      <c r="CI18" s="418">
        <f t="shared" si="35"/>
        <v>0</v>
      </c>
      <c r="CJ18" s="418">
        <f t="shared" si="35"/>
        <v>0</v>
      </c>
      <c r="CK18" s="418">
        <f t="shared" si="35"/>
        <v>0</v>
      </c>
      <c r="CL18" s="418">
        <f t="shared" si="35"/>
        <v>1</v>
      </c>
      <c r="CM18" s="418">
        <f t="shared" si="35"/>
        <v>1</v>
      </c>
      <c r="CN18" s="418">
        <f t="shared" si="35"/>
        <v>1</v>
      </c>
      <c r="CO18" s="418">
        <f t="shared" si="35"/>
        <v>0</v>
      </c>
      <c r="CP18" s="418">
        <f t="shared" si="35"/>
        <v>0</v>
      </c>
      <c r="CQ18" s="418">
        <f t="shared" si="35"/>
        <v>0</v>
      </c>
      <c r="CR18" s="418">
        <f t="shared" si="35"/>
        <v>0</v>
      </c>
      <c r="CS18" s="418">
        <f t="shared" si="35"/>
        <v>0</v>
      </c>
      <c r="CT18" s="418">
        <f t="shared" si="35"/>
        <v>0</v>
      </c>
      <c r="CU18" s="418">
        <f t="shared" si="35"/>
        <v>0</v>
      </c>
      <c r="CV18" s="418">
        <f t="shared" si="35"/>
        <v>0</v>
      </c>
      <c r="CW18" s="418">
        <f t="shared" si="35"/>
        <v>0</v>
      </c>
      <c r="CX18" s="418">
        <f t="shared" si="35"/>
        <v>0</v>
      </c>
      <c r="CY18" s="14"/>
      <c r="CZ18" s="14"/>
      <c r="DA18" s="14"/>
      <c r="DB18" s="14"/>
      <c r="DC18" s="14"/>
      <c r="DD18" s="14"/>
      <c r="DE18" s="14"/>
      <c r="DF18" s="14"/>
      <c r="DG18" s="14"/>
      <c r="DH18" s="14"/>
      <c r="DI18" s="14"/>
      <c r="DJ18" s="14"/>
      <c r="DK18" s="14"/>
      <c r="DL18" s="14"/>
      <c r="DM18" s="14"/>
      <c r="DN18" s="475"/>
    </row>
    <row r="19" spans="1:342 8834:8837" x14ac:dyDescent="0.25">
      <c r="A19" s="74"/>
      <c r="B19" s="519"/>
      <c r="C19" s="280">
        <v>43267</v>
      </c>
      <c r="D19" s="281">
        <v>0.75</v>
      </c>
      <c r="E19" s="282" t="s">
        <v>103</v>
      </c>
      <c r="F19" s="347" t="s">
        <v>161</v>
      </c>
      <c r="G19" s="225"/>
      <c r="H19" s="481">
        <v>1</v>
      </c>
      <c r="I19" s="481">
        <v>1</v>
      </c>
      <c r="J19" s="225"/>
      <c r="K19" s="371" t="s">
        <v>168</v>
      </c>
      <c r="L19" s="149">
        <f t="shared" si="1"/>
        <v>1</v>
      </c>
      <c r="M19" s="79"/>
      <c r="N19" s="168" t="s">
        <v>26</v>
      </c>
      <c r="O19" s="169" t="s">
        <v>6</v>
      </c>
      <c r="P19" s="170" t="s">
        <v>12</v>
      </c>
      <c r="Q19" s="170" t="s">
        <v>7</v>
      </c>
      <c r="R19" s="170" t="s">
        <v>8</v>
      </c>
      <c r="S19" s="170" t="s">
        <v>4</v>
      </c>
      <c r="T19" s="170" t="s">
        <v>9</v>
      </c>
      <c r="U19" s="170" t="s">
        <v>10</v>
      </c>
      <c r="V19" s="170" t="s">
        <v>11</v>
      </c>
      <c r="W19" s="171" t="s">
        <v>14</v>
      </c>
      <c r="X19" s="403">
        <f>COUNTIF(X20:X23,"&lt;100")</f>
        <v>0</v>
      </c>
      <c r="Y19" s="567"/>
      <c r="Z19" s="567"/>
      <c r="AA19" s="567"/>
      <c r="AB19" s="29"/>
      <c r="AC19" s="413"/>
      <c r="AD19" s="419"/>
      <c r="AE19" s="420" t="s">
        <v>16</v>
      </c>
      <c r="AF19" s="467" t="s">
        <v>6</v>
      </c>
      <c r="AG19" s="421" t="s">
        <v>17</v>
      </c>
      <c r="AH19" s="421" t="s">
        <v>7</v>
      </c>
      <c r="AI19" s="421" t="s">
        <v>8</v>
      </c>
      <c r="AJ19" s="421" t="s">
        <v>4</v>
      </c>
      <c r="AK19" s="421" t="s">
        <v>9</v>
      </c>
      <c r="AL19" s="421" t="s">
        <v>10</v>
      </c>
      <c r="AM19" s="421" t="s">
        <v>11</v>
      </c>
      <c r="AN19" s="421" t="s">
        <v>14</v>
      </c>
      <c r="AO19" s="421" t="s">
        <v>18</v>
      </c>
      <c r="AP19" s="422" t="s">
        <v>16</v>
      </c>
      <c r="AQ19" s="14"/>
      <c r="AR19" s="14"/>
      <c r="AS19" s="14"/>
      <c r="AT19" s="14"/>
      <c r="AU19" s="14"/>
      <c r="AV19" s="425" t="s">
        <v>6</v>
      </c>
      <c r="AW19" s="426" t="s">
        <v>50</v>
      </c>
      <c r="AX19" s="427" t="s">
        <v>53</v>
      </c>
      <c r="AY19" s="428" t="s">
        <v>52</v>
      </c>
      <c r="AZ19" s="426" t="s">
        <v>47</v>
      </c>
      <c r="BA19" s="429" t="str">
        <f>AV20</f>
        <v>Francia</v>
      </c>
      <c r="BB19" s="430" t="str">
        <f>AV21</f>
        <v>Australia</v>
      </c>
      <c r="BC19" s="430" t="str">
        <f>AV22</f>
        <v>Perú</v>
      </c>
      <c r="BD19" s="431" t="str">
        <f>AV23</f>
        <v>Dinamarca</v>
      </c>
      <c r="BE19" s="426" t="s">
        <v>52</v>
      </c>
      <c r="BF19" s="426" t="s">
        <v>47</v>
      </c>
      <c r="BG19" s="429" t="str">
        <f>BA19</f>
        <v>Francia</v>
      </c>
      <c r="BH19" s="430" t="str">
        <f t="shared" ref="BH19" si="36">BB19</f>
        <v>Australia</v>
      </c>
      <c r="BI19" s="430" t="str">
        <f t="shared" ref="BI19" si="37">BC19</f>
        <v>Perú</v>
      </c>
      <c r="BJ19" s="431" t="str">
        <f t="shared" ref="BJ19" si="38">BD19</f>
        <v>Dinamarca</v>
      </c>
      <c r="BK19" s="410"/>
      <c r="BL19" s="432"/>
      <c r="BM19" s="432" t="s">
        <v>184</v>
      </c>
      <c r="BN19" s="432"/>
      <c r="BO19" s="432" t="s">
        <v>185</v>
      </c>
      <c r="BP19" s="432"/>
      <c r="BQ19" s="410"/>
      <c r="BR19" s="433"/>
      <c r="BS19" s="433" t="s">
        <v>6</v>
      </c>
      <c r="BT19" s="433" t="s">
        <v>17</v>
      </c>
      <c r="BU19" s="469" t="s">
        <v>204</v>
      </c>
      <c r="BV19" s="433" t="s">
        <v>14</v>
      </c>
      <c r="BW19" s="433" t="s">
        <v>205</v>
      </c>
      <c r="BX19" s="410"/>
      <c r="BY19" s="14"/>
      <c r="BZ19" s="14" t="s">
        <v>217</v>
      </c>
      <c r="CA19" s="418" t="s">
        <v>188</v>
      </c>
      <c r="CB19" s="418" t="s">
        <v>197</v>
      </c>
      <c r="CC19" s="418" t="s">
        <v>198</v>
      </c>
      <c r="CD19" s="418" t="s">
        <v>199</v>
      </c>
      <c r="CE19" s="418" t="s">
        <v>200</v>
      </c>
      <c r="CF19" s="418" t="s">
        <v>201</v>
      </c>
      <c r="CG19" s="418" t="s">
        <v>202</v>
      </c>
      <c r="CH19" s="418" t="s">
        <v>203</v>
      </c>
      <c r="CI19" s="418" t="s">
        <v>198</v>
      </c>
      <c r="CJ19" s="418" t="s">
        <v>198</v>
      </c>
      <c r="CK19" s="418" t="s">
        <v>199</v>
      </c>
      <c r="CL19" s="418" t="s">
        <v>202</v>
      </c>
      <c r="CM19" s="418" t="s">
        <v>201</v>
      </c>
      <c r="CN19" s="418" t="s">
        <v>201</v>
      </c>
      <c r="CO19" s="418" t="s">
        <v>200</v>
      </c>
      <c r="CP19" s="418" t="s">
        <v>197</v>
      </c>
      <c r="CQ19" s="418" t="s">
        <v>202</v>
      </c>
      <c r="CR19" s="418" t="s">
        <v>201</v>
      </c>
      <c r="CS19" s="418" t="s">
        <v>199</v>
      </c>
      <c r="CT19" s="418" t="s">
        <v>202</v>
      </c>
      <c r="CU19" s="418" t="s">
        <v>199</v>
      </c>
      <c r="CV19" s="418" t="s">
        <v>201</v>
      </c>
      <c r="CW19" s="418"/>
      <c r="CX19" s="418"/>
      <c r="CY19" s="14"/>
      <c r="CZ19" s="14"/>
      <c r="DA19" s="14"/>
      <c r="DB19" s="14"/>
      <c r="DC19" s="14"/>
      <c r="DD19" s="14"/>
      <c r="DE19" s="14"/>
      <c r="DF19" s="14"/>
      <c r="DG19" s="14"/>
      <c r="DH19" s="14"/>
      <c r="DI19" s="14"/>
      <c r="DJ19" s="14"/>
      <c r="DK19" s="14"/>
      <c r="DL19" s="14"/>
      <c r="DM19" s="14"/>
      <c r="DN19" s="475"/>
    </row>
    <row r="20" spans="1:342 8834:8837" x14ac:dyDescent="0.25">
      <c r="A20" s="74"/>
      <c r="B20" s="519"/>
      <c r="C20" s="280">
        <v>43272</v>
      </c>
      <c r="D20" s="281">
        <v>0.58333333333333337</v>
      </c>
      <c r="E20" s="282" t="s">
        <v>100</v>
      </c>
      <c r="F20" s="347" t="s">
        <v>151</v>
      </c>
      <c r="G20" s="225"/>
      <c r="H20" s="481">
        <v>3</v>
      </c>
      <c r="I20" s="481">
        <v>2</v>
      </c>
      <c r="J20" s="225"/>
      <c r="K20" s="371" t="s">
        <v>161</v>
      </c>
      <c r="L20" s="149">
        <f t="shared" si="1"/>
        <v>1</v>
      </c>
      <c r="M20" s="79"/>
      <c r="N20" s="48">
        <v>1</v>
      </c>
      <c r="O20" s="47" t="str">
        <f>VLOOKUP(N20,$AD$20:$AF$23,3,0)</f>
        <v>Francia</v>
      </c>
      <c r="P20" s="39">
        <f>VLOOKUP(O20,AF20:AO23,2,FALSE)</f>
        <v>9</v>
      </c>
      <c r="Q20" s="39">
        <f>VLOOKUP(O20,AF20:AO23,3,FALSE)</f>
        <v>3</v>
      </c>
      <c r="R20" s="39">
        <f>VLOOKUP(O20,AF20:AO23,4,FALSE)</f>
        <v>3</v>
      </c>
      <c r="S20" s="39">
        <f>VLOOKUP(O20,AF20:AO23,5,FALSE)</f>
        <v>0</v>
      </c>
      <c r="T20" s="39">
        <f>VLOOKUP(O20,AF20:AO23,6,FALSE)</f>
        <v>0</v>
      </c>
      <c r="U20" s="39">
        <f>VLOOKUP(O20,AF20:AO23,7,FALSE)</f>
        <v>10</v>
      </c>
      <c r="V20" s="39">
        <f>VLOOKUP(O20,AF20:AO23,8,FALSE)</f>
        <v>4</v>
      </c>
      <c r="W20" s="49">
        <f>VLOOKUP(O20,AF20:AO23,9,FALSE)</f>
        <v>6</v>
      </c>
      <c r="X20" s="28">
        <f>IF(SUM($AH$20:$AH$23)=12,MIN(ABS(BP19-BP20),ABS(BP20-BP21)),100)</f>
        <v>5060500000.0200005</v>
      </c>
      <c r="Y20" s="402" t="str">
        <f>IF(AND(X20&gt;=0,X20&lt;90),VLOOKUP(N20,$BL$20:$BM$23,2,0),"")</f>
        <v/>
      </c>
      <c r="Z20" s="406"/>
      <c r="AA20" s="29"/>
      <c r="AB20" s="29"/>
      <c r="AC20" s="413">
        <f>VLOOKUP(O20,$AF$20:$AO$23,10,FALSE)</f>
        <v>9061010999.9899998</v>
      </c>
      <c r="AD20" s="14">
        <f>RANK(AR20,$AR$20:$AR$23)</f>
        <v>1</v>
      </c>
      <c r="AE20" s="434">
        <f>RANK(AO20,$AO$20:$AO$23)</f>
        <v>1</v>
      </c>
      <c r="AF20" s="412" t="s">
        <v>151</v>
      </c>
      <c r="AG20" s="418">
        <f>AI20*3+AJ20*1+AK20*0</f>
        <v>9</v>
      </c>
      <c r="AH20" s="418">
        <f>COUNTIFS($F$18:$F$23,AF20,$H$18:$H$23,"&lt;&gt;",$I$18:$I$23,"&lt;&gt;")+COUNTIFS($K$18:$K$23,AF20,$I$18:$I$23,"&lt;&gt;",$H$18:$H$23,"&lt;&gt;")</f>
        <v>3</v>
      </c>
      <c r="AI20" s="418">
        <f t="array" ref="AI20">SUM((F$18:F$23=AF20)*(H$18:H$23&lt;&gt;"")*(I$18:I$23&lt;&gt;"")*(H$18:H$23&gt;I$18:I$23),(K$18:K$23=AF20)*(H$18:H$23&lt;&gt;"")*(I$18:I$23&lt;&gt;"")*(H$18:H$23&lt;I$18:I$23))</f>
        <v>3</v>
      </c>
      <c r="AJ20" s="418">
        <f t="array" ref="AJ20">SUM((F$18:F$23=AF20)*(H$18:H$23&lt;&gt;"")*(I$18:I$23&lt;&gt;"")*(H$18:H$23=I$18:I$23),(K$18:K$23=AF20)*(H$18:H$23&lt;&gt;"")*(I$18:I$23&lt;&gt;"")*(H$18:H$23=I$18:I$23))</f>
        <v>0</v>
      </c>
      <c r="AK20" s="418">
        <f t="array" ref="AK20">SUM((F$18:F$23=AF20)*(I$18:I$23&lt;&gt;"")*(H$18:H$23&lt;&gt;"")*(H$18:H$23&lt;I$18:I$23),(H$18:H$23&lt;&gt;"")*(K$18:K$23=AF20)*(I$18:I$23&lt;&gt;"")*(H$18:H$23&gt;I$18:I$23))</f>
        <v>0</v>
      </c>
      <c r="AL20" s="418">
        <f t="array" ref="AL20">SUMIFS($H$18:$H$23,$F$18:$F$23,AF20,$H$18:$H$23,"&lt;&gt;",$I$18:$I$23,"&lt;&gt;")+SUMIFS($I$18:$I$23,$K$18:$K$23,AF20,$H$18:$H$23,"&lt;&gt;",$I$18:$I$23,"&lt;&gt;")</f>
        <v>10</v>
      </c>
      <c r="AM20" s="418">
        <f t="array" ref="AM20">SUMIFS($H$18:$H$23,$K$18:$K$23,AF20,$H$18:$H$23,"&lt;&gt;",$I$18:$I$23,"&lt;&gt;")+SUMIFS($I$18:$I$23,$F$18:$F$23,AF20,$H$18:$H$23,"&lt;&gt;",$I$18:$I$23,"&lt;&gt;")</f>
        <v>4</v>
      </c>
      <c r="AN20" s="418">
        <f>AL20-AM20</f>
        <v>6</v>
      </c>
      <c r="AO20" s="418">
        <f>IF(AH20=0,-($AT$13*VLOOKUP(AF20,Tabla3[[ZfP4b()8G6b·$55Ma-t·%fv-ttyZxR-.R*+Fd]:[N!"kvfjM.%&amp;gk5kfmfvv)/%;V$&amp;VW]],2,FALSE)),AG20*$AT$7+AN20*$AT$8+AL20*$AT$9+AX20-($AT$13*VLOOKUP(AF20,Tabla3[[ZfP4b()8G6b·$55Ma-t·%fv-ttyZxR-.R*+Fd]:[N!"kvfjM.%&amp;gk5kfmfvv)/%;V$&amp;VW]],2,FALSE)/100))</f>
        <v>9061010999.9899998</v>
      </c>
      <c r="AP20" s="435">
        <f>AE20</f>
        <v>1</v>
      </c>
      <c r="AQ20" s="14"/>
      <c r="AR20" s="14">
        <f>IFERROR(AO20-VLOOKUP(AF20,$Y$20:$Z$23,2,0),AO20)</f>
        <v>9061010999.9899998</v>
      </c>
      <c r="AS20" s="14"/>
      <c r="AT20" s="14"/>
      <c r="AU20" s="14"/>
      <c r="AV20" s="438" t="str">
        <f>AF20</f>
        <v>Francia</v>
      </c>
      <c r="AW20" s="418">
        <f>COUNTIF(AG20:AG23,AG20)</f>
        <v>1</v>
      </c>
      <c r="AX20" s="439">
        <f>(AY20*$AT$12)+(BE20*$AT$11)</f>
        <v>11000</v>
      </c>
      <c r="AY20" s="440">
        <f>RANK(AZ20,AZ20:AZ23,1)</f>
        <v>1</v>
      </c>
      <c r="AZ20" s="440">
        <f>SUM(IF(AND(AG20=AG21,AN20=AN21,AL20=AL21),BB20,0),IF(AND(AG20=AG22,AN20=AN22,AL20=AL22),BC20,0),IF(AND(AG20=AG23,AN20=AN23,AL20=AL23),BD20,0))</f>
        <v>0</v>
      </c>
      <c r="BA20" s="441">
        <v>0</v>
      </c>
      <c r="BB20" s="442">
        <f>H18</f>
        <v>4</v>
      </c>
      <c r="BC20" s="442">
        <f>H20</f>
        <v>3</v>
      </c>
      <c r="BD20" s="443">
        <f>I22</f>
        <v>3</v>
      </c>
      <c r="BE20" s="440">
        <f>RANK(BF20,BF20:BF23,1)</f>
        <v>1</v>
      </c>
      <c r="BF20" s="440">
        <f>SUM(IF(AND(AG20=AG21,AN20=AN21,AL20=AL21),BH20,0),IF(AND(AG20=AG22,AN20=AN22,AL20=AL22),BI20,0),IF(AND(AG20=AG23,AN20=AN23,AL20=AL23),BJ20,0))</f>
        <v>0</v>
      </c>
      <c r="BG20" s="441">
        <v>0</v>
      </c>
      <c r="BH20" s="442">
        <f>BB20-BA21</f>
        <v>3</v>
      </c>
      <c r="BI20" s="442">
        <f>BC20-BA22</f>
        <v>1</v>
      </c>
      <c r="BJ20" s="443">
        <f>BD20-BA23</f>
        <v>2</v>
      </c>
      <c r="BK20" s="410"/>
      <c r="BL20" s="412">
        <f>RANK(BN20,$BN$20:$BN$23)</f>
        <v>1</v>
      </c>
      <c r="BM20" s="412" t="s">
        <v>151</v>
      </c>
      <c r="BN20" s="412">
        <f>IF(AH20=0,-($AT$13*VLOOKUP(AF20,Tabla3[[ZfP4b()8G6b·$55Ma-t·%fv-ttyZxR-.R*+Fd]:[N!"kvfjM.%&amp;gk5kfmfvv)/%;V$&amp;VW]],2,FALSE)),AG20*$AT$7+AN20*$AT$8+AL20*$AT$9+AX20-($AT$13*VLOOKUP(AF20,Tabla3[[ZfP4b()8G6b·$55Ma-t·%fv-ttyZxR-.R*+Fd]:[N!"kvfjM.%&amp;gk5kfmfvv)/%;V$&amp;VW]],2,FALSE)/100))</f>
        <v>9061010999.9899998</v>
      </c>
      <c r="BO20" s="412" t="str">
        <f>VLOOKUP(N20,$AE$20:$AF$23,2,0)</f>
        <v>Francia</v>
      </c>
      <c r="BP20" s="412">
        <f>VLOOKUP($BO20,$AF$20:$AO$23,10,FALSE)</f>
        <v>9061010999.9899998</v>
      </c>
      <c r="BQ20" s="410"/>
      <c r="BR20" s="412">
        <v>1</v>
      </c>
      <c r="BS20" s="412" t="str">
        <f>VLOOKUP(BR20,$AD$20:$AF$23,3,0)</f>
        <v>Francia</v>
      </c>
      <c r="BT20" s="412">
        <f>VLOOKUP(BS20,$AF$20:$AO$23,2,FALSE)</f>
        <v>9</v>
      </c>
      <c r="BU20" s="444">
        <f>IF(SUM($AH$20:$AH$23)=12,MIN(ABS(BP19-BP20),ABS(BP20-BP21)),100)</f>
        <v>5060500000.0200005</v>
      </c>
      <c r="BV20" s="412">
        <f t="array" ref="BV20">VLOOKUP(BS20,$AF$20:$AO$23,9,FALSE)</f>
        <v>6</v>
      </c>
      <c r="BW20" s="412">
        <f>VLOOKUP(BS20,$AF$20:$AO$23,7,FALSE)</f>
        <v>10</v>
      </c>
      <c r="BX20" s="410">
        <f>IF($BY$20=$CA$19,$DC$5:$DC$8,IF($BY$20=$CB$19,$DD$5:$DD$7,IF(OR($BY$20=$CC$19,$BY$20=$CD$19),$DE$5:$DE$6,$DI$5)))</f>
        <v>1</v>
      </c>
      <c r="BY20" s="418" t="str">
        <f>IFERROR(HLOOKUP(4,CA18:CX19,2,0),CH19)</f>
        <v>COM_8</v>
      </c>
      <c r="BZ20" s="14">
        <v>1</v>
      </c>
      <c r="CA20" s="418">
        <f t="array" ref="CA20">IF(AND($BT$20:$BT$23=$BT$20,$BU$20:$BU$23&lt;230,$AN$20:$AN$23=$AN$20,$BW$20:$BW$23=$BW$20),1,0)</f>
        <v>0</v>
      </c>
      <c r="CB20" s="418">
        <f t="array" ref="CB20">IF(AND($BT$20:$BT$22=$BT$20,$BU$20:$BU$22&lt;230,$BT$20&lt;&gt;$BT$23),1,0)</f>
        <v>0</v>
      </c>
      <c r="CC20" s="418">
        <f t="array" ref="CC20">IF(AND($BT$20:$BT$21=$BT$20,$BU$20:$BU$21&lt;230,$BT$20&lt;&gt;$BT$22),1,0)</f>
        <v>0</v>
      </c>
      <c r="CD20" s="418">
        <f t="array" ref="CD20">IF(AND($BT$20:$BT$21=$BT$20,$BU$20:$BU$21&lt;230,$BT$20&lt;&gt;$BT$22),1,0)</f>
        <v>0</v>
      </c>
      <c r="CE20" s="418">
        <f t="array" ref="CE20">IF(AND($BT$21:$BT$23=$BT$21,$BU$21:$BU$23&lt;230,$BT$20&lt;&gt;$BT$21),1,0)</f>
        <v>0</v>
      </c>
      <c r="CF20" s="418">
        <f t="array" ref="CF20">IF(AND($BT$20&lt;&gt;$BT$21,$BT$20&lt;&gt;$BT$23),1,0)</f>
        <v>1</v>
      </c>
      <c r="CG20" s="418">
        <f t="array" ref="CG20">IF(AND($BT$20&lt;&gt;$BT$21,$BT$20&lt;&gt;$BT$23),1,0)</f>
        <v>1</v>
      </c>
      <c r="CH20" s="418">
        <f t="array" ref="CH20">IF(AND($BT$20&lt;&gt;$BT$21,$BT$20&lt;&gt;$BT$23),1,0)</f>
        <v>1</v>
      </c>
      <c r="CI20" s="418">
        <f t="array" ref="CI20">IF(AND($BT$20:$BT$23=$BT$20,$BU$20:$BU$23&lt;230,$BV$20:$BV$21=$BV$20,$BV$20&lt;&gt;$BV$22),1,0)</f>
        <v>0</v>
      </c>
      <c r="CJ20" s="418">
        <f t="array" ref="CJ20">IF(AND($BT$20:$BT$23=$BT$20,$BU$20:$BU$23&lt;230,$BV$20:$BV$23=$BV$20,$BW$20=$BW$21,$BW$20&lt;&gt;$BW$22),1,0)</f>
        <v>0</v>
      </c>
      <c r="CK20" s="418">
        <f t="array" ref="CK20">IF(AND($BT$20:$BT$22=$BT$20,$BU$20:$BU$21&lt;230,$BU$22&gt;230),1,0)</f>
        <v>0</v>
      </c>
      <c r="CL20" s="418">
        <f t="array" ref="CL20">IF(AND($BT$20&lt;&gt;$BT$21,$BT$20&lt;&gt;$BT$22),1,0)</f>
        <v>1</v>
      </c>
      <c r="CM20" s="418">
        <f t="array" ref="CM20">IF(AND($BT$20&lt;&gt;$BT$21,$BT$20&lt;&gt;$BT$22),1,0)</f>
        <v>1</v>
      </c>
      <c r="CN20" s="418">
        <f t="array" ref="CN20">IF(AND($BT$20&lt;&gt;$BT$23,$BT$20:$BT$22=$BT$20,$BU$20&gt;230,$BU$21:$BU$22&lt;230),1,0)</f>
        <v>0</v>
      </c>
      <c r="CO20" s="418">
        <f t="array" ref="CO20">IF(AND($BT$20:$BT$23=$BT$20,$BU$21:$BU$23&lt;230,$BU$20&lt;&gt;$BU$21),1,0)</f>
        <v>0</v>
      </c>
      <c r="CP20" s="418">
        <f t="array" ref="CP20">IF(AND($BT$20:$BT$23=$BT$20,$BU$20:$BU$22&lt;230,$BU$20&lt;&gt;$BU$23),1,0)</f>
        <v>0</v>
      </c>
      <c r="CQ20" s="418">
        <f t="array" ref="CQ20">IF(AND($BT$20:$BT$23=$BT$20,$BU$20:$BU$21&gt;230,$BU$22:$BU$23&lt;230,$BV$20:$BV$23=$BV$20,$BW$20&gt;$BW$21,$BW$20&gt;$BW$22,$BW$20&gt;$BW$23),1,0)</f>
        <v>0</v>
      </c>
      <c r="CR20" s="418">
        <f t="array" ref="CR20">IF(AND($BT$20:$BT$23=$BT$20,$BU$20&gt;230,$BU$21:$BU$22&lt;230,$BU$23&gt;230,$BV$20:$BV$23=$BV$20,$BW$20&gt;$BW$21,$BW$20&gt;$BW$22,$BW$20&gt;$BW$23),1,0)</f>
        <v>0</v>
      </c>
      <c r="CS20" s="418">
        <f t="array" ref="CS20">IF(AND($BT$20:$BT$23=$BT$20,$BU$20:$BU$21&lt;230,$BU$22:$BU$23&gt;230,$BV$20:$BV$23=$BV$20,$BW$20=$BW$21,$BW$20&gt;$BW$22,$BW$20&gt;$BW$23),1,0)</f>
        <v>0</v>
      </c>
      <c r="CT20" s="418">
        <f t="array" ref="CT20">IF(AND($BT$20:$BT$23=$BT$20,$BU$20:$BU$21&gt;230,$BU$22:$BU$23&lt;230,$BV$20:$BV$23=$BV$20,$BW$20&gt;$BW$21,$BW$21:$BW$23=$BW$21),1,0)</f>
        <v>0</v>
      </c>
      <c r="CU20" s="418">
        <f t="array" ref="CU20">IF(AND($BT$20:$BT$23=$BT$20,$BU$20:$BU$21&lt;230,$BU$22:$BU$23&gt;230,$BV$20:$BV$23=$BV$20,$BW$20:$BW$22=$BW$20,$BW$20&gt;$BW$23),1,0)</f>
        <v>0</v>
      </c>
      <c r="CV20" s="418">
        <f t="array" ref="CV20">IF(AND($BT$20:$BT$23=$BT$20,$BU$20&gt;230,$BU$23&gt;230,$BU$21:$BU$22&lt;230,$BV$20:$BV$23=$BV$20,$BW$20&gt;$BW$21:$BW$23),1,0)</f>
        <v>0</v>
      </c>
      <c r="CW20" s="418"/>
      <c r="CX20" s="418"/>
      <c r="CY20" s="14"/>
      <c r="CZ20" s="14"/>
      <c r="DA20" s="14"/>
      <c r="DB20" s="14"/>
      <c r="DC20" s="14"/>
      <c r="DD20" s="14"/>
      <c r="DE20" s="14"/>
      <c r="DF20" s="14"/>
      <c r="DG20" s="14"/>
      <c r="DH20" s="14"/>
      <c r="DI20" s="14"/>
      <c r="DJ20" s="14"/>
      <c r="DK20" s="14"/>
      <c r="DL20" s="14"/>
      <c r="DM20" s="14"/>
      <c r="DN20" s="475"/>
    </row>
    <row r="21" spans="1:342 8834:8837" x14ac:dyDescent="0.25">
      <c r="A21" s="74"/>
      <c r="B21" s="519"/>
      <c r="C21" s="280">
        <v>43272</v>
      </c>
      <c r="D21" s="281">
        <v>0.70833333333333337</v>
      </c>
      <c r="E21" s="282" t="s">
        <v>102</v>
      </c>
      <c r="F21" s="347" t="s">
        <v>168</v>
      </c>
      <c r="G21" s="225"/>
      <c r="H21" s="481">
        <v>2</v>
      </c>
      <c r="I21" s="481">
        <v>2</v>
      </c>
      <c r="J21" s="225"/>
      <c r="K21" s="371" t="s">
        <v>173</v>
      </c>
      <c r="L21" s="149">
        <f t="shared" si="1"/>
        <v>1</v>
      </c>
      <c r="M21" s="79"/>
      <c r="N21" s="48">
        <v>2</v>
      </c>
      <c r="O21" s="47" t="str">
        <f>VLOOKUP(N21,$AD$20:$AF$23,3,0)</f>
        <v>Perú</v>
      </c>
      <c r="P21" s="39">
        <f>VLOOKUP(O21,AF20:AO23,2,FALSE)</f>
        <v>4</v>
      </c>
      <c r="Q21" s="39">
        <f>VLOOKUP(O21,AF20:AO23,3,FALSE)</f>
        <v>3</v>
      </c>
      <c r="R21" s="39">
        <f>VLOOKUP(O21,AF20:AO23,4,FALSE)</f>
        <v>1</v>
      </c>
      <c r="S21" s="39">
        <f>VLOOKUP(O21,AF20:AO23,5,FALSE)</f>
        <v>1</v>
      </c>
      <c r="T21" s="39">
        <f>VLOOKUP(O21,AF20:AO23,6,FALSE)</f>
        <v>1</v>
      </c>
      <c r="U21" s="39">
        <f>VLOOKUP(O21,AF20:AO23,7,FALSE)</f>
        <v>5</v>
      </c>
      <c r="V21" s="39">
        <f>VLOOKUP(O21,AF20:AO23,8,FALSE)</f>
        <v>5</v>
      </c>
      <c r="W21" s="49">
        <f>VLOOKUP(O21,AF20:AO23,9,FALSE)</f>
        <v>0</v>
      </c>
      <c r="X21" s="28">
        <f t="shared" ref="X21:X23" si="39">IF(SUM($AH$20:$AH$23)=12,MIN(ABS(BP20-BP21),ABS(BP21-BP22)),100)</f>
        <v>2020100000.0099998</v>
      </c>
      <c r="Y21" s="402" t="str">
        <f t="shared" ref="Y21:Y23" si="40">IF(AND(X21&gt;=0,X21&lt;90),VLOOKUP(N21,$BL$20:$BM$23,2,0),"")</f>
        <v/>
      </c>
      <c r="Z21" s="406"/>
      <c r="AA21" s="29"/>
      <c r="AB21" s="29"/>
      <c r="AC21" s="413">
        <f t="shared" ref="AC21:AC23" si="41">VLOOKUP(O21,$AF$20:$AO$23,10,FALSE)</f>
        <v>4000510999.9699998</v>
      </c>
      <c r="AD21" s="14">
        <f t="shared" ref="AD21:AD23" si="42">RANK(AR21,$AR$20:$AR$23)</f>
        <v>4</v>
      </c>
      <c r="AE21" s="434">
        <f>RANK(AO21,$AO$20:$AO$23)</f>
        <v>4</v>
      </c>
      <c r="AF21" s="412" t="s">
        <v>173</v>
      </c>
      <c r="AG21" s="418">
        <f>AI21*3+AJ21*1+AK21*0</f>
        <v>1</v>
      </c>
      <c r="AH21" s="418">
        <f t="shared" ref="AH21:AH23" si="43">COUNTIFS($F$18:$F$23,AF21,$H$18:$H$23,"&lt;&gt;",$I$18:$I$23,"&lt;&gt;")+COUNTIFS($K$18:$K$23,AF21,$I$18:$I$23,"&lt;&gt;",$H$18:$H$23,"&lt;&gt;")</f>
        <v>3</v>
      </c>
      <c r="AI21" s="418">
        <f t="array" ref="AI21">SUM((F$18:F$23=AF21)*(H$18:H$23&lt;&gt;"")*(I$18:I$23&lt;&gt;"")*(H$18:H$23&gt;I$18:I$23),(K$18:K$23=AF21)*(H$18:H$23&lt;&gt;"")*(I$18:I$23&lt;&gt;"")*(H$18:H$23&lt;I$18:I$23))</f>
        <v>0</v>
      </c>
      <c r="AJ21" s="418">
        <f t="array" ref="AJ21">SUM((F$18:F$23=AF21)*(H$18:H$23&lt;&gt;"")*(I$18:I$23&lt;&gt;"")*(H$18:H$23=I$18:I$23),(K$18:K$23=AF21)*(H$18:H$23&lt;&gt;"")*(I$18:I$23&lt;&gt;"")*(H$18:H$23=I$18:I$23))</f>
        <v>1</v>
      </c>
      <c r="AK21" s="418">
        <f t="array" ref="AK21">SUM((F$18:F$23=AF21)*(I$18:I$23&lt;&gt;"")*(H$18:H$23&lt;&gt;"")*(H$18:H$23&lt;I$18:I$23),(H$18:H$23&lt;&gt;"")*(K$18:K$23=AF21)*(I$18:I$23&lt;&gt;"")*(H$18:H$23&gt;I$18:I$23))</f>
        <v>2</v>
      </c>
      <c r="AL21" s="418">
        <f t="array" ref="AL21">SUMIFS($H$18:$H$23,$F$18:$F$23,AF21,$H$18:$H$23,"&lt;&gt;",$I$18:$I$23,"&lt;&gt;")+SUMIFS($I$18:$I$23,$K$18:$K$23,AF21,$H$18:$H$23,"&lt;&gt;",$I$18:$I$23,"&lt;&gt;")</f>
        <v>4</v>
      </c>
      <c r="AM21" s="418">
        <f t="array" ref="AM21">SUMIFS($H$18:$H$23,$K$18:$K$23,AF21,$H$18:$H$23,"&lt;&gt;",$I$18:$I$23,"&lt;&gt;")+SUMIFS($I$18:$I$23,$F$18:$F$23,AF21,$H$18:$H$23,"&lt;&gt;",$I$18:$I$23,"&lt;&gt;")</f>
        <v>8</v>
      </c>
      <c r="AN21" s="418">
        <f>AL21-AM21</f>
        <v>-4</v>
      </c>
      <c r="AO21" s="418">
        <f>IF(AH21=0,-($AT$13*VLOOKUP(AF21,Tabla3[[ZfP4b()8G6b·$55Ma-t·%fv-ttyZxR-.R*+Fd]:[N!"kvfjM.%&amp;gk5kfmfvv)/%;V$&amp;VW]],2,FALSE)),AG21*$AT$7+AN21*$AT$8+AL21*$AT$9+AX21-($AT$13*VLOOKUP(AF21,Tabla3[[ZfP4b()8G6b·$55Ma-t·%fv-ttyZxR-.R*+Fd]:[N!"kvfjM.%&amp;gk5kfmfvv)/%;V$&amp;VW]],2,FALSE)/100))</f>
        <v>960410999.98000002</v>
      </c>
      <c r="AP21" s="435">
        <f>AE21</f>
        <v>4</v>
      </c>
      <c r="AQ21" s="14"/>
      <c r="AR21" s="14">
        <f t="shared" ref="AR21:AR23" si="44">IFERROR(AO21-VLOOKUP(AF21,$Y$20:$Z$23,2,0),AO21)</f>
        <v>960410999.98000002</v>
      </c>
      <c r="AS21" s="14"/>
      <c r="AT21" s="14"/>
      <c r="AU21" s="14"/>
      <c r="AV21" s="438" t="str">
        <f>AF21</f>
        <v>Australia</v>
      </c>
      <c r="AW21" s="418">
        <f>COUNTIF(AG20:AG23,AG21)</f>
        <v>1</v>
      </c>
      <c r="AX21" s="439">
        <f>(AY21*$AT$12)+(BE21*$AT$11)</f>
        <v>11000</v>
      </c>
      <c r="AY21" s="440">
        <f>RANK(AZ21,AZ20:AZ23,1)</f>
        <v>1</v>
      </c>
      <c r="AZ21" s="440">
        <f>SUM(IF(AND(AG21=AG22,AN21=AN22,AL21=AL22),BC21,0),IF(AND(AG21=AG23,AN21=AN23,AL21=AL23),BD21,0),IF(AND(AG21=AG20,AN21=AN20,AL21=AL20),BA21,0))</f>
        <v>0</v>
      </c>
      <c r="BA21" s="441">
        <f>I18</f>
        <v>1</v>
      </c>
      <c r="BB21" s="442">
        <v>0</v>
      </c>
      <c r="BC21" s="442">
        <f>H23</f>
        <v>1</v>
      </c>
      <c r="BD21" s="443">
        <f>I21</f>
        <v>2</v>
      </c>
      <c r="BE21" s="440">
        <f>RANK(BF21,BF20:BF23,1)</f>
        <v>1</v>
      </c>
      <c r="BF21" s="440">
        <f>SUM(IF(AND(AG21=AG22,AN21=AN22,AL21=AL22),BI21,0),IF(AND(AG21=AG23,AN21=AN23,AL21=AL23),BJ21,0),IF(AND(AG21=AG20,AN21=AN20,AL21=AL20),BG21,0))</f>
        <v>0</v>
      </c>
      <c r="BG21" s="441">
        <f>BA21-BB20</f>
        <v>-3</v>
      </c>
      <c r="BH21" s="442">
        <v>0</v>
      </c>
      <c r="BI21" s="442">
        <f>BC21-BB22</f>
        <v>-1</v>
      </c>
      <c r="BJ21" s="443">
        <f>BD21-BB23</f>
        <v>0</v>
      </c>
      <c r="BK21" s="410"/>
      <c r="BL21" s="412">
        <f t="shared" ref="BL21:BL23" si="45">RANK(BN21,$BN$20:$BN$23)</f>
        <v>4</v>
      </c>
      <c r="BM21" s="412" t="s">
        <v>173</v>
      </c>
      <c r="BN21" s="412">
        <f>IF(AH21=0,-($AT$13*VLOOKUP(AF21,Tabla3[[ZfP4b()8G6b·$55Ma-t·%fv-ttyZxR-.R*+Fd]:[N!"kvfjM.%&amp;gk5kfmfvv)/%;V$&amp;VW]],2,FALSE)),AG21*$AT$7+AN21*$AT$8+AL21*$AT$9+AX21-($AT$13*VLOOKUP(AF21,Tabla3[[ZfP4b()8G6b·$55Ma-t·%fv-ttyZxR-.R*+Fd]:[N!"kvfjM.%&amp;gk5kfmfvv)/%;V$&amp;VW]],2,FALSE)/100))</f>
        <v>960410999.98000002</v>
      </c>
      <c r="BO21" s="412" t="str">
        <f t="shared" ref="BO21:BO23" si="46">VLOOKUP(N21,$AE$20:$AF$23,2,0)</f>
        <v>Perú</v>
      </c>
      <c r="BP21" s="412">
        <f t="shared" ref="BP21:BP23" si="47">VLOOKUP($BO21,$AF$20:$AO$23,10,FALSE)</f>
        <v>4000510999.9699998</v>
      </c>
      <c r="BQ21" s="410"/>
      <c r="BR21" s="412">
        <v>2</v>
      </c>
      <c r="BS21" s="412" t="str">
        <f t="shared" ref="BS21:BS23" si="48">VLOOKUP(BR21,$AD$20:$AF$23,3,0)</f>
        <v>Perú</v>
      </c>
      <c r="BT21" s="412">
        <f t="shared" ref="BT21:BT23" si="49">VLOOKUP(BS21,$AF$20:$AO$23,2,FALSE)</f>
        <v>4</v>
      </c>
      <c r="BU21" s="444">
        <f t="shared" ref="BU21:BU23" si="50">IF(SUM($AH$20:$AH$23)=12,MIN(ABS(BP20-BP21),ABS(BP21-BP22)),100)</f>
        <v>2020100000.0099998</v>
      </c>
      <c r="BV21" s="412">
        <f t="array" ref="BV21">VLOOKUP(BS21,$AF$20:$AO$23,9,FALSE)</f>
        <v>0</v>
      </c>
      <c r="BW21" s="412">
        <f t="shared" ref="BW21:BW23" si="51">VLOOKUP(BS21,$AF$20:$AO$23,7,FALSE)</f>
        <v>5</v>
      </c>
      <c r="BX21" s="410">
        <f>IF($BY$20=$CA$19,$DC$5:$DC$8,IF($BY$20=$CB$19,$DD$5:$DD$7,IF(OR($BY$20=$CC$19,$BY$20=$CD$19),$DE$5:$DE$6,IF($BY$20=$CE$19,$DF$5:$DF$7,(IF($BY$20=$CF$19,$DH$5:$DH$6,$DJ$5))))))</f>
        <v>2</v>
      </c>
      <c r="BY21" s="14"/>
      <c r="BZ21" s="14">
        <v>2</v>
      </c>
      <c r="CA21" s="418">
        <f t="array" ref="CA21">IF(AND($BT$20:$BT$23=$BT$21,$BU$20:$BU$23&lt;230,$AN$20:$AN$23=$AN$21,$BW$20:$BW$23=$BW$21),1,0)</f>
        <v>0</v>
      </c>
      <c r="CB21" s="418">
        <f t="array" ref="CB21">IF(AND($BT$20:$BT$22=$BT$21,$BU$20:$BU$22&lt;230,$BT$21&lt;&gt;$BT$23),1,0)</f>
        <v>0</v>
      </c>
      <c r="CC21" s="418">
        <f t="array" ref="CC21">IF(AND($BT$20:$BT$21=$BT$20,$BU$20:$BU$21&lt;230,$BT$20&lt;&gt;$BT$22),1,0)</f>
        <v>0</v>
      </c>
      <c r="CD21" s="418">
        <f t="array" ref="CD21">IF(AND($BT$20:$BT$21=$BT$20,$BU$20:$BU$21&lt;230,$BT$20&lt;&gt;$BT$22),1,0)</f>
        <v>0</v>
      </c>
      <c r="CE21" s="418">
        <f t="array" ref="CE21">IF(AND($BT$21:$BT$23=$BT$21,$BU$21:$BU$23&lt;230,$BT$20&lt;&gt;$BT$21),1,0)</f>
        <v>0</v>
      </c>
      <c r="CF21" s="418">
        <f t="array" ref="CF21">IF(AND($BT$21:$BT$22=$BT$21,$BU$21:$BU$22&lt;230,$BT$21&lt;&gt;$BT$20,$BT$21&lt;&gt;$BT$23),1,0)</f>
        <v>0</v>
      </c>
      <c r="CG21" s="418">
        <f t="array" ref="CG21">IF(AND($BT$21&lt;&gt;$BT$20,$BT$21&lt;&gt;$BT$22),1,0)</f>
        <v>1</v>
      </c>
      <c r="CH21" s="418">
        <f t="array" ref="CH21">IF(AND($BT$21&lt;&gt;$BT$20,$BT$21&lt;&gt;$BT$22),1,0)</f>
        <v>1</v>
      </c>
      <c r="CI21" s="418">
        <f t="array" ref="CI21">IF(AND($BT$20:$BT$23=$BT$20,$BU$20:$BU$23&lt;230,$BV$20:$BV$21=$BV$20,$BV$21&lt;&gt;$BV$22),1,0)</f>
        <v>0</v>
      </c>
      <c r="CJ21" s="418">
        <f t="array" ref="CJ21">IF(AND($BT$20:$BT$23=$BT$20,$BU$20:$BU$23&lt;230,$BV$20:$BV$23=$BV$20,$BW$20=$BW$21,$BW$21&lt;&gt;$BW$22),1,0)</f>
        <v>0</v>
      </c>
      <c r="CK21" s="418">
        <f t="array" ref="CK21">IF(AND($BT$20:$BT$22=$BT$21,$BU$20:$BU$21&lt;230,$BU$22&gt;230),1,0)</f>
        <v>0</v>
      </c>
      <c r="CL21" s="418">
        <f t="array" ref="CL21">IF(AND($BT$21&lt;&gt;$BT$20,$BT$21:$BT$23=$BT$21,$BU$21&gt;230,$BU$22:$BU$23&lt;230),1,0)</f>
        <v>0</v>
      </c>
      <c r="CM21" s="418">
        <f t="array" ref="CM21">IF(AND($BT$21&lt;&gt;$BT$20,$BT$21:$BT$23=$BT$21,$BU$23&gt;230,$BU$21:$BU$22&lt;230),1,0)</f>
        <v>0</v>
      </c>
      <c r="CN21" s="418">
        <f t="array" ref="CN21">IF(AND($BT$21&lt;&gt;$BT$23,$BT$20:$BT$22=$BT$21,$BU$20&gt;230,$BU$21:$BU$22&lt;230),1,0)</f>
        <v>0</v>
      </c>
      <c r="CO21" s="418">
        <f t="array" ref="CO21">IF(AND($BT$20:$BT$23=$BT$21,$BU$21:$BU$23&lt;230,$BU$20&lt;&gt;$BU$21),1,0)</f>
        <v>0</v>
      </c>
      <c r="CP21" s="418">
        <f t="array" ref="CP21">IF(AND($BT$20:$BT$23=$BT$21,$BU$20:$BU$22&lt;230,$BU$21&lt;&gt;$BU$23),1,0)</f>
        <v>0</v>
      </c>
      <c r="CQ21" s="418">
        <f t="array" ref="CQ21">IF(AND($BT$20:$BT$23=$BT$21,$BU$20:$BU$21&gt;230,$BU$22:$BU$23&lt;230,$BV$20:$BV$23=$BV$21,$BW$20&gt;$BW$21,$BW$21&gt;$BW$22,$BW$21&gt;$BW$23),1,0)</f>
        <v>0</v>
      </c>
      <c r="CR21" s="418">
        <f t="array" ref="CR21">IF(AND($BT$20:$BT$23=$BT$21,$BU$20&gt;230,$BU$21:$BU$22&lt;230,$BU$23&gt;230,$BV$20:$BV$23=$BV$21,$BW$20&gt;$BW$21,$BW$21=$BW$22,$BW$21&gt;$BW$23),1,0)</f>
        <v>0</v>
      </c>
      <c r="CS21" s="418">
        <f t="array" ref="CS21">IF(AND($BT$20:$BT$23=$BT$21,$BU$20:$BU$21&lt;230,$BU$22:$BU$23&gt;230,$BV$20:$BV$23=$BV$21,$BW$20=$BW$21,$BW$21&gt;$BW$22,$BW$21&gt;$BW$23),1,0)</f>
        <v>0</v>
      </c>
      <c r="CT21" s="418">
        <f t="array" ref="CT21">IF(AND($BT$20:$BT$23=$BT$21,$BU$20:$BU$21&gt;230,$BU$22:$BU$23&lt;230,$BV$20:$BV$23=$BV$21,$BW$20&gt;$BW$21,$BW$21:$BW$23=$BW$21),1,0)</f>
        <v>0</v>
      </c>
      <c r="CU21" s="418">
        <f t="array" ref="CU21">IF(AND($BT$20:$BT$23=$BT$21,$BU$20:$BU$21&lt;230,$BU$22:$BU$23&gt;230,$BV$20:$BV$23=$BV$21,$BW$20:$BW$22=$BW$21,$BW$21&gt;$BW$23),1,0)</f>
        <v>0</v>
      </c>
      <c r="CV21" s="418">
        <f t="array" ref="CV21">IF(AND($BT$20:$BT$23=$BT$21,$BU$20&gt;230,$BU$23&gt;230,$BU$21:$BU$22&lt;230,$BV$20:$BV$23=$BV$21,$BW$20&gt;$BW$21:$BW$23,$BW$21:$BW$23=$BW$21),1,0)</f>
        <v>0</v>
      </c>
      <c r="CW21" s="418"/>
      <c r="CX21" s="418"/>
      <c r="CY21" s="14"/>
      <c r="CZ21" s="14"/>
      <c r="DA21" s="14"/>
      <c r="DB21" s="14"/>
      <c r="DC21" s="14"/>
      <c r="DD21" s="14"/>
      <c r="DE21" s="14"/>
      <c r="DF21" s="14"/>
      <c r="DG21" s="14"/>
      <c r="DH21" s="14"/>
      <c r="DI21" s="14"/>
      <c r="DJ21" s="14"/>
      <c r="DK21" s="14"/>
      <c r="DL21" s="14"/>
      <c r="DM21" s="14"/>
      <c r="DN21" s="475"/>
    </row>
    <row r="22" spans="1:342 8834:8837" x14ac:dyDescent="0.25">
      <c r="A22" s="74"/>
      <c r="B22" s="519"/>
      <c r="C22" s="280">
        <v>43277</v>
      </c>
      <c r="D22" s="281">
        <v>0.66666666666666663</v>
      </c>
      <c r="E22" s="282" t="s">
        <v>206</v>
      </c>
      <c r="F22" s="347" t="s">
        <v>168</v>
      </c>
      <c r="G22" s="225"/>
      <c r="H22" s="481">
        <v>1</v>
      </c>
      <c r="I22" s="481">
        <v>3</v>
      </c>
      <c r="J22" s="225"/>
      <c r="K22" s="371" t="s">
        <v>151</v>
      </c>
      <c r="L22" s="149">
        <f t="shared" si="1"/>
        <v>1</v>
      </c>
      <c r="M22" s="79"/>
      <c r="N22" s="40">
        <v>3</v>
      </c>
      <c r="O22" s="38" t="str">
        <f>VLOOKUP(N22,$AD$20:$AF$23,3,0)</f>
        <v>Dinamarca</v>
      </c>
      <c r="P22" s="39">
        <f>VLOOKUP(O22,AF20:AO23,2,FALSE)</f>
        <v>2</v>
      </c>
      <c r="Q22" s="37">
        <f>VLOOKUP(O22,AF20:AO23,3,FALSE)</f>
        <v>3</v>
      </c>
      <c r="R22" s="37">
        <f>VLOOKUP(O22,AF20:AO23,4,FALSE)</f>
        <v>0</v>
      </c>
      <c r="S22" s="37">
        <f>VLOOKUP(O22,AF20:AO23,5,FALSE)</f>
        <v>2</v>
      </c>
      <c r="T22" s="37">
        <f>VLOOKUP(O22,AF20:AO23,6,FALSE)</f>
        <v>1</v>
      </c>
      <c r="U22" s="37">
        <f>VLOOKUP(O22,AF20:AO23,7,FALSE)</f>
        <v>4</v>
      </c>
      <c r="V22" s="37">
        <f>VLOOKUP(O22,AF20:AO23,8,FALSE)</f>
        <v>6</v>
      </c>
      <c r="W22" s="45">
        <f>VLOOKUP(O22,AF20:AO23,9,FALSE)</f>
        <v>-2</v>
      </c>
      <c r="X22" s="28">
        <f t="shared" si="39"/>
        <v>1019999999.98</v>
      </c>
      <c r="Y22" s="402" t="str">
        <f t="shared" si="40"/>
        <v/>
      </c>
      <c r="Z22" s="406"/>
      <c r="AA22" s="29"/>
      <c r="AB22" s="29"/>
      <c r="AC22" s="413">
        <f t="shared" si="41"/>
        <v>1980410999.96</v>
      </c>
      <c r="AD22" s="14">
        <f t="shared" si="42"/>
        <v>2</v>
      </c>
      <c r="AE22" s="434">
        <f>RANK(AO22,$AO$20:$AO$23)</f>
        <v>2</v>
      </c>
      <c r="AF22" s="412" t="s">
        <v>161</v>
      </c>
      <c r="AG22" s="418">
        <f>AI22*3+AJ22*1+AK22*0</f>
        <v>4</v>
      </c>
      <c r="AH22" s="418">
        <f t="shared" si="43"/>
        <v>3</v>
      </c>
      <c r="AI22" s="418">
        <f t="array" ref="AI22">SUM((F$18:F$23=AF22)*(H$18:H$23&lt;&gt;"")*(I$18:I$23&lt;&gt;"")*(H$18:H$23&gt;I$18:I$23),(K$18:K$23=AF22)*(H$18:H$23&lt;&gt;"")*(I$18:I$23&lt;&gt;"")*(H$18:H$23&lt;I$18:I$23))</f>
        <v>1</v>
      </c>
      <c r="AJ22" s="418">
        <f t="array" ref="AJ22">SUM((F$18:F$23=AF22)*(H$18:H$23&lt;&gt;"")*(I$18:I$23&lt;&gt;"")*(H$18:H$23=I$18:I$23),(K$18:K$23=AF22)*(H$18:H$23&lt;&gt;"")*(I$18:I$23&lt;&gt;"")*(H$18:H$23=I$18:I$23))</f>
        <v>1</v>
      </c>
      <c r="AK22" s="418">
        <f t="array" ref="AK22">SUM((F$18:F$23=AF22)*(I$18:I$23&lt;&gt;"")*(H$18:H$23&lt;&gt;"")*(H$18:H$23&lt;I$18:I$23),(H$18:H$23&lt;&gt;"")*(K$18:K$23=AF22)*(I$18:I$23&lt;&gt;"")*(H$18:H$23&gt;I$18:I$23))</f>
        <v>1</v>
      </c>
      <c r="AL22" s="418">
        <f t="array" ref="AL22">SUMIFS($H$18:$H$23,$F$18:$F$23,AF22,$H$18:$H$23,"&lt;&gt;",$I$18:$I$23,"&lt;&gt;")+SUMIFS($I$18:$I$23,$K$18:$K$23,AF22,$H$18:$H$23,"&lt;&gt;",$I$18:$I$23,"&lt;&gt;")</f>
        <v>5</v>
      </c>
      <c r="AM22" s="418">
        <f t="array" ref="AM22">SUMIFS($H$18:$H$23,$K$18:$K$23,AF22,$H$18:$H$23,"&lt;&gt;",$I$18:$I$23,"&lt;&gt;")+SUMIFS($I$18:$I$23,$F$18:$F$23,AF22,$H$18:$H$23,"&lt;&gt;",$I$18:$I$23,"&lt;&gt;")</f>
        <v>5</v>
      </c>
      <c r="AN22" s="418">
        <f>AL22-AM22</f>
        <v>0</v>
      </c>
      <c r="AO22" s="418">
        <f>IF(AH22=0,-($AT$13*VLOOKUP(AF22,Tabla3[[ZfP4b()8G6b·$55Ma-t·%fv-ttyZxR-.R*+Fd]:[N!"kvfjM.%&amp;gk5kfmfvv)/%;V$&amp;VW]],2,FALSE)),AG22*$AT$7+AN22*$AT$8+AL22*$AT$9+AX22-($AT$13*VLOOKUP(AF22,Tabla3[[ZfP4b()8G6b·$55Ma-t·%fv-ttyZxR-.R*+Fd]:[N!"kvfjM.%&amp;gk5kfmfvv)/%;V$&amp;VW]],2,FALSE)/100))</f>
        <v>4000510999.9699998</v>
      </c>
      <c r="AP22" s="435">
        <f>AE22</f>
        <v>2</v>
      </c>
      <c r="AQ22" s="14"/>
      <c r="AR22" s="14">
        <f t="shared" si="44"/>
        <v>4000510999.9699998</v>
      </c>
      <c r="AS22" s="14"/>
      <c r="AT22" s="14"/>
      <c r="AU22" s="14"/>
      <c r="AV22" s="438" t="str">
        <f>AF22</f>
        <v>Perú</v>
      </c>
      <c r="AW22" s="418">
        <f>COUNTIF(AG20:AG23,AG22)</f>
        <v>1</v>
      </c>
      <c r="AX22" s="439">
        <f>(AY22*$AT$12)+(BE22*$AT$11)</f>
        <v>11000</v>
      </c>
      <c r="AY22" s="440">
        <f>RANK(AZ22,AZ20:AZ23,1)</f>
        <v>1</v>
      </c>
      <c r="AZ22" s="440">
        <f>SUM(IF(AND(AG22=AG23,AN22=AN23,AL22=AL23),BD22,0),IF(AND(AG22=AG20,AN22=AN20,AL22=AL20),BA22,0),IF(AND(AG22=AG21,AN22=AN21,AL22=AL21),BB22,0))</f>
        <v>0</v>
      </c>
      <c r="BA22" s="441">
        <f>I20</f>
        <v>2</v>
      </c>
      <c r="BB22" s="442">
        <f>I23</f>
        <v>2</v>
      </c>
      <c r="BC22" s="442">
        <v>0</v>
      </c>
      <c r="BD22" s="443">
        <f>H19</f>
        <v>1</v>
      </c>
      <c r="BE22" s="440">
        <f>RANK(BF22,BF20:BF23,1)</f>
        <v>1</v>
      </c>
      <c r="BF22" s="440">
        <f>SUM(IF(AND(AG22=AG23,AN22=AN23,AL22=AL23),BJ22,0),IF(AND(AG22=AG20,AN22=AN20,AL22=AL20),BG22,0),IF(AND(AG22=AG21,AN22=AN21,AL22=AL21),BH22,0))</f>
        <v>0</v>
      </c>
      <c r="BG22" s="441">
        <f>BA22-BC20</f>
        <v>-1</v>
      </c>
      <c r="BH22" s="442">
        <f>BB22-BC21</f>
        <v>1</v>
      </c>
      <c r="BI22" s="442">
        <v>0</v>
      </c>
      <c r="BJ22" s="443">
        <f>BD22-BC23</f>
        <v>0</v>
      </c>
      <c r="BK22" s="410"/>
      <c r="BL22" s="412">
        <f t="shared" si="45"/>
        <v>2</v>
      </c>
      <c r="BM22" s="412" t="s">
        <v>161</v>
      </c>
      <c r="BN22" s="412">
        <f>IF(AH22=0,-($AT$13*VLOOKUP(AF22,Tabla3[[ZfP4b()8G6b·$55Ma-t·%fv-ttyZxR-.R*+Fd]:[N!"kvfjM.%&amp;gk5kfmfvv)/%;V$&amp;VW]],2,FALSE)),AG22*$AT$7+AN22*$AT$8+AL22*$AT$9+AX22-($AT$13*VLOOKUP(AF22,Tabla3[[ZfP4b()8G6b·$55Ma-t·%fv-ttyZxR-.R*+Fd]:[N!"kvfjM.%&amp;gk5kfmfvv)/%;V$&amp;VW]],2,FALSE)/100))</f>
        <v>4000510999.9699998</v>
      </c>
      <c r="BO22" s="412" t="str">
        <f t="shared" si="46"/>
        <v>Dinamarca</v>
      </c>
      <c r="BP22" s="412">
        <f t="shared" si="47"/>
        <v>1980410999.96</v>
      </c>
      <c r="BQ22" s="410"/>
      <c r="BR22" s="412">
        <v>3</v>
      </c>
      <c r="BS22" s="412" t="str">
        <f t="shared" si="48"/>
        <v>Dinamarca</v>
      </c>
      <c r="BT22" s="412">
        <f t="shared" si="49"/>
        <v>2</v>
      </c>
      <c r="BU22" s="444">
        <f t="shared" si="50"/>
        <v>1019999999.98</v>
      </c>
      <c r="BV22" s="412">
        <f t="array" ref="BV22">VLOOKUP(BS22,$AF$20:$AO$23,9,FALSE)</f>
        <v>-2</v>
      </c>
      <c r="BW22" s="412">
        <f t="shared" si="51"/>
        <v>4</v>
      </c>
      <c r="BX22" s="410">
        <f>IF($BY$20=$CA$19,$DC$5:$DC$8,IF($BY$20=$CB$19,$DD$5:$DD$7,IF(OR($BY$20=$CC$19,$BY$20=$CG$19),$DG$5:$DG$6,IF($BY$20=$CE$19,$DF$5:$DF$7,(IF($BY$20=$CF$19,$DH$5:$DH$6,$DK$5))))))</f>
        <v>3</v>
      </c>
      <c r="BY22" s="14"/>
      <c r="BZ22" s="14">
        <v>3</v>
      </c>
      <c r="CA22" s="418">
        <f t="array" ref="CA22">IF(AND($BT$20:$BT$23=$BT$22,$BU$20:$BU$23&lt;230,$AN$20:$AN$23=$AN$22,$BW$20:$BW$23=$BW$22),1,0)</f>
        <v>0</v>
      </c>
      <c r="CB22" s="418">
        <f t="array" ref="CB22">IF(AND($BT$20:$BT$22=$BT$22,$BU$20:$BU$22&lt;230,$BT$22&lt;&gt;$BT$23),1,0)</f>
        <v>0</v>
      </c>
      <c r="CC22" s="418">
        <f t="array" ref="CC22">IF(AND($BT$22:$BT$23=$BT$22,$BU$22:$BU$23&lt;230,$BT$22&lt;&gt;$BT$21),1,0)</f>
        <v>0</v>
      </c>
      <c r="CD22" s="418">
        <f t="array" ref="CD22">IF(OR(AND($BT$22&lt;&gt;$BT$21,$BT$22&lt;&gt;$BT$23),AND($BT$22&lt;&gt;$BT$21,$BT$22=$BT$23,$BU$22&gt;230,$BU$23&gt;230)),1,0)</f>
        <v>1</v>
      </c>
      <c r="CE22" s="418">
        <f t="array" ref="CE22">IF(AND($BT$21:$BT$23=$BT$21,$BU$21:$BU$23&lt;230,$BT$20&lt;&gt;$BT$22),1,0)</f>
        <v>0</v>
      </c>
      <c r="CF22" s="418">
        <f t="array" ref="CF22">IF(AND($BT$21:$BT$22=$BT$22,$BU$21:$BU$22&lt;230,$BT$22&lt;&gt;$BT$20,$BT$22&lt;&gt;$BT$23),1,0)</f>
        <v>0</v>
      </c>
      <c r="CG22" s="418">
        <f t="array" ref="CG22">IF(AND($BT$22:$BT$23=$BT$22,$BU$22:$BU$23&lt;230,$BT$22&lt;&gt;$BT$21),1,0)</f>
        <v>0</v>
      </c>
      <c r="CH22" s="418">
        <f t="array" ref="CH22">IF(AND($BT$22&lt;&gt;$BT$21,$BT$22&lt;&gt;$BT$23),1,0)</f>
        <v>1</v>
      </c>
      <c r="CI22" s="418">
        <f t="array" ref="CI22">IF(AND($BT$20:$BT$23=$BT$20,$BU$20:$BU$23&lt;230,$BV$22:$BV$23=$BV$22,$BV$21&lt;&gt;$BV$22),1,0)</f>
        <v>0</v>
      </c>
      <c r="CJ22" s="418">
        <f t="array" ref="CJ22">IF(AND($BT$20:$BT$23=$BT$20,$BU$20:$BU$23&lt;230,$BV$20:$BV$23=$BV$20,$BW$22=$BW$23,$BW$21&lt;&gt;$BW$22),1,0)</f>
        <v>0</v>
      </c>
      <c r="CK22" s="418">
        <f t="array" ref="CK22">IF(AND($BT$20:$BT$22=$BT$22,$BU$20:$BU$21&lt;230,$BU$22&gt;230),1,0)</f>
        <v>0</v>
      </c>
      <c r="CL22" s="418">
        <f t="array" ref="CL22">IF(AND($BT$21&lt;&gt;$BT$20,$BT$21:$BT$23=$BT$22,$BU$21&gt;230,$BU$22:$BU$23&lt;230),1,0)</f>
        <v>0</v>
      </c>
      <c r="CM22" s="418">
        <f t="array" ref="CM22">IF(AND($BT$21&lt;&gt;$BT$20,$BT$21:$BT$23=$BT$21,$BU$23&gt;230,$BU$21:$BU$22&lt;230),1,0)</f>
        <v>0</v>
      </c>
      <c r="CN22" s="418">
        <f t="array" ref="CN22">IF(AND($BT$22&lt;&gt;$BT$23,$BT$20:$BT$22=$BT$22,$BU$20&gt;230,$BU$21:$BU$22&lt;230),1,0)</f>
        <v>0</v>
      </c>
      <c r="CO22" s="418">
        <f t="array" ref="CO22">IF(AND($BT$20:$BT$23=$BT$21,$BU$21:$BU$23&lt;230,$BU$20&lt;&gt;$BU$22),1,0)</f>
        <v>0</v>
      </c>
      <c r="CP22" s="418">
        <f t="array" ref="CP22">IF(AND($BT$20:$BT$23=$BT$22,$BU$20:$BU$22&lt;230,$BU$22&lt;&gt;$BU$23),1,0)</f>
        <v>0</v>
      </c>
      <c r="CQ22" s="418">
        <f t="array" ref="CQ22">IF(AND($BT$20:$BT$23=$BT$22,$BU$20:$BU$21&gt;230,$BU$22:$BU$23&lt;230,$BV$20:$BV$23=$BV$22,$BW$20&gt;$BW$21,$BW$21&gt;$BW$22,$BW$22=$BW$23),1,0)</f>
        <v>0</v>
      </c>
      <c r="CR22" s="418">
        <f t="array" ref="CR22">IF(AND($BT$20:$BT$23=$BT$22,$BU$20&gt;230,$BU$21:$BU$22&lt;230,$BU$23&gt;230,$BV$20:$BV$23=$BV$22,$BW$20&gt;$BW$21,$BW$21=$BW$22,$BW$22&gt;$BW$23),1,0)</f>
        <v>0</v>
      </c>
      <c r="CS22" s="418">
        <f t="array" ref="CS22">IF(AND($BT$20:$BT$23=$BT$22,$BU$20:$BU$21&lt;230,$BU$22:$BU$23&gt;230,$BV$20:$BV$23=$BV$22,$BW$20=$BW$21,$BW$21&gt;$BW$22,$BW$22&gt;$BW$23),1,0)</f>
        <v>0</v>
      </c>
      <c r="CT22" s="418">
        <f t="array" ref="CT22">IF(AND($BT$20:$BT$23=$BT$22,$BU$20:$BU$21&gt;230,$BU$22:$BU$23&lt;230,$BV$20:$BV$23=$BV$21,$BW$20&gt;$BW$22,$BW$21:$BW$23=$BW$22),1,0)</f>
        <v>0</v>
      </c>
      <c r="CU22" s="418">
        <f t="array" ref="CU22">IF(AND($BT$20:$BT$23=$BT$22,$BU$20:$BU$21&lt;230,$BU$22:$BU$23&gt;230,$BV$20:$BV$23=$BV$22,$BW$20:$BW$22=$BW$22,$BW$22&gt;$BW$23),1,0)</f>
        <v>0</v>
      </c>
      <c r="CV22" s="418">
        <f t="array" ref="CV22">IF(AND($BT$20:$BT$23=$BT$22,$BU$20&gt;230,$BU$23&gt;230,$BU$21:$BU$22&lt;230,$BV$20:$BV$23=$BV$22,$BW$20&gt;$BW$21:$BW$23,$BW$21:$BW$23=$BW$22),1,0)</f>
        <v>0</v>
      </c>
      <c r="CW22" s="418"/>
      <c r="CX22" s="418"/>
      <c r="CY22" s="14"/>
      <c r="CZ22" s="14"/>
      <c r="DA22" s="14"/>
      <c r="DB22" s="14"/>
      <c r="DC22" s="14"/>
      <c r="DD22" s="14"/>
      <c r="DE22" s="14"/>
      <c r="DF22" s="14"/>
      <c r="DG22" s="14"/>
      <c r="DH22" s="14"/>
      <c r="DI22" s="14"/>
      <c r="DJ22" s="14"/>
      <c r="DK22" s="14"/>
      <c r="DL22" s="14"/>
      <c r="DM22" s="14"/>
      <c r="DN22" s="475"/>
    </row>
    <row r="23" spans="1:342 8834:8837" ht="15.75" thickBot="1" x14ac:dyDescent="0.3">
      <c r="A23" s="74"/>
      <c r="B23" s="520"/>
      <c r="C23" s="283">
        <v>43277</v>
      </c>
      <c r="D23" s="284">
        <v>0.66666666666666663</v>
      </c>
      <c r="E23" s="285" t="s">
        <v>207</v>
      </c>
      <c r="F23" s="348" t="s">
        <v>173</v>
      </c>
      <c r="G23" s="226"/>
      <c r="H23" s="481">
        <v>1</v>
      </c>
      <c r="I23" s="481">
        <v>2</v>
      </c>
      <c r="J23" s="226"/>
      <c r="K23" s="372" t="s">
        <v>161</v>
      </c>
      <c r="L23" s="149">
        <f t="shared" si="1"/>
        <v>1</v>
      </c>
      <c r="M23" s="79"/>
      <c r="N23" s="41">
        <v>4</v>
      </c>
      <c r="O23" s="42" t="str">
        <f>VLOOKUP(N23,$AD$20:$AF$23,3,0)</f>
        <v>Australia</v>
      </c>
      <c r="P23" s="43">
        <f>VLOOKUP(O23,AF20:AO23,2,FALSE)</f>
        <v>1</v>
      </c>
      <c r="Q23" s="44">
        <f>VLOOKUP(O23,AF20:AO23,3,FALSE)</f>
        <v>3</v>
      </c>
      <c r="R23" s="44">
        <f>VLOOKUP(O23,AF20:AO23,4,FALSE)</f>
        <v>0</v>
      </c>
      <c r="S23" s="44">
        <f>VLOOKUP(O23,AF20:AO23,5,FALSE)</f>
        <v>1</v>
      </c>
      <c r="T23" s="44">
        <f>VLOOKUP(O23,AF20:AO23,6,FALSE)</f>
        <v>2</v>
      </c>
      <c r="U23" s="44">
        <f>VLOOKUP(O23,AF20:AO23,7,FALSE)</f>
        <v>4</v>
      </c>
      <c r="V23" s="44">
        <f>VLOOKUP(O23,AF20:AO23,8,FALSE)</f>
        <v>8</v>
      </c>
      <c r="W23" s="46">
        <f>VLOOKUP(O23,AF20:AO23,9,FALSE)</f>
        <v>-4</v>
      </c>
      <c r="X23" s="28">
        <f t="shared" si="39"/>
        <v>960410999.98000002</v>
      </c>
      <c r="Y23" s="402" t="str">
        <f t="shared" si="40"/>
        <v/>
      </c>
      <c r="Z23" s="406"/>
      <c r="AA23" s="29"/>
      <c r="AB23" s="29"/>
      <c r="AC23" s="413">
        <f t="shared" si="41"/>
        <v>960410999.98000002</v>
      </c>
      <c r="AD23" s="14">
        <f t="shared" si="42"/>
        <v>3</v>
      </c>
      <c r="AE23" s="445">
        <f>RANK(AO23,$AO$20:$AO$23)</f>
        <v>3</v>
      </c>
      <c r="AF23" s="446" t="s">
        <v>168</v>
      </c>
      <c r="AG23" s="447">
        <f>AI23*3+AJ23*1+AK23*0</f>
        <v>2</v>
      </c>
      <c r="AH23" s="447">
        <f t="shared" si="43"/>
        <v>3</v>
      </c>
      <c r="AI23" s="447">
        <f t="array" ref="AI23">SUM((F$18:F$23=AF23)*(H$18:H$23&lt;&gt;"")*(I$18:I$23&lt;&gt;"")*(H$18:H$23&gt;I$18:I$23),(K$18:K$23=AF23)*(H$18:H$23&lt;&gt;"")*(I$18:I$23&lt;&gt;"")*(H$18:H$23&lt;I$18:I$23))</f>
        <v>0</v>
      </c>
      <c r="AJ23" s="447">
        <f t="array" ref="AJ23">SUM((F$18:F$23=AF23)*(H$18:H$23&lt;&gt;"")*(I$18:I$23&lt;&gt;"")*(H$18:H$23=I$18:I$23),(K$18:K$23=AF23)*(H$18:H$23&lt;&gt;"")*(I$18:I$23&lt;&gt;"")*(H$18:H$23=I$18:I$23))</f>
        <v>2</v>
      </c>
      <c r="AK23" s="447">
        <f t="array" ref="AK23">SUM((F$18:F$23=AF23)*(I$18:I$23&lt;&gt;"")*(H$18:H$23&lt;&gt;"")*(H$18:H$23&lt;I$18:I$23),(H$18:H$23&lt;&gt;"")*(K$18:K$23=AF23)*(I$18:I$23&lt;&gt;"")*(H$18:H$23&gt;I$18:I$23))</f>
        <v>1</v>
      </c>
      <c r="AL23" s="448">
        <f t="array" ref="AL23">SUMIFS($H$18:$H$23,$F$18:$F$23,AF23,$H$18:$H$23,"&lt;&gt;",$I$18:$I$23,"&lt;&gt;")+SUMIFS($I$18:$I$23,$K$18:$K$23,AF23,$H$18:$H$23,"&lt;&gt;",$I$18:$I$23,"&lt;&gt;")</f>
        <v>4</v>
      </c>
      <c r="AM23" s="448">
        <f t="array" ref="AM23">SUMIFS($H$18:$H$23,$K$18:$K$23,AF23,$H$18:$H$23,"&lt;&gt;",$I$18:$I$23,"&lt;&gt;")+SUMIFS($I$18:$I$23,$F$18:$F$23,AF23,$H$18:$H$23,"&lt;&gt;",$I$18:$I$23,"&lt;&gt;")</f>
        <v>6</v>
      </c>
      <c r="AN23" s="447">
        <f>AL23-AM23</f>
        <v>-2</v>
      </c>
      <c r="AO23" s="447">
        <f>IF(AH23=0,-($AT$13*VLOOKUP(AF23,Tabla3[[ZfP4b()8G6b·$55Ma-t·%fv-ttyZxR-.R*+Fd]:[N!"kvfjM.%&amp;gk5kfmfvv)/%;V$&amp;VW]],2,FALSE)),AG23*$AT$7+AN23*$AT$8+AL23*$AT$9+AX23-($AT$13*VLOOKUP(AF23,Tabla3[[ZfP4b()8G6b·$55Ma-t·%fv-ttyZxR-.R*+Fd]:[N!"kvfjM.%&amp;gk5kfmfvv)/%;V$&amp;VW]],2,FALSE)/100))</f>
        <v>1980410999.96</v>
      </c>
      <c r="AP23" s="449">
        <f>AE23</f>
        <v>3</v>
      </c>
      <c r="AQ23" s="14"/>
      <c r="AR23" s="14">
        <f t="shared" si="44"/>
        <v>1980410999.96</v>
      </c>
      <c r="AS23" s="14"/>
      <c r="AT23" s="14"/>
      <c r="AU23" s="14"/>
      <c r="AV23" s="450" t="str">
        <f>AF23</f>
        <v>Dinamarca</v>
      </c>
      <c r="AW23" s="451">
        <f>COUNTIF(AG20:AG23,AG23)</f>
        <v>1</v>
      </c>
      <c r="AX23" s="452">
        <f>(AY23*$AT$12)+(BE23*$AT$11)</f>
        <v>11000</v>
      </c>
      <c r="AY23" s="453">
        <f>RANK(AZ23,AZ20:AZ23,1)</f>
        <v>1</v>
      </c>
      <c r="AZ23" s="453">
        <f>SUM(IF(AND(AG23=AG20,AN23=AN20,AL23=AL20),BA23,0),IF(AND(AG23=AG21,AN23=AN21,AL23=AL21),BB23,0),IF(AND(AG23=AG22,AN23=AN22,AL23=AL22),BC23,0))</f>
        <v>0</v>
      </c>
      <c r="BA23" s="454">
        <f>H22</f>
        <v>1</v>
      </c>
      <c r="BB23" s="455">
        <f>H21</f>
        <v>2</v>
      </c>
      <c r="BC23" s="455">
        <f>I19</f>
        <v>1</v>
      </c>
      <c r="BD23" s="456">
        <v>0</v>
      </c>
      <c r="BE23" s="453">
        <f>RANK(BF23,BF20:BF23,1)</f>
        <v>1</v>
      </c>
      <c r="BF23" s="453">
        <f>SUM(IF(AND(AG23=AG20,AN23=AN20,AL23=AL20),BG23,0),IF(AND(AG23=AG21,AN23=AN21,AL23=AL21),BH23,0),IF(AND(AG23=AG22,AN23=AN22,AL23=AL22),BI23,0))</f>
        <v>0</v>
      </c>
      <c r="BG23" s="454">
        <f>BA23-BD20</f>
        <v>-2</v>
      </c>
      <c r="BH23" s="455">
        <f>BB23-BD21</f>
        <v>0</v>
      </c>
      <c r="BI23" s="455">
        <f>BC23-BD22</f>
        <v>0</v>
      </c>
      <c r="BJ23" s="456">
        <v>0</v>
      </c>
      <c r="BK23" s="410"/>
      <c r="BL23" s="412">
        <f t="shared" si="45"/>
        <v>3</v>
      </c>
      <c r="BM23" s="412" t="s">
        <v>168</v>
      </c>
      <c r="BN23" s="412">
        <f>IF(AH23=0,-($AT$13*VLOOKUP(AF23,Tabla3[[ZfP4b()8G6b·$55Ma-t·%fv-ttyZxR-.R*+Fd]:[N!"kvfjM.%&amp;gk5kfmfvv)/%;V$&amp;VW]],2,FALSE)),AG23*$AT$7+AN23*$AT$8+AL23*$AT$9+AX23-($AT$13*VLOOKUP(AF23,Tabla3[[ZfP4b()8G6b·$55Ma-t·%fv-ttyZxR-.R*+Fd]:[N!"kvfjM.%&amp;gk5kfmfvv)/%;V$&amp;VW]],2,FALSE)/100))</f>
        <v>1980410999.96</v>
      </c>
      <c r="BO23" s="412" t="str">
        <f t="shared" si="46"/>
        <v>Australia</v>
      </c>
      <c r="BP23" s="412">
        <f t="shared" si="47"/>
        <v>960410999.98000002</v>
      </c>
      <c r="BQ23" s="410"/>
      <c r="BR23" s="412">
        <v>4</v>
      </c>
      <c r="BS23" s="412" t="str">
        <f t="shared" si="48"/>
        <v>Australia</v>
      </c>
      <c r="BT23" s="412">
        <f t="shared" si="49"/>
        <v>1</v>
      </c>
      <c r="BU23" s="444">
        <f t="shared" si="50"/>
        <v>960410999.98000002</v>
      </c>
      <c r="BV23" s="412">
        <f t="array" ref="BV23">VLOOKUP(BS23,$AF$20:$AO$23,9,FALSE)</f>
        <v>-4</v>
      </c>
      <c r="BW23" s="412">
        <f t="shared" si="51"/>
        <v>4</v>
      </c>
      <c r="BX23" s="410">
        <f>IF($BY$20=$CA$19,$DC$5:$DC$8,IF(OR($BY$20=$CC$19,$BY$20=$CG$19),$DG$5:$DG$6,IF($BY$20=$CE$19,$DF$5:$DF$7,$DL$5)))</f>
        <v>4</v>
      </c>
      <c r="BY23" s="14"/>
      <c r="BZ23" s="14">
        <v>4</v>
      </c>
      <c r="CA23" s="418">
        <f t="array" ref="CA23">IF(AND($BT$20:$BT$23=$BT$23,$BU$20:$BU$23&lt;230,$AN$20:$AN$23=$AN$23,$BW$20:$BW$23=$BW$23),1,0)</f>
        <v>0</v>
      </c>
      <c r="CB23" s="418">
        <f t="array" ref="CB23">IF(AND($BT$20:$BT$22=$BT$20,$BU$20:$BU$22&lt;230,$BU$23&gt;230,$BT$20&lt;&gt;$BT$23),1,0)</f>
        <v>0</v>
      </c>
      <c r="CC23" s="418">
        <f t="array" ref="CC23">IF(AND($BT$22:$BT$23=$BT$22,$BU$22:$BU$23&lt;230,$BT$22&lt;&gt;$BT$21),1,0)</f>
        <v>0</v>
      </c>
      <c r="CD23" s="418">
        <f t="array" ref="CD23">IF(AND($BT$23&lt;&gt;$BT$21,$BT$23&lt;&gt;$BT$20),1,0)</f>
        <v>1</v>
      </c>
      <c r="CE23" s="418">
        <f t="array" ref="CE23">IF(AND($BT$21:$BT$23=$BT$21,$BU$21:$BU$23&lt;230,$BT$20&lt;&gt;$BT$23),1,0)</f>
        <v>0</v>
      </c>
      <c r="CF23" s="418">
        <f t="array" ref="CF23">IF(AND($BT$23&lt;&gt;$BT$21,$BT$23&lt;&gt;$BT$20),1,0)</f>
        <v>1</v>
      </c>
      <c r="CG23" s="418">
        <f t="array" ref="CG23">IF(AND($BT$22:$BT$23=$BT$22,$BU$22:$BU$23&lt;230,$BT$22&lt;&gt;$BT$21),1,0)</f>
        <v>0</v>
      </c>
      <c r="CH23" s="418">
        <f t="array" ref="CH23">IF(AND($BT$23&lt;&gt;$BT$21,$BT$23&lt;&gt;$BT$20),1,0)</f>
        <v>1</v>
      </c>
      <c r="CI23" s="418">
        <f t="array" ref="CI23">IF(AND($BT$20:$BT$23=$BT$20,$BU$20:$BU$23&lt;230,$BV$22:$BV$23=$BV$23,$BV$21&lt;&gt;$BV$23),1,0)</f>
        <v>0</v>
      </c>
      <c r="CJ23" s="418">
        <f t="array" ref="CJ23">IF(AND($BT$20:$BT$23=$BT$20,$BU$20:$BU$23&lt;230,$BV$20:$BV$23=$BV$20,$BW$22=$BW$23,$BW$21&lt;&gt;$BW$22),1,0)</f>
        <v>0</v>
      </c>
      <c r="CK23" s="418">
        <f t="array" ref="CK23">IF(AND($BT$20:$BT$22=$BT$20,$BU$20:$BU$21&lt;230,$BT$22&lt;&gt;$BT$23),1,0)</f>
        <v>0</v>
      </c>
      <c r="CL23" s="418">
        <f t="array" ref="CL23">IF(AND($BT$21&lt;&gt;$BT$20,$BT$21:$BT$23=$BT$22,$BU$21&gt;230,$BU$22:$BU$23&lt;230),1,0)</f>
        <v>0</v>
      </c>
      <c r="CM23" s="418">
        <f t="array" ref="CM23">IF(AND($BT$21&lt;&gt;$BT$20,$BT$21:$BT$23=$BT$21,$BU$23&gt;230,$BU$21:$BU$22&lt;230),1,0)</f>
        <v>0</v>
      </c>
      <c r="CN23" s="418">
        <f t="array" ref="CN23">IF(AND($BT$23&lt;&gt;$BT$21,$BT$23&lt;&gt;$BT$22),1,0)</f>
        <v>1</v>
      </c>
      <c r="CO23" s="418">
        <f t="array" ref="CO23">IF(AND($BT$20:$BT$23=$BT$21,$BU$21:$BU$23&lt;230,$BU$20&lt;&gt;$BU$23),1,0)</f>
        <v>0</v>
      </c>
      <c r="CP23" s="418">
        <f t="array" ref="CP23">IF(AND($BT$20:$BT$23=$BT$20,$BU$20:$BU$22&lt;230,$BU$22&lt;&gt;$BU$23),1,0)</f>
        <v>0</v>
      </c>
      <c r="CQ23" s="418">
        <f t="array" ref="CQ23">IF(AND($BT$20:$BT$23=$BT$23,$BU$20:$BU$21&gt;230,$BU$22:$BU$23&lt;230,$BV$20:$BV$23=$BV$23,$BW$20&gt;$BW$21,$BW$21&gt;$BW$23,$BW$22=$BW$23),1,0)</f>
        <v>0</v>
      </c>
      <c r="CR23" s="418">
        <f t="array" ref="CR23">IF(AND($BT$20:$BT$23=$BT$21,$BU$20&gt;230,$BU$21:$BU$22&lt;230,$BU$23&gt;230,$BV$20:$BV$23=$BV$23,$BW$20&gt;$BW$23,$BW$21=$BW$22,$BW$21&gt;$BW$23),1,0)</f>
        <v>0</v>
      </c>
      <c r="CS23" s="418">
        <f t="array" ref="CS23">IF(AND($BT$20:$BT$23=$BT$23,$BU$20:$BU$21&lt;230,$BU$22:$BU$23&gt;230,$BV$20:$BV$23=$BV$23,$BW$20=$BW$21,$BW$21&gt;$BW$22,$BW$22&gt;$BW$23),1,0)</f>
        <v>0</v>
      </c>
      <c r="CT23" s="418">
        <f t="array" ref="CT23">IF(AND($BT$20:$BT$23=$BT$23,$BU$20:$BU$21&gt;230,$BU$22:$BU$23&lt;230,$BV$20:$BV$23=$BV$23,$BW$20&gt;$BW$23,$BW$21:$BW$23=$BW$23),1,0)</f>
        <v>0</v>
      </c>
      <c r="CU23" s="418">
        <f t="array" ref="CU23">IF(AND($BT$20:$BT$23=$BT$23,$BU$20:$BU$21&lt;230,$BU$22:$BU$23&gt;230,$BV$20:$BV$23=$BV$23,$BW$20:$BW$22=$BW$22,$BW$20:$BW$22&gt;$BW$23),1,0)</f>
        <v>0</v>
      </c>
      <c r="CV23" s="418">
        <f t="array" ref="CV23">IF(AND($BT$20:$BT$23=$BT$23,$BU$20&gt;230,$BU$23&gt;230,$BU$21:$BU$22&lt;230,$BV$20:$BV$23=$BV$23,$BW$20&gt;$BW$21:$BW$23,$BW$21:$BW$23=$BW$23),1,0)</f>
        <v>0</v>
      </c>
      <c r="CW23" s="418"/>
      <c r="CX23" s="418"/>
      <c r="CY23" s="14"/>
      <c r="CZ23" s="14"/>
      <c r="DA23" s="14"/>
      <c r="DB23" s="14"/>
      <c r="DC23" s="14"/>
      <c r="DD23" s="14"/>
      <c r="DE23" s="14"/>
      <c r="DF23" s="14"/>
      <c r="DG23" s="14"/>
      <c r="DH23" s="14"/>
      <c r="DI23" s="14"/>
      <c r="DJ23" s="14"/>
      <c r="DK23" s="14"/>
      <c r="DL23" s="14"/>
      <c r="DM23" s="14"/>
      <c r="DN23" s="475"/>
    </row>
    <row r="24" spans="1:342 8834:8837" ht="7.5" customHeight="1" thickBot="1" x14ac:dyDescent="0.3">
      <c r="A24" s="74"/>
      <c r="B24" s="75"/>
      <c r="C24" s="266"/>
      <c r="D24" s="267"/>
      <c r="E24" s="76"/>
      <c r="F24" s="78"/>
      <c r="G24" s="79"/>
      <c r="H24" s="80"/>
      <c r="I24" s="80"/>
      <c r="J24" s="81"/>
      <c r="K24" s="82"/>
      <c r="L24" s="149"/>
      <c r="M24" s="79"/>
      <c r="N24" s="26"/>
      <c r="O24" s="25"/>
      <c r="P24" s="54"/>
      <c r="Q24" s="26"/>
      <c r="R24" s="26"/>
      <c r="S24" s="26"/>
      <c r="T24" s="26"/>
      <c r="U24" s="26"/>
      <c r="V24" s="26"/>
      <c r="W24" s="26"/>
      <c r="X24" s="28"/>
      <c r="Y24" s="28"/>
      <c r="Z24" s="28"/>
      <c r="AA24" s="28"/>
      <c r="AB24" s="28"/>
      <c r="AC24" s="413"/>
      <c r="AD24" s="14"/>
      <c r="AE24" s="457"/>
      <c r="AF24" s="410"/>
      <c r="AG24" s="457"/>
      <c r="AH24" s="457"/>
      <c r="AI24" s="457"/>
      <c r="AJ24" s="457"/>
      <c r="AK24" s="457"/>
      <c r="AL24" s="458"/>
      <c r="AM24" s="458"/>
      <c r="AN24" s="457"/>
      <c r="AO24" s="457"/>
      <c r="AP24" s="457"/>
      <c r="AQ24" s="14"/>
      <c r="AR24" s="14"/>
      <c r="AS24" s="14"/>
      <c r="AT24" s="14"/>
      <c r="AU24" s="14"/>
      <c r="AV24" s="459"/>
      <c r="AW24" s="457"/>
      <c r="AX24" s="457"/>
      <c r="AY24" s="460"/>
      <c r="AZ24" s="461"/>
      <c r="BA24" s="461"/>
      <c r="BB24" s="461"/>
      <c r="BC24" s="461"/>
      <c r="BD24" s="462"/>
      <c r="BE24" s="460"/>
      <c r="BF24" s="461"/>
      <c r="BG24" s="461"/>
      <c r="BH24" s="461"/>
      <c r="BI24" s="461"/>
      <c r="BJ24" s="462"/>
      <c r="BK24" s="410"/>
      <c r="BL24" s="410"/>
      <c r="BM24" s="410"/>
      <c r="BN24" s="410"/>
      <c r="BO24" s="410"/>
      <c r="BP24" s="410"/>
      <c r="BQ24" s="410"/>
      <c r="BR24" s="410"/>
      <c r="BS24" s="410"/>
      <c r="BT24" s="410"/>
      <c r="BU24" s="468"/>
      <c r="BV24" s="410"/>
      <c r="BW24" s="410"/>
      <c r="BX24" s="410"/>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475"/>
    </row>
    <row r="25" spans="1:342 8834:8837" ht="15.75" customHeight="1" thickBot="1" x14ac:dyDescent="0.3">
      <c r="A25" s="74"/>
      <c r="B25" s="521" t="s">
        <v>3</v>
      </c>
      <c r="C25" s="286">
        <v>43267</v>
      </c>
      <c r="D25" s="287">
        <v>0.625</v>
      </c>
      <c r="E25" s="288" t="s">
        <v>209</v>
      </c>
      <c r="F25" s="349" t="s">
        <v>153</v>
      </c>
      <c r="G25" s="248"/>
      <c r="H25" s="482">
        <v>4</v>
      </c>
      <c r="I25" s="482">
        <v>0</v>
      </c>
      <c r="J25" s="227"/>
      <c r="K25" s="373" t="s">
        <v>20</v>
      </c>
      <c r="L25" s="149">
        <f t="shared" si="1"/>
        <v>1</v>
      </c>
      <c r="M25" s="79"/>
      <c r="N25" s="172" t="s">
        <v>30</v>
      </c>
      <c r="O25" s="173"/>
      <c r="P25" s="173"/>
      <c r="Q25" s="173"/>
      <c r="R25" s="173"/>
      <c r="S25" s="173"/>
      <c r="T25" s="173"/>
      <c r="U25" s="173"/>
      <c r="V25" s="173"/>
      <c r="W25" s="174"/>
      <c r="X25" s="28"/>
      <c r="Y25" s="567" t="s">
        <v>218</v>
      </c>
      <c r="Z25" s="567"/>
      <c r="AA25" s="567"/>
      <c r="AB25" s="28"/>
      <c r="AC25" s="413"/>
      <c r="AD25" s="14"/>
      <c r="AE25" s="414" t="s">
        <v>36</v>
      </c>
      <c r="AF25" s="463"/>
      <c r="AG25" s="14"/>
      <c r="AH25" s="464"/>
      <c r="AI25" s="14"/>
      <c r="AJ25" s="464"/>
      <c r="AK25" s="14"/>
      <c r="AL25" s="14"/>
      <c r="AM25" s="14"/>
      <c r="AN25" s="14"/>
      <c r="AO25" s="464"/>
      <c r="AP25" s="415"/>
      <c r="AQ25" s="14"/>
      <c r="AR25" s="14"/>
      <c r="AS25" s="14"/>
      <c r="AT25" s="14"/>
      <c r="AU25" s="14"/>
      <c r="AV25" s="416" t="str">
        <f>CONCATENATE(N25," - GOLAVERAGE")</f>
        <v>Grupo D - GOLAVERAGE</v>
      </c>
      <c r="AW25" s="417"/>
      <c r="AX25" s="417"/>
      <c r="AY25" s="508" t="s">
        <v>49</v>
      </c>
      <c r="AZ25" s="509"/>
      <c r="BA25" s="509"/>
      <c r="BB25" s="509"/>
      <c r="BC25" s="509"/>
      <c r="BD25" s="510"/>
      <c r="BE25" s="508" t="s">
        <v>48</v>
      </c>
      <c r="BF25" s="509"/>
      <c r="BG25" s="509"/>
      <c r="BH25" s="509"/>
      <c r="BI25" s="509"/>
      <c r="BJ25" s="510"/>
      <c r="BK25" s="410"/>
      <c r="BL25" s="410"/>
      <c r="BM25" s="410"/>
      <c r="BN25" s="410"/>
      <c r="BO25" s="410"/>
      <c r="BP25" s="410"/>
      <c r="BQ25" s="410"/>
      <c r="BR25" s="410"/>
      <c r="BS25" s="410"/>
      <c r="BT25" s="410"/>
      <c r="BU25" s="468"/>
      <c r="BV25" s="410"/>
      <c r="BW25" s="410"/>
      <c r="BX25" s="410"/>
      <c r="BY25" s="14"/>
      <c r="BZ25" s="14" t="s">
        <v>216</v>
      </c>
      <c r="CA25" s="418">
        <f>SUM(CA27:CA30)</f>
        <v>0</v>
      </c>
      <c r="CB25" s="418">
        <f t="shared" ref="CB25:CX25" si="52">SUM(CB27:CB30)</f>
        <v>0</v>
      </c>
      <c r="CC25" s="418">
        <f t="shared" si="52"/>
        <v>0</v>
      </c>
      <c r="CD25" s="418">
        <f t="shared" si="52"/>
        <v>2</v>
      </c>
      <c r="CE25" s="418">
        <f t="shared" si="52"/>
        <v>0</v>
      </c>
      <c r="CF25" s="418">
        <f t="shared" si="52"/>
        <v>1</v>
      </c>
      <c r="CG25" s="418">
        <f t="shared" si="52"/>
        <v>0</v>
      </c>
      <c r="CH25" s="418">
        <f t="shared" si="52"/>
        <v>1</v>
      </c>
      <c r="CI25" s="418">
        <f t="shared" si="52"/>
        <v>0</v>
      </c>
      <c r="CJ25" s="418">
        <f t="shared" si="52"/>
        <v>0</v>
      </c>
      <c r="CK25" s="418">
        <f t="shared" si="52"/>
        <v>0</v>
      </c>
      <c r="CL25" s="418">
        <f t="shared" si="52"/>
        <v>0</v>
      </c>
      <c r="CM25" s="418">
        <f t="shared" si="52"/>
        <v>0</v>
      </c>
      <c r="CN25" s="418">
        <f t="shared" si="52"/>
        <v>0</v>
      </c>
      <c r="CO25" s="418">
        <f t="shared" si="52"/>
        <v>0</v>
      </c>
      <c r="CP25" s="418">
        <f t="shared" si="52"/>
        <v>0</v>
      </c>
      <c r="CQ25" s="418">
        <f t="shared" si="52"/>
        <v>0</v>
      </c>
      <c r="CR25" s="418">
        <f t="shared" si="52"/>
        <v>0</v>
      </c>
      <c r="CS25" s="418">
        <f t="shared" si="52"/>
        <v>0</v>
      </c>
      <c r="CT25" s="418">
        <f t="shared" si="52"/>
        <v>0</v>
      </c>
      <c r="CU25" s="418">
        <f t="shared" si="52"/>
        <v>0</v>
      </c>
      <c r="CV25" s="418">
        <f t="shared" si="52"/>
        <v>0</v>
      </c>
      <c r="CW25" s="418">
        <f t="shared" si="52"/>
        <v>0</v>
      </c>
      <c r="CX25" s="418">
        <f t="shared" si="52"/>
        <v>0</v>
      </c>
      <c r="CY25" s="14"/>
      <c r="CZ25" s="14"/>
      <c r="DA25" s="14"/>
      <c r="DB25" s="14"/>
      <c r="DC25" s="14"/>
      <c r="DD25" s="14"/>
      <c r="DE25" s="14"/>
      <c r="DF25" s="14"/>
      <c r="DG25" s="14"/>
      <c r="DH25" s="14"/>
      <c r="DI25" s="14"/>
      <c r="DJ25" s="14"/>
      <c r="DK25" s="14"/>
      <c r="DL25" s="14"/>
      <c r="DM25" s="14"/>
      <c r="DN25" s="475"/>
    </row>
    <row r="26" spans="1:342 8834:8837" x14ac:dyDescent="0.25">
      <c r="A26" s="74"/>
      <c r="B26" s="522"/>
      <c r="C26" s="289">
        <v>43267</v>
      </c>
      <c r="D26" s="290">
        <v>0.875</v>
      </c>
      <c r="E26" s="291" t="s">
        <v>208</v>
      </c>
      <c r="F26" s="350" t="s">
        <v>157</v>
      </c>
      <c r="G26" s="249"/>
      <c r="H26" s="482">
        <v>3</v>
      </c>
      <c r="I26" s="482">
        <v>1</v>
      </c>
      <c r="J26" s="228"/>
      <c r="K26" s="374" t="s">
        <v>171</v>
      </c>
      <c r="L26" s="149">
        <f t="shared" si="1"/>
        <v>1</v>
      </c>
      <c r="M26" s="79"/>
      <c r="N26" s="175" t="s">
        <v>26</v>
      </c>
      <c r="O26" s="176" t="s">
        <v>6</v>
      </c>
      <c r="P26" s="177" t="s">
        <v>12</v>
      </c>
      <c r="Q26" s="177" t="s">
        <v>7</v>
      </c>
      <c r="R26" s="177" t="s">
        <v>8</v>
      </c>
      <c r="S26" s="177" t="s">
        <v>4</v>
      </c>
      <c r="T26" s="177" t="s">
        <v>9</v>
      </c>
      <c r="U26" s="177" t="s">
        <v>10</v>
      </c>
      <c r="V26" s="177" t="s">
        <v>11</v>
      </c>
      <c r="W26" s="178" t="s">
        <v>14</v>
      </c>
      <c r="X26" s="403">
        <f>COUNTIF(X27:X30,"&lt;100")</f>
        <v>0</v>
      </c>
      <c r="Y26" s="567"/>
      <c r="Z26" s="567"/>
      <c r="AA26" s="567"/>
      <c r="AB26" s="29"/>
      <c r="AC26" s="413"/>
      <c r="AD26" s="419"/>
      <c r="AE26" s="420" t="s">
        <v>16</v>
      </c>
      <c r="AF26" s="467" t="s">
        <v>6</v>
      </c>
      <c r="AG26" s="421" t="s">
        <v>17</v>
      </c>
      <c r="AH26" s="421" t="s">
        <v>7</v>
      </c>
      <c r="AI26" s="421" t="s">
        <v>8</v>
      </c>
      <c r="AJ26" s="421" t="s">
        <v>4</v>
      </c>
      <c r="AK26" s="421" t="s">
        <v>9</v>
      </c>
      <c r="AL26" s="421" t="s">
        <v>10</v>
      </c>
      <c r="AM26" s="421" t="s">
        <v>11</v>
      </c>
      <c r="AN26" s="421" t="s">
        <v>14</v>
      </c>
      <c r="AO26" s="421" t="s">
        <v>18</v>
      </c>
      <c r="AP26" s="422" t="s">
        <v>16</v>
      </c>
      <c r="AQ26" s="14"/>
      <c r="AR26" s="14"/>
      <c r="AS26" s="14"/>
      <c r="AT26" s="14"/>
      <c r="AU26" s="14"/>
      <c r="AV26" s="425" t="s">
        <v>6</v>
      </c>
      <c r="AW26" s="426" t="s">
        <v>50</v>
      </c>
      <c r="AX26" s="427" t="s">
        <v>53</v>
      </c>
      <c r="AY26" s="428" t="s">
        <v>52</v>
      </c>
      <c r="AZ26" s="426" t="s">
        <v>47</v>
      </c>
      <c r="BA26" s="429" t="str">
        <f>AV27</f>
        <v>Argentina</v>
      </c>
      <c r="BB26" s="430" t="str">
        <f>AV28</f>
        <v>Islandia</v>
      </c>
      <c r="BC26" s="430" t="str">
        <f>AV29</f>
        <v>Croacia</v>
      </c>
      <c r="BD26" s="431" t="str">
        <f>AV30</f>
        <v>Nigeria</v>
      </c>
      <c r="BE26" s="426" t="s">
        <v>52</v>
      </c>
      <c r="BF26" s="426" t="s">
        <v>47</v>
      </c>
      <c r="BG26" s="429" t="str">
        <f>BA26</f>
        <v>Argentina</v>
      </c>
      <c r="BH26" s="430" t="str">
        <f t="shared" ref="BH26" si="53">BB26</f>
        <v>Islandia</v>
      </c>
      <c r="BI26" s="430" t="str">
        <f t="shared" ref="BI26" si="54">BC26</f>
        <v>Croacia</v>
      </c>
      <c r="BJ26" s="431" t="str">
        <f t="shared" ref="BJ26" si="55">BD26</f>
        <v>Nigeria</v>
      </c>
      <c r="BK26" s="410"/>
      <c r="BL26" s="432"/>
      <c r="BM26" s="432" t="s">
        <v>184</v>
      </c>
      <c r="BN26" s="432"/>
      <c r="BO26" s="432" t="s">
        <v>185</v>
      </c>
      <c r="BP26" s="432"/>
      <c r="BQ26" s="410"/>
      <c r="BR26" s="433"/>
      <c r="BS26" s="433" t="s">
        <v>6</v>
      </c>
      <c r="BT26" s="433" t="s">
        <v>17</v>
      </c>
      <c r="BU26" s="469" t="s">
        <v>204</v>
      </c>
      <c r="BV26" s="433" t="s">
        <v>14</v>
      </c>
      <c r="BW26" s="433" t="s">
        <v>205</v>
      </c>
      <c r="BX26" s="410"/>
      <c r="BY26" s="14"/>
      <c r="BZ26" s="14" t="s">
        <v>217</v>
      </c>
      <c r="CA26" s="418" t="s">
        <v>188</v>
      </c>
      <c r="CB26" s="418" t="s">
        <v>197</v>
      </c>
      <c r="CC26" s="418" t="s">
        <v>198</v>
      </c>
      <c r="CD26" s="418" t="s">
        <v>199</v>
      </c>
      <c r="CE26" s="418" t="s">
        <v>200</v>
      </c>
      <c r="CF26" s="418" t="s">
        <v>201</v>
      </c>
      <c r="CG26" s="418" t="s">
        <v>202</v>
      </c>
      <c r="CH26" s="418" t="s">
        <v>203</v>
      </c>
      <c r="CI26" s="418" t="s">
        <v>198</v>
      </c>
      <c r="CJ26" s="418" t="s">
        <v>198</v>
      </c>
      <c r="CK26" s="418" t="s">
        <v>199</v>
      </c>
      <c r="CL26" s="418" t="s">
        <v>202</v>
      </c>
      <c r="CM26" s="418" t="s">
        <v>201</v>
      </c>
      <c r="CN26" s="418" t="s">
        <v>201</v>
      </c>
      <c r="CO26" s="418" t="s">
        <v>200</v>
      </c>
      <c r="CP26" s="418" t="s">
        <v>197</v>
      </c>
      <c r="CQ26" s="418" t="s">
        <v>202</v>
      </c>
      <c r="CR26" s="418" t="s">
        <v>201</v>
      </c>
      <c r="CS26" s="418" t="s">
        <v>199</v>
      </c>
      <c r="CT26" s="418" t="s">
        <v>202</v>
      </c>
      <c r="CU26" s="418" t="s">
        <v>199</v>
      </c>
      <c r="CV26" s="418" t="s">
        <v>201</v>
      </c>
      <c r="CW26" s="418"/>
      <c r="CX26" s="418"/>
      <c r="CY26" s="14"/>
      <c r="CZ26" s="14"/>
      <c r="DA26" s="14"/>
      <c r="DB26" s="14"/>
      <c r="DC26" s="14"/>
      <c r="DD26" s="14"/>
      <c r="DE26" s="14"/>
      <c r="DF26" s="14"/>
      <c r="DG26" s="14"/>
      <c r="DH26" s="14"/>
      <c r="DI26" s="14"/>
      <c r="DJ26" s="14"/>
      <c r="DK26" s="14"/>
      <c r="DL26" s="14"/>
      <c r="DM26" s="14"/>
      <c r="DN26" s="475"/>
    </row>
    <row r="27" spans="1:342 8834:8837" x14ac:dyDescent="0.25">
      <c r="A27" s="74"/>
      <c r="B27" s="522"/>
      <c r="C27" s="289">
        <v>43272</v>
      </c>
      <c r="D27" s="290">
        <v>0.83333333333333337</v>
      </c>
      <c r="E27" s="291" t="s">
        <v>210</v>
      </c>
      <c r="F27" s="350" t="s">
        <v>153</v>
      </c>
      <c r="G27" s="249"/>
      <c r="H27" s="482">
        <v>1</v>
      </c>
      <c r="I27" s="482">
        <v>1</v>
      </c>
      <c r="J27" s="228"/>
      <c r="K27" s="374" t="s">
        <v>157</v>
      </c>
      <c r="L27" s="149">
        <f t="shared" si="1"/>
        <v>1</v>
      </c>
      <c r="M27" s="79"/>
      <c r="N27" s="161">
        <v>1</v>
      </c>
      <c r="O27" s="162" t="str">
        <f>VLOOKUP(N27,$AD$27:$AF$30,3,0)</f>
        <v>Argentina</v>
      </c>
      <c r="P27" s="163">
        <f>VLOOKUP(O27,AF27:AO30,2,FALSE)</f>
        <v>7</v>
      </c>
      <c r="Q27" s="163">
        <f>VLOOKUP(O27,AF27:AO30,3,FALSE)</f>
        <v>3</v>
      </c>
      <c r="R27" s="163">
        <f>VLOOKUP(O27,AF27:AO30,4,FALSE)</f>
        <v>2</v>
      </c>
      <c r="S27" s="163">
        <f>VLOOKUP(O27,AF27:AO30,5,FALSE)</f>
        <v>1</v>
      </c>
      <c r="T27" s="163">
        <f>VLOOKUP(O27,AF27:AO30,6,FALSE)</f>
        <v>0</v>
      </c>
      <c r="U27" s="163">
        <f>VLOOKUP(O27,AF27:AO30,7,FALSE)</f>
        <v>8</v>
      </c>
      <c r="V27" s="163">
        <f>VLOOKUP(O27,AF27:AO30,8,FALSE)</f>
        <v>2</v>
      </c>
      <c r="W27" s="164">
        <f>VLOOKUP(O27,AF27:AO30,9,FALSE)</f>
        <v>6</v>
      </c>
      <c r="X27" s="28">
        <f>IF(SUM($AH$27:$AH$30)=12,MIN(ABS(BP26-BP27),ABS(BP27-BP28)),100)</f>
        <v>20100000.019999504</v>
      </c>
      <c r="Y27" s="402" t="str">
        <f>IF(AND(X27&gt;=0,X27&lt;90),VLOOKUP(N27,$BL$27:$BM$30,2,0),"")</f>
        <v/>
      </c>
      <c r="Z27" s="406">
        <v>2</v>
      </c>
      <c r="AA27" s="29"/>
      <c r="AB27" s="29"/>
      <c r="AC27" s="413">
        <f>VLOOKUP(O27,$AF$27:$AO$30,10,FALSE)</f>
        <v>7060810999.9899998</v>
      </c>
      <c r="AD27" s="14">
        <f>RANK(AR27,$AR$27:$AR$30)</f>
        <v>1</v>
      </c>
      <c r="AE27" s="434">
        <f>RANK(AO27,$AO$27:$AO$30)</f>
        <v>1</v>
      </c>
      <c r="AF27" s="412" t="s">
        <v>153</v>
      </c>
      <c r="AG27" s="418">
        <f>AI27*3+AJ27*1+AK27*0</f>
        <v>7</v>
      </c>
      <c r="AH27" s="418">
        <f>COUNTIFS($F$25:$F$30,AF27,$H$25:$H$30,"&lt;&gt;",$I$25:$I$30,"&lt;&gt;")+COUNTIFS($K$25:$K$30,AF27,$I$25:$I$30,"&lt;&gt;",$H$25:$H$30,"&lt;&gt;")</f>
        <v>3</v>
      </c>
      <c r="AI27" s="418">
        <f t="array" ref="AI27">SUM((F$25:F$30=AF27)*(H$25:H$30&lt;&gt;"")*(I$25:I$30&lt;&gt;"")*(H$25:H$30&gt;I$25:I$30),(K$25:K$30=AF27)*(H$25:H$30&lt;&gt;"")*(I$25:I$30&lt;&gt;"")*(H$25:H$30&lt;I$25:I$30))</f>
        <v>2</v>
      </c>
      <c r="AJ27" s="418">
        <f t="array" ref="AJ27">SUM((F$25:F$30=AF27)*(H$25:H$30&lt;&gt;"")*(I$25:I$30&lt;&gt;"")*(H$25:H$30=I$25:I$30),(K$25:K$30=AF27)*(H$25:H$30&lt;&gt;"")*(I$25:I$30&lt;&gt;"")*(H$25:H$30=I$25:I$30))</f>
        <v>1</v>
      </c>
      <c r="AK27" s="418">
        <f t="array" ref="AK27">SUM((F$25:F$30=AF27)*(I$25:I$30&lt;&gt;"")*(H$25:H$30&lt;&gt;"")*(H$25:H$30&lt;I$25:I$30),(H$25:H$30&lt;&gt;"")*(K$25:K$30=AF27)*(I$25:I$30&lt;&gt;"")*(H$25:H$30&gt;I$25:I$30))</f>
        <v>0</v>
      </c>
      <c r="AL27" s="418">
        <f t="array" ref="AL27">SUMIFS($H$25:$H$30,$F$25:$F$30,AF27,$H$25:$H$30,"&lt;&gt;",$I$25:$I$30,"&lt;&gt;")+SUMIFS($I$25:$I$30,$K$25:$K$30,AF27,$H$25:$H$30,"&lt;&gt;",$I$25:$I$30,"&lt;&gt;")</f>
        <v>8</v>
      </c>
      <c r="AM27" s="418">
        <f t="array" ref="AM27">SUMIFS($H$25:$H$30,$K$25:$K$30,AF27,$H$25:$H$30,"&lt;&gt;",$I$25:$I$30,"&lt;&gt;")+SUMIFS($I$25:$I$30,$F$25:$F$30,AF27,$H$25:$H$30,"&lt;&gt;",$I$25:$I$30,"&lt;&gt;")</f>
        <v>2</v>
      </c>
      <c r="AN27" s="418">
        <f>AL27-AM27</f>
        <v>6</v>
      </c>
      <c r="AO27" s="418">
        <f>IF(AH27=0,-($AT$13*VLOOKUP(AF27,Tabla3[[ZfP4b()8G6b·$55Ma-t·%fv-ttyZxR-.R*+Fd]:[N!"kvfjM.%&amp;gk5kfmfvv)/%;V$&amp;VW]],2,FALSE)),AG27*$AT$7+AN27*$AT$8+AL27*$AT$9+AX27-($AT$13*VLOOKUP(AF27,Tabla3[[ZfP4b()8G6b·$55Ma-t·%fv-ttyZxR-.R*+Fd]:[N!"kvfjM.%&amp;gk5kfmfvv)/%;V$&amp;VW]],2,FALSE)/100))</f>
        <v>7060810999.9899998</v>
      </c>
      <c r="AP27" s="435">
        <f>AE27</f>
        <v>1</v>
      </c>
      <c r="AQ27" s="14"/>
      <c r="AR27" s="14">
        <f>IFERROR(AO27-VLOOKUP(AF27,$Y$27:$Z$30,2,0),AO27)</f>
        <v>7060810999.9899998</v>
      </c>
      <c r="AS27" s="14"/>
      <c r="AT27" s="14"/>
      <c r="AU27" s="14"/>
      <c r="AV27" s="438" t="str">
        <f>AF27</f>
        <v>Argentina</v>
      </c>
      <c r="AW27" s="418">
        <f>COUNTIF(AG27:AG30,AG27)</f>
        <v>2</v>
      </c>
      <c r="AX27" s="439">
        <f>(AY27*$AT$12)+(BE27*$AT$11)</f>
        <v>11000</v>
      </c>
      <c r="AY27" s="440">
        <f>RANK(AZ27,AZ27:AZ30,1)</f>
        <v>1</v>
      </c>
      <c r="AZ27" s="440">
        <f>SUM(IF(AND(AG27=AG28,AN27=AN28,AL27=AL28),BB27,0),IF(AND(AG27=AG29,AN27=AN29,AL27=AL29),BC27,0),IF(AND(AG27=AG30,AN27=AN30,AL27=AL30),BD27,0))</f>
        <v>0</v>
      </c>
      <c r="BA27" s="441">
        <v>0</v>
      </c>
      <c r="BB27" s="442">
        <f>H25</f>
        <v>4</v>
      </c>
      <c r="BC27" s="442">
        <f>H27</f>
        <v>1</v>
      </c>
      <c r="BD27" s="443">
        <f>I29</f>
        <v>3</v>
      </c>
      <c r="BE27" s="440">
        <f>RANK(BF27,BF27:BF30,1)</f>
        <v>1</v>
      </c>
      <c r="BF27" s="440">
        <f>SUM(IF(AND(AG27=AG28,AN27=AN28,AL27=AL28),BH27,0),IF(AND(AG27=AG29,AN27=AN29,AL27=AL29),BI27,0),IF(AND(AG27=AG30,AN27=AN30,AL27=AL30),BJ27,0))</f>
        <v>0</v>
      </c>
      <c r="BG27" s="441">
        <v>0</v>
      </c>
      <c r="BH27" s="442">
        <f>BB27-BA28</f>
        <v>4</v>
      </c>
      <c r="BI27" s="442">
        <f>BC27-BA29</f>
        <v>0</v>
      </c>
      <c r="BJ27" s="443">
        <f>BD27-BA30</f>
        <v>2</v>
      </c>
      <c r="BK27" s="410"/>
      <c r="BL27" s="412">
        <f>RANK(BN27,$BN$27:$BN$30)</f>
        <v>1</v>
      </c>
      <c r="BM27" s="412" t="s">
        <v>153</v>
      </c>
      <c r="BN27" s="412">
        <f>IF(AH27=0,-($AT$13*VLOOKUP(AF27,Tabla3[[ZfP4b()8G6b·$55Ma-t·%fv-ttyZxR-.R*+Fd]:[N!"kvfjM.%&amp;gk5kfmfvv)/%;V$&amp;VW]],2,FALSE)),AG27*$AT$7+AN27*$AT$8+AL27*$AT$9+AX27-($AT$13*VLOOKUP(AF27,Tabla3[[ZfP4b()8G6b·$55Ma-t·%fv-ttyZxR-.R*+Fd]:[N!"kvfjM.%&amp;gk5kfmfvv)/%;V$&amp;VW]],2,FALSE)/100))</f>
        <v>7060810999.9899998</v>
      </c>
      <c r="BO27" s="412" t="str">
        <f>VLOOKUP(N27,$AE$27:$AF$30,2,0)</f>
        <v>Argentina</v>
      </c>
      <c r="BP27" s="412">
        <f>VLOOKUP($BO27,$AF$27:$AO$30,10,FALSE)</f>
        <v>7060810999.9899998</v>
      </c>
      <c r="BQ27" s="410"/>
      <c r="BR27" s="412">
        <v>1</v>
      </c>
      <c r="BS27" s="412" t="str">
        <f>VLOOKUP(BR27,$AD$27:$AF$30,3,0)</f>
        <v>Argentina</v>
      </c>
      <c r="BT27" s="412">
        <f>VLOOKUP(BS27,$AF$27:$AO$30,2,FALSE)</f>
        <v>7</v>
      </c>
      <c r="BU27" s="444">
        <f>IF(SUM($AH$27:$AH$30)=12,MIN(ABS(BP26-BP27),ABS(BP27-BP28)),100)</f>
        <v>20100000.019999504</v>
      </c>
      <c r="BV27" s="412">
        <f>VLOOKUP(BS27,$AF$27:$AO$30,9,FALSE)</f>
        <v>6</v>
      </c>
      <c r="BW27" s="412">
        <f>VLOOKUP(BS27,$AF$27:$AO$30,7,FALSE)</f>
        <v>8</v>
      </c>
      <c r="BX27" s="410">
        <f>IF($BY$27=$CA$26,$DC$5:$DC$8,IF($BY$27=$CB$26,$DD$5:$DD$7,IF(OR($BY$27=$CC$26,$BY$27=$CD$26),$DE$5:$DE$6,$DI$5)))</f>
        <v>1</v>
      </c>
      <c r="BY27" s="418" t="str">
        <f>IFERROR(HLOOKUP(4,CA25:CX26,2,0),CH26)</f>
        <v>COM_8</v>
      </c>
      <c r="BZ27" s="14">
        <v>1</v>
      </c>
      <c r="CA27" s="418">
        <f t="array" ref="CA27">IF(AND($BT$27:$BT$30=$BT$27,$BU$27:$BU$30&lt;300,$AN$27:$AN$30=$AN$27,$BW$27:$BW$30=$BW$27),1,0)</f>
        <v>0</v>
      </c>
      <c r="CB27" s="418">
        <f t="array" ref="CB27">IF(AND($BT$27:$BT$29=$BT$27,$BU$27:$BU$29&lt;300,$BT$27&lt;&gt;$BT$30),1,0)</f>
        <v>0</v>
      </c>
      <c r="CC27" s="418">
        <f t="array" ref="CC27">IF(AND($BT$27:$BT$28=$BT$27,$BU$27:$BU$28&lt;300,$BT$27&lt;&gt;$BT$29),1,0)</f>
        <v>0</v>
      </c>
      <c r="CD27" s="418">
        <f t="array" ref="CD27">IF(AND($BT$27:$BT$28=$BT$27,$BU$27:$BU$28&lt;300,$BT$27&lt;&gt;$BT$29),1,0)</f>
        <v>0</v>
      </c>
      <c r="CE27" s="418">
        <f t="array" ref="CE27">IF(AND($BT$28:$BT$30=$BT$28,$BU$28:$BU$30&lt;300,$BT$27&lt;&gt;$BT$28),1,0)</f>
        <v>0</v>
      </c>
      <c r="CF27" s="418">
        <f t="array" ref="CF27">IF(AND($BT$27&lt;&gt;$BT$28,$BT$27&lt;&gt;$BT$30),1,0)</f>
        <v>0</v>
      </c>
      <c r="CG27" s="418">
        <f t="array" ref="CG27">IF(AND($BT$27&lt;&gt;$BT$28,$BT$27&lt;&gt;$BT$30),1,0)</f>
        <v>0</v>
      </c>
      <c r="CH27" s="418">
        <f t="array" ref="CH27">IF(AND($BT$27&lt;&gt;$BT$28,$BT$27&lt;&gt;$BT$30),1,0)</f>
        <v>0</v>
      </c>
      <c r="CI27" s="418">
        <f t="array" ref="CI27">IF(AND($BT$27:$BT$30=$BT$27,$BU$27:$BU$30&lt;300,$BV$27:$BV$28=$BV$27,$BV$27&lt;&gt;$BV$29),1,0)</f>
        <v>0</v>
      </c>
      <c r="CJ27" s="418">
        <f t="array" ref="CJ27">IF(AND($BT$27:$BT$30=$BT$27,$BU$27:$BU$30&lt;300,$BV$27:$BV$30=$BV$27,$BW$27=$BW$28,$BW$27&lt;&gt;$BW$29),1,0)</f>
        <v>0</v>
      </c>
      <c r="CK27" s="418">
        <f t="array" ref="CK27">IF(AND($BT$27:$BT$29=$BT$27,$BU$27:$BU$28&lt;300,$BU$29&gt;300),1,0)</f>
        <v>0</v>
      </c>
      <c r="CL27" s="418">
        <f t="array" ref="CL27">IF(AND($BT$27&lt;&gt;$BT$28,$BT$27&lt;&gt;$BT$29),1,0)</f>
        <v>0</v>
      </c>
      <c r="CM27" s="418">
        <f t="array" ref="CM27">IF(AND($BT$27&lt;&gt;$BT$28,$BT$27&lt;&gt;$BT$29),1,0)</f>
        <v>0</v>
      </c>
      <c r="CN27" s="418">
        <f t="array" ref="CN27">IF(AND($BT$27&lt;&gt;$BT$30,$BT$27:$BT$29=$BT$27,$BU$27&gt;300,$BU$28:$BU$29&lt;300),1,0)</f>
        <v>0</v>
      </c>
      <c r="CO27" s="418">
        <f t="array" ref="CO27">IF(AND($BT$27:$BT$30=$BT$27,$BU$28:$BU$30&lt;300,$BU$27&lt;&gt;$BU$28),1,0)</f>
        <v>0</v>
      </c>
      <c r="CP27" s="418">
        <f t="array" ref="CP27">IF(AND($BT$27:$BT$30=$BT$27,$BU$27:$BU$29&lt;300,$BU$27&lt;&gt;$BU$30),1,0)</f>
        <v>0</v>
      </c>
      <c r="CQ27" s="418">
        <f t="array" ref="CQ27">IF(AND($BT$27:$BT$30=$BT$27,$BU$27:$BU$28&gt;300,$BU$29:$BU$30&lt;300,$BV$27:$BV$30=$BV$27,$BW$27&gt;$BW$28,$BW$27&gt;$BW$29,$BW$27&gt;$BW$30),1,0)</f>
        <v>0</v>
      </c>
      <c r="CR27" s="418">
        <f t="array" ref="CR27">IF(AND($BT$27:$BT$30=$BT$27,$BU$27&gt;300,$BU$28:$BU$29&lt;300,$BU$30&gt;300,$BV$27:$BV$30=$BV$27,$BW$27&gt;$BW$28,$BW$27&gt;$BW$29,$BW$27&gt;$BW$30),1,0)</f>
        <v>0</v>
      </c>
      <c r="CS27" s="418">
        <f t="array" ref="CS27">IF(AND($BT$27:$BT$30=$BT$27,$BU$27:$BU$28&lt;300,$BU$29:$BU$30&gt;300,$BV$27:$BV$30=$BV$27,$BW$27=$BW$28,$BW$27&gt;$BW$29,$BW$27&gt;$BW$30),1,0)</f>
        <v>0</v>
      </c>
      <c r="CT27" s="418">
        <f t="array" ref="CT27">IF(AND($BT$27:$BT$30=$BT$27,$BU$27:$BU$28&gt;300,$BU$29:$BU$30&lt;300,$BV$27:$BV$30=$BV$27,$BW$27&gt;$BW$28,$BW$28:$BW$30=$BW$28),1,0)</f>
        <v>0</v>
      </c>
      <c r="CU27" s="418">
        <f t="array" ref="CU27">IF(AND($BT$27:$BT$30=$BT$27,$BU$27:$BU$28&lt;300,$BU$29:$BU$30&gt;300,$BV$27:$BV$30=$BV$27,$BW$27:$BW$29=$BW$27,$BW$27&gt;$BW$30),1,0)</f>
        <v>0</v>
      </c>
      <c r="CV27" s="418">
        <f t="array" ref="CV27">IF(AND($BT$27:$BT$30=$BT$27,$BU$27&gt;300,$BU$30&gt;300,$BU$28:$BU$29&lt;300,$BV$27:$BV$30=$BV$27,$BW$27&gt;$BW$28:$BW$30),1,0)</f>
        <v>0</v>
      </c>
      <c r="CW27" s="418"/>
      <c r="CX27" s="418"/>
      <c r="CY27" s="14"/>
      <c r="CZ27" s="14"/>
      <c r="DA27" s="14"/>
      <c r="DB27" s="14"/>
      <c r="DC27" s="14"/>
      <c r="DD27" s="14"/>
      <c r="DE27" s="14"/>
      <c r="DF27" s="14"/>
      <c r="DG27" s="14"/>
      <c r="DH27" s="14"/>
      <c r="DI27" s="14"/>
      <c r="DJ27" s="14"/>
      <c r="DK27" s="14"/>
      <c r="DL27" s="14"/>
      <c r="DM27" s="14"/>
      <c r="DN27" s="475"/>
    </row>
    <row r="28" spans="1:342 8834:8837" x14ac:dyDescent="0.25">
      <c r="A28" s="74"/>
      <c r="B28" s="522"/>
      <c r="C28" s="289">
        <v>43273</v>
      </c>
      <c r="D28" s="290">
        <v>0.70833333333333337</v>
      </c>
      <c r="E28" s="291" t="s">
        <v>221</v>
      </c>
      <c r="F28" s="350" t="s">
        <v>171</v>
      </c>
      <c r="G28" s="249"/>
      <c r="H28" s="482">
        <v>1</v>
      </c>
      <c r="I28" s="482">
        <v>1</v>
      </c>
      <c r="J28" s="228"/>
      <c r="K28" s="374" t="s">
        <v>20</v>
      </c>
      <c r="L28" s="149">
        <f t="shared" si="1"/>
        <v>1</v>
      </c>
      <c r="M28" s="79"/>
      <c r="N28" s="48">
        <v>2</v>
      </c>
      <c r="O28" s="47" t="str">
        <f>VLOOKUP(N28,$AD$27:$AF$30,3,0)</f>
        <v>Croacia</v>
      </c>
      <c r="P28" s="39">
        <f>VLOOKUP(O28,AF27:AO30,2,FALSE)</f>
        <v>7</v>
      </c>
      <c r="Q28" s="39">
        <f>VLOOKUP(O28,AF27:AO30,3,FALSE)</f>
        <v>3</v>
      </c>
      <c r="R28" s="39">
        <f>VLOOKUP(O28,AF27:AO30,4,FALSE)</f>
        <v>2</v>
      </c>
      <c r="S28" s="39">
        <f>VLOOKUP(O28,AF27:AO30,5,FALSE)</f>
        <v>1</v>
      </c>
      <c r="T28" s="39">
        <f>VLOOKUP(O28,AF27:AO30,6,FALSE)</f>
        <v>0</v>
      </c>
      <c r="U28" s="39">
        <f>VLOOKUP(O28,AF27:AO30,7,FALSE)</f>
        <v>7</v>
      </c>
      <c r="V28" s="39">
        <f>VLOOKUP(O28,AF27:AO30,8,FALSE)</f>
        <v>3</v>
      </c>
      <c r="W28" s="49">
        <f>VLOOKUP(O28,AF27:AO30,9,FALSE)</f>
        <v>4</v>
      </c>
      <c r="X28" s="28">
        <f t="shared" ref="X28:X30" si="56">IF(SUM($AH$27:$AH$30)=12,MIN(ABS(BP27-BP28),ABS(BP28-BP29)),100)</f>
        <v>20100000.019999504</v>
      </c>
      <c r="Y28" s="402" t="str">
        <f t="shared" ref="Y28:Y30" si="57">IF(AND(X28&gt;=0,X28&lt;90),VLOOKUP(N28,$BL$27:$BM$30,2,0),"")</f>
        <v/>
      </c>
      <c r="Z28" s="406">
        <v>3</v>
      </c>
      <c r="AA28" s="29"/>
      <c r="AB28" s="29"/>
      <c r="AC28" s="413">
        <f t="shared" ref="AC28:AC30" si="58">VLOOKUP(O28,$AF$27:$AO$30,10,FALSE)</f>
        <v>7040710999.9700003</v>
      </c>
      <c r="AD28" s="14">
        <f t="shared" ref="AD28:AD30" si="59">RANK(AR28,$AR$27:$AR$30)</f>
        <v>4</v>
      </c>
      <c r="AE28" s="434">
        <f>RANK(AO28,$AO$27:$AO$30)</f>
        <v>4</v>
      </c>
      <c r="AF28" s="412" t="s">
        <v>20</v>
      </c>
      <c r="AG28" s="418">
        <f t="shared" ref="AG28:AG30" si="60">AI28*3+AJ28*1+AK28*0</f>
        <v>1</v>
      </c>
      <c r="AH28" s="418">
        <f t="shared" ref="AH28:AH30" si="61">COUNTIFS($F$25:$F$30,AF28,$H$25:$H$30,"&lt;&gt;",$I$25:$I$30,"&lt;&gt;")+COUNTIFS($K$25:$K$30,AF28,$I$25:$I$30,"&lt;&gt;",$H$25:$H$30,"&lt;&gt;")</f>
        <v>3</v>
      </c>
      <c r="AI28" s="418">
        <f t="array" ref="AI28">SUM((F$25:F$30=AF28)*(H$25:H$30&lt;&gt;"")*(I$25:I$30&lt;&gt;"")*(H$25:H$30&gt;I$25:I$30),(K$25:K$30=AF28)*(H$25:H$30&lt;&gt;"")*(I$25:I$30&lt;&gt;"")*(H$25:H$30&lt;I$25:I$30))</f>
        <v>0</v>
      </c>
      <c r="AJ28" s="418">
        <f t="array" ref="AJ28">SUM((F$25:F$30=AF28)*(H$25:H$30&lt;&gt;"")*(I$25:I$30&lt;&gt;"")*(H$25:H$30=I$25:I$30),(K$25:K$30=AF28)*(H$25:H$30&lt;&gt;"")*(I$25:I$30&lt;&gt;"")*(H$25:H$30=I$25:I$30))</f>
        <v>1</v>
      </c>
      <c r="AK28" s="418">
        <f t="array" ref="AK28">SUM((F$25:F$30=AF28)*(I$25:I$30&lt;&gt;"")*(H$25:H$30&lt;&gt;"")*(H$25:H$30&lt;I$25:I$30),(H$25:H$30&lt;&gt;"")*(K$25:K$30=AF28)*(I$25:I$30&lt;&gt;"")*(H$25:H$30&gt;I$25:I$30))</f>
        <v>2</v>
      </c>
      <c r="AL28" s="418">
        <f t="array" ref="AL28">SUMIFS($H$25:$H$30,$F$25:$F$30,AF28,$H$25:$H$30,"&lt;&gt;",$I$25:$I$30,"&lt;&gt;")+SUMIFS($I$25:$I$30,$K$25:$K$30,AF28,$H$25:$H$30,"&lt;&gt;",$I$25:$I$30,"&lt;&gt;")</f>
        <v>2</v>
      </c>
      <c r="AM28" s="418">
        <f t="array" ref="AM28">SUMIFS($H$25:$H$30,$K$25:$K$30,AF28,$H$25:$H$30,"&lt;&gt;",$I$25:$I$30,"&lt;&gt;")+SUMIFS($I$25:$I$30,$F$25:$F$30,AF28,$H$25:$H$30,"&lt;&gt;",$I$25:$I$30,"&lt;&gt;")</f>
        <v>8</v>
      </c>
      <c r="AN28" s="418">
        <f t="shared" ref="AN28:AN30" si="62">AL28-AM28</f>
        <v>-6</v>
      </c>
      <c r="AO28" s="418">
        <f>IF(AH28=0,-($AT$13*VLOOKUP(AF28,Tabla3[[ZfP4b()8G6b·$55Ma-t·%fv-ttyZxR-.R*+Fd]:[N!"kvfjM.%&amp;gk5kfmfvv)/%;V$&amp;VW]],2,FALSE)),AG28*$AT$7+AN28*$AT$8+AL28*$AT$9+AX28-($AT$13*VLOOKUP(AF28,Tabla3[[ZfP4b()8G6b·$55Ma-t·%fv-ttyZxR-.R*+Fd]:[N!"kvfjM.%&amp;gk5kfmfvv)/%;V$&amp;VW]],2,FALSE)/100))</f>
        <v>940210999.98000002</v>
      </c>
      <c r="AP28" s="435">
        <f>AE28</f>
        <v>4</v>
      </c>
      <c r="AQ28" s="14"/>
      <c r="AR28" s="14">
        <f t="shared" ref="AR28:AR30" si="63">IFERROR(AO28-VLOOKUP(AF28,$Y$27:$Z$30,2,0),AO28)</f>
        <v>940210999.98000002</v>
      </c>
      <c r="AS28" s="14"/>
      <c r="AT28" s="14"/>
      <c r="AU28" s="14"/>
      <c r="AV28" s="438" t="str">
        <f>AF28</f>
        <v>Islandia</v>
      </c>
      <c r="AW28" s="418">
        <f>COUNTIF(AG27:AG30,AG28)</f>
        <v>2</v>
      </c>
      <c r="AX28" s="439">
        <f>(AY28*$AT$12)+(BE28*$AT$11)</f>
        <v>11000</v>
      </c>
      <c r="AY28" s="440">
        <f>RANK(AZ28,AZ27:AZ30,1)</f>
        <v>1</v>
      </c>
      <c r="AZ28" s="440">
        <f>SUM(IF(AND(AG28=AG29,AN28=AN29,AL28=AL29),BC28,0),IF(AND(AG28=AG30,AN28=AN30,AL28=AL30),BD28,0),IF(AND(AG28=AG27,AN28=AN27,AL28=AL27),BA28,0))</f>
        <v>0</v>
      </c>
      <c r="BA28" s="441">
        <f>I25</f>
        <v>0</v>
      </c>
      <c r="BB28" s="442">
        <v>0</v>
      </c>
      <c r="BC28" s="442">
        <f>H30</f>
        <v>1</v>
      </c>
      <c r="BD28" s="443">
        <f>I28</f>
        <v>1</v>
      </c>
      <c r="BE28" s="440">
        <f>RANK(BF28,BF27:BF30,1)</f>
        <v>1</v>
      </c>
      <c r="BF28" s="440">
        <f>SUM(IF(AND(AG28=AG29,AN28=AN29,AL28=AL29),BI28,0),IF(AND(AG28=AG30,AN28=AN30,AL28=AL30),BJ28,0),IF(AND(AG28=AG27,AN28=AN27,AL28=AL27),BG28,0))</f>
        <v>0</v>
      </c>
      <c r="BG28" s="441">
        <f>BA28-BB27</f>
        <v>-4</v>
      </c>
      <c r="BH28" s="442">
        <v>0</v>
      </c>
      <c r="BI28" s="442">
        <f>BC28-BB29</f>
        <v>-2</v>
      </c>
      <c r="BJ28" s="443">
        <f>BD28-BB30</f>
        <v>0</v>
      </c>
      <c r="BK28" s="410"/>
      <c r="BL28" s="412">
        <f t="shared" ref="BL28:BL30" si="64">RANK(BN28,$BN$27:$BN$30)</f>
        <v>4</v>
      </c>
      <c r="BM28" s="412" t="s">
        <v>20</v>
      </c>
      <c r="BN28" s="412">
        <f>IF(AH28=0,-($AT$13*VLOOKUP(AF28,Tabla3[[ZfP4b()8G6b·$55Ma-t·%fv-ttyZxR-.R*+Fd]:[N!"kvfjM.%&amp;gk5kfmfvv)/%;V$&amp;VW]],2,FALSE)),AG28*$AT$7+AN28*$AT$8+AL28*$AT$9+AX28-($AT$13*VLOOKUP(AF28,Tabla3[[ZfP4b()8G6b·$55Ma-t·%fv-ttyZxR-.R*+Fd]:[N!"kvfjM.%&amp;gk5kfmfvv)/%;V$&amp;VW]],2,FALSE)/100))</f>
        <v>940210999.98000002</v>
      </c>
      <c r="BO28" s="412" t="str">
        <f t="shared" ref="BO28:BO30" si="65">VLOOKUP(N28,$AE$27:$AF$30,2,0)</f>
        <v>Croacia</v>
      </c>
      <c r="BP28" s="412">
        <f t="shared" ref="BP28:BP30" si="66">VLOOKUP($BO28,$AF$27:$AO$30,10,FALSE)</f>
        <v>7040710999.9700003</v>
      </c>
      <c r="BQ28" s="410"/>
      <c r="BR28" s="412">
        <v>2</v>
      </c>
      <c r="BS28" s="412" t="str">
        <f t="shared" ref="BS28:BS30" si="67">VLOOKUP(BR28,$AD$27:$AF$30,3,0)</f>
        <v>Croacia</v>
      </c>
      <c r="BT28" s="412">
        <f t="shared" ref="BT28:BT30" si="68">VLOOKUP(BS28,$AF$27:$AO$30,2,FALSE)</f>
        <v>7</v>
      </c>
      <c r="BU28" s="444">
        <f t="shared" ref="BU28:BU30" si="69">IF(SUM($AH$27:$AH$30)=12,MIN(ABS(BP27-BP28),ABS(BP28-BP29)),100)</f>
        <v>20100000.019999504</v>
      </c>
      <c r="BV28" s="412">
        <f t="shared" ref="BV28:BV30" si="70">VLOOKUP(BS28,$AF$27:$AO$30,9,FALSE)</f>
        <v>4</v>
      </c>
      <c r="BW28" s="412">
        <f t="shared" ref="BW28:BW30" si="71">VLOOKUP(BS28,$AF$27:$AO$30,7,FALSE)</f>
        <v>7</v>
      </c>
      <c r="BX28" s="410">
        <f>IF($BY$27=$CA$26,$DC$5:$DC$8,IF($BY$27=$CB$26,$DD$5:$DD$7,IF(OR($BY$27=$CC$26,$BY$27=$CD$26),$DE$5:$DE$6,IF($BY$27=$CE$26,$DF$5:$DF$7,(IF($BY$27=$CF$26,$DH$5:$DH$6,$DJ$5))))))</f>
        <v>2</v>
      </c>
      <c r="BY28" s="14"/>
      <c r="BZ28" s="14">
        <v>2</v>
      </c>
      <c r="CA28" s="418">
        <f t="array" ref="CA28">IF(AND($BT$27:$BT$30=$BT$28,$BU$27:$BU$30&lt;300,$AN$27:$AN$30=$AN$28,$BW$27:$BW$30=$BW$28),1,0)</f>
        <v>0</v>
      </c>
      <c r="CB28" s="418">
        <f t="array" ref="CB28">IF(AND($BT$27:$BT$29=$BT$28,$BU$27:$BU$29&lt;300,$BT$28&lt;&gt;$BT$30),1,0)</f>
        <v>0</v>
      </c>
      <c r="CC28" s="418">
        <f t="array" ref="CC28">IF(AND($BT$27:$BT$28=$BT$27,$BU$27:$BU$28&lt;300,$BT$27&lt;&gt;$BT$29),1,0)</f>
        <v>0</v>
      </c>
      <c r="CD28" s="418">
        <f t="array" ref="CD28">IF(AND($BT$27:$BT$28=$BT$27,$BU$27:$BU$28&lt;300,$BT$27&lt;&gt;$BT$29),1,0)</f>
        <v>0</v>
      </c>
      <c r="CE28" s="418">
        <f t="array" ref="CE28">IF(AND($BT$28:$BT$30=$BT$28,$BU$28:$BU$30&lt;300,$BT$27&lt;&gt;$BT$28),1,0)</f>
        <v>0</v>
      </c>
      <c r="CF28" s="418">
        <f t="array" ref="CF28">IF(AND($BT$28:$BT$29=$BT$28,$BU$28:$BU$29&lt;300,$BT$28&lt;&gt;$BT$27,$BT$28&lt;&gt;$BT$30),1,0)</f>
        <v>0</v>
      </c>
      <c r="CG28" s="418">
        <f t="array" ref="CG28">IF(AND($BT$28&lt;&gt;$BT$27,$BT$28&lt;&gt;$BT$29),1,0)</f>
        <v>0</v>
      </c>
      <c r="CH28" s="418">
        <f t="array" ref="CH28">IF(AND($BT$28&lt;&gt;$BT$27,$BT$28&lt;&gt;$BT$29),1,0)</f>
        <v>0</v>
      </c>
      <c r="CI28" s="418">
        <f t="array" ref="CI28">IF(AND($BT$27:$BT$30=$BT$27,$BU$27:$BU$30&lt;300,$BV$27:$BV$28=$BV$27,$BV$28&lt;&gt;$BV$29),1,0)</f>
        <v>0</v>
      </c>
      <c r="CJ28" s="418">
        <f t="array" ref="CJ28">IF(AND($BT$27:$BT$30=$BT$27,$BU$27:$BU$30&lt;300,$BV$27:$BV$30=$BV$27,$BW$27=$BW$28,$BW$28&lt;&gt;$BW$29),1,0)</f>
        <v>0</v>
      </c>
      <c r="CK28" s="418">
        <f t="array" ref="CK28">IF(AND($BT$27:$BT$29=$BT$28,$BU$27:$BU$28&lt;300,$BU$29&gt;300),1,0)</f>
        <v>0</v>
      </c>
      <c r="CL28" s="418">
        <f t="array" ref="CL28">IF(AND($BT$28&lt;&gt;$BT$27,$BT$28:$BT$30=$BT$28,$BU$28&gt;300,$BU$29:$BU$30&lt;300),1,0)</f>
        <v>0</v>
      </c>
      <c r="CM28" s="418">
        <f t="array" ref="CM28">IF(AND($BT$28&lt;&gt;$BT$27,$BT$28:$BT$30=$BT$28,$BU$30&gt;300,$BU$28:$BU$29&lt;300),1,0)</f>
        <v>0</v>
      </c>
      <c r="CN28" s="418">
        <f t="array" ref="CN28">IF(AND($BT$28&lt;&gt;$BT$30,$BT$27:$BT$29=$BT$28,$BU$27&gt;300,$BU$28:$BU$29&lt;300),1,0)</f>
        <v>0</v>
      </c>
      <c r="CO28" s="418">
        <f t="array" ref="CO28">IF(AND($BT$27:$BT$30=$BT$28,$BU$28:$BU$30&lt;300,$BU$27&lt;&gt;$BU$28),1,0)</f>
        <v>0</v>
      </c>
      <c r="CP28" s="418">
        <f t="array" ref="CP28">IF(AND($BT$27:$BT$30=$BT$28,$BU$27:$BU$29&lt;300,$BU$28&lt;&gt;$BU$30),1,0)</f>
        <v>0</v>
      </c>
      <c r="CQ28" s="418">
        <f t="array" ref="CQ28">IF(AND($BT$27:$BT$30=$BT$28,$BU$27:$BU$28&gt;300,$BU$29:$BU$30&lt;300,$BV$27:$BV$30=$BV$28,$BW$27&gt;$BW$28,$BW$28&gt;$BW$29,$BW$28&gt;$BW$30),1,0)</f>
        <v>0</v>
      </c>
      <c r="CR28" s="418">
        <f t="array" ref="CR28">IF(AND($BT$27:$BT$30=$BT$28,$BU$27&gt;300,$BU$28:$BU$29&lt;300,$BU$30&gt;300,$BV$27:$BV$30=$BV$28,$BW$27&gt;$BW$28,$BW$28=$BW$29,$BW$28&gt;$BW$30),1,0)</f>
        <v>0</v>
      </c>
      <c r="CS28" s="418">
        <f t="array" ref="CS28">IF(AND($BT$27:$BT$30=$BT$28,$BU$27:$BU$28&lt;300,$BU$29:$BU$30&gt;300,$BV$27:$BV$30=$BV$28,$BW$27=$BW$28,$BW$28&gt;$BW$29,$BW$28&gt;$BW$30),1,0)</f>
        <v>0</v>
      </c>
      <c r="CT28" s="418">
        <f t="array" ref="CT28">IF(AND($BT$27:$BT$30=$BT$28,$BU$27:$BU$28&gt;300,$BU$29:$BU$30&lt;300,$BV$27:$BV$30=$BV$28,$BW$27&gt;$BW$28,$BW$28:$BW$30=$BW$28),1,0)</f>
        <v>0</v>
      </c>
      <c r="CU28" s="418">
        <f t="array" ref="CU28">IF(AND($BT$27:$BT$30=$BT$28,$BU$27:$BU$28&lt;300,$BU$29:$BU$30&gt;300,$BV$27:$BV$30=$BV$28,$BW$27:$BW$29=$BW$28,$BW$28&gt;$BW$30),1,0)</f>
        <v>0</v>
      </c>
      <c r="CV28" s="418">
        <f t="array" ref="CV28">IF(AND($BT$27:$BT$30=$BT$28,$BU$27&gt;300,$BU$30&gt;300,$BU$28:$BU$29&lt;300,$BV$27:$BV$30=$BV$28,$BW$27&gt;$BW$28:$BW$30,$BW$28:$BW$30=$BW$28),1,0)</f>
        <v>0</v>
      </c>
      <c r="CW28" s="418"/>
      <c r="CX28" s="418"/>
      <c r="CY28" s="14"/>
      <c r="CZ28" s="14"/>
      <c r="DA28" s="14"/>
      <c r="DB28" s="14"/>
      <c r="DC28" s="14"/>
      <c r="DD28" s="14"/>
      <c r="DE28" s="14"/>
      <c r="DF28" s="14"/>
      <c r="DG28" s="14"/>
      <c r="DH28" s="14"/>
      <c r="DI28" s="14"/>
      <c r="DJ28" s="14"/>
      <c r="DK28" s="14"/>
      <c r="DL28" s="14"/>
      <c r="DM28" s="14"/>
      <c r="DN28" s="475"/>
    </row>
    <row r="29" spans="1:342 8834:8837" x14ac:dyDescent="0.25">
      <c r="A29" s="74"/>
      <c r="B29" s="522"/>
      <c r="C29" s="289">
        <v>43277</v>
      </c>
      <c r="D29" s="290">
        <v>0.83333333333333337</v>
      </c>
      <c r="E29" s="291" t="s">
        <v>212</v>
      </c>
      <c r="F29" s="350" t="s">
        <v>171</v>
      </c>
      <c r="G29" s="249"/>
      <c r="H29" s="482">
        <v>1</v>
      </c>
      <c r="I29" s="482">
        <v>3</v>
      </c>
      <c r="J29" s="228"/>
      <c r="K29" s="374" t="s">
        <v>153</v>
      </c>
      <c r="L29" s="149">
        <f t="shared" si="1"/>
        <v>1</v>
      </c>
      <c r="M29" s="79"/>
      <c r="N29" s="40">
        <v>3</v>
      </c>
      <c r="O29" s="38" t="str">
        <f>VLOOKUP(N29,$AD$27:$AF$30,3,0)</f>
        <v>Nigeria</v>
      </c>
      <c r="P29" s="39">
        <f>VLOOKUP(O29,AF27:AO30,2,FALSE)</f>
        <v>1</v>
      </c>
      <c r="Q29" s="37">
        <f>VLOOKUP(O29,AF27:AO30,3,FALSE)</f>
        <v>3</v>
      </c>
      <c r="R29" s="37">
        <f>VLOOKUP(O29,AF27:AO30,4,FALSE)</f>
        <v>0</v>
      </c>
      <c r="S29" s="37">
        <f>VLOOKUP(O29,AF27:AO30,5,FALSE)</f>
        <v>1</v>
      </c>
      <c r="T29" s="37">
        <f>VLOOKUP(O29,AF27:AO30,6,FALSE)</f>
        <v>2</v>
      </c>
      <c r="U29" s="37">
        <f>VLOOKUP(O29,AF27:AO30,7,FALSE)</f>
        <v>3</v>
      </c>
      <c r="V29" s="37">
        <f>VLOOKUP(O29,AF27:AO30,8,FALSE)</f>
        <v>7</v>
      </c>
      <c r="W29" s="45">
        <f>VLOOKUP(O29,AF27:AO30,9,FALSE)</f>
        <v>-4</v>
      </c>
      <c r="X29" s="28">
        <f t="shared" si="56"/>
        <v>20099999.980000019</v>
      </c>
      <c r="Y29" s="402" t="str">
        <f t="shared" si="57"/>
        <v/>
      </c>
      <c r="Z29" s="406">
        <v>1</v>
      </c>
      <c r="AA29" s="29"/>
      <c r="AB29" s="29"/>
      <c r="AC29" s="413">
        <f t="shared" si="58"/>
        <v>960310999.96000004</v>
      </c>
      <c r="AD29" s="14">
        <f t="shared" si="59"/>
        <v>2</v>
      </c>
      <c r="AE29" s="434">
        <f>RANK(AO29,$AO$27:$AO$30)</f>
        <v>2</v>
      </c>
      <c r="AF29" s="412" t="s">
        <v>157</v>
      </c>
      <c r="AG29" s="418">
        <f t="shared" si="60"/>
        <v>7</v>
      </c>
      <c r="AH29" s="418">
        <f t="shared" si="61"/>
        <v>3</v>
      </c>
      <c r="AI29" s="418">
        <f t="array" ref="AI29">SUM((F$25:F$30=AF29)*(H$25:H$30&lt;&gt;"")*(I$25:I$30&lt;&gt;"")*(H$25:H$30&gt;I$25:I$30),(K$25:K$30=AF29)*(H$25:H$30&lt;&gt;"")*(I$25:I$30&lt;&gt;"")*(H$25:H$30&lt;I$25:I$30))</f>
        <v>2</v>
      </c>
      <c r="AJ29" s="418">
        <f t="array" ref="AJ29">SUM((F$25:F$30=AF29)*(H$25:H$30&lt;&gt;"")*(I$25:I$30&lt;&gt;"")*(H$25:H$30=I$25:I$30),(K$25:K$30=AF29)*(H$25:H$30&lt;&gt;"")*(I$25:I$30&lt;&gt;"")*(H$25:H$30=I$25:I$30))</f>
        <v>1</v>
      </c>
      <c r="AK29" s="418">
        <f t="array" ref="AK29">SUM((F$25:F$30=AF29)*(I$25:I$30&lt;&gt;"")*(H$25:H$30&lt;&gt;"")*(H$25:H$30&lt;I$25:I$30),(H$25:H$30&lt;&gt;"")*(K$25:K$30=AF29)*(I$25:I$30&lt;&gt;"")*(H$25:H$30&gt;I$25:I$30))</f>
        <v>0</v>
      </c>
      <c r="AL29" s="418">
        <f t="array" ref="AL29">SUMIFS($H$25:$H$30,$F$25:$F$30,AF29,$H$25:$H$30,"&lt;&gt;",$I$25:$I$30,"&lt;&gt;")+SUMIFS($I$25:$I$30,$K$25:$K$30,AF29,$H$25:$H$30,"&lt;&gt;",$I$25:$I$30,"&lt;&gt;")</f>
        <v>7</v>
      </c>
      <c r="AM29" s="418">
        <f t="array" ref="AM29">SUMIFS($H$25:$H$30,$K$25:$K$30,AF29,$H$25:$H$30,"&lt;&gt;",$I$25:$I$30,"&lt;&gt;")+SUMIFS($I$25:$I$30,$F$25:$F$30,AF29,$H$25:$H$30,"&lt;&gt;",$I$25:$I$30,"&lt;&gt;")</f>
        <v>3</v>
      </c>
      <c r="AN29" s="418">
        <f t="shared" si="62"/>
        <v>4</v>
      </c>
      <c r="AO29" s="418">
        <f>IF(AH29=0,-($AT$13*VLOOKUP(AF29,Tabla3[[ZfP4b()8G6b·$55Ma-t·%fv-ttyZxR-.R*+Fd]:[N!"kvfjM.%&amp;gk5kfmfvv)/%;V$&amp;VW]],2,FALSE)),AG29*$AT$7+AN29*$AT$8+AL29*$AT$9+AX29-($AT$13*VLOOKUP(AF29,Tabla3[[ZfP4b()8G6b·$55Ma-t·%fv-ttyZxR-.R*+Fd]:[N!"kvfjM.%&amp;gk5kfmfvv)/%;V$&amp;VW]],2,FALSE)/100))</f>
        <v>7040710999.9700003</v>
      </c>
      <c r="AP29" s="435">
        <f>AE29</f>
        <v>2</v>
      </c>
      <c r="AQ29" s="14"/>
      <c r="AR29" s="14">
        <f t="shared" si="63"/>
        <v>7040710999.9700003</v>
      </c>
      <c r="AS29" s="14"/>
      <c r="AT29" s="14"/>
      <c r="AU29" s="14"/>
      <c r="AV29" s="438" t="str">
        <f>AF29</f>
        <v>Croacia</v>
      </c>
      <c r="AW29" s="418">
        <f>COUNTIF(AG27:AG30,AG29)</f>
        <v>2</v>
      </c>
      <c r="AX29" s="439">
        <f>(AY29*$AT$12)+(BE29*$AT$11)</f>
        <v>11000</v>
      </c>
      <c r="AY29" s="440">
        <f>RANK(AZ29,AZ27:AZ30,1)</f>
        <v>1</v>
      </c>
      <c r="AZ29" s="440">
        <f>SUM(IF(AND(AG29=AG30,AN29=AN30,AL29=AL30),BD29,0),IF(AND(AG29=AG27,AN29=AN27,AL29=AL27),BA29,0),IF(AND(AG29=AG28,AN29=AN28,AL29=AL28),BB29,0))</f>
        <v>0</v>
      </c>
      <c r="BA29" s="441">
        <f>I27</f>
        <v>1</v>
      </c>
      <c r="BB29" s="442">
        <f>I30</f>
        <v>3</v>
      </c>
      <c r="BC29" s="442">
        <v>0</v>
      </c>
      <c r="BD29" s="443">
        <f>H26</f>
        <v>3</v>
      </c>
      <c r="BE29" s="440">
        <f>RANK(BF29,BF27:BF30,1)</f>
        <v>1</v>
      </c>
      <c r="BF29" s="440">
        <f>SUM(IF(AND(AG29=AG30,AN29=AN30,AL29=AL30),BJ29,0),IF(AND(AG29=AG27,AN29=AN27,AL29=AL27),BG29,0),IF(AND(AG29=AG28,AN29=AN28,AL29=AL28),BH29,0))</f>
        <v>0</v>
      </c>
      <c r="BG29" s="441">
        <f>BA29-BC27</f>
        <v>0</v>
      </c>
      <c r="BH29" s="442">
        <f>BB29-BC28</f>
        <v>2</v>
      </c>
      <c r="BI29" s="442">
        <v>0</v>
      </c>
      <c r="BJ29" s="443">
        <f>BD29-BC30</f>
        <v>2</v>
      </c>
      <c r="BK29" s="410"/>
      <c r="BL29" s="412">
        <f t="shared" si="64"/>
        <v>2</v>
      </c>
      <c r="BM29" s="412" t="s">
        <v>157</v>
      </c>
      <c r="BN29" s="412">
        <f>IF(AH29=0,-($AT$13*VLOOKUP(AF29,Tabla3[[ZfP4b()8G6b·$55Ma-t·%fv-ttyZxR-.R*+Fd]:[N!"kvfjM.%&amp;gk5kfmfvv)/%;V$&amp;VW]],2,FALSE)),AG29*$AT$7+AN29*$AT$8+AL29*$AT$9+AX29-($AT$13*VLOOKUP(AF29,Tabla3[[ZfP4b()8G6b·$55Ma-t·%fv-ttyZxR-.R*+Fd]:[N!"kvfjM.%&amp;gk5kfmfvv)/%;V$&amp;VW]],2,FALSE)/100))</f>
        <v>7040710999.9700003</v>
      </c>
      <c r="BO29" s="412" t="str">
        <f t="shared" si="65"/>
        <v>Nigeria</v>
      </c>
      <c r="BP29" s="412">
        <f t="shared" si="66"/>
        <v>960310999.96000004</v>
      </c>
      <c r="BQ29" s="410"/>
      <c r="BR29" s="412">
        <v>3</v>
      </c>
      <c r="BS29" s="412" t="str">
        <f t="shared" si="67"/>
        <v>Nigeria</v>
      </c>
      <c r="BT29" s="412">
        <f t="shared" si="68"/>
        <v>1</v>
      </c>
      <c r="BU29" s="444">
        <f t="shared" si="69"/>
        <v>20099999.980000019</v>
      </c>
      <c r="BV29" s="412">
        <f t="shared" si="70"/>
        <v>-4</v>
      </c>
      <c r="BW29" s="412">
        <f t="shared" si="71"/>
        <v>3</v>
      </c>
      <c r="BX29" s="410">
        <f>IF($BY$27=$CA$26,$DC$5:$DC$8,IF($BY$27=$CB$26,$DD$5:$DD$7,IF(OR($BY$27=$CC$26,$BY$27=$CG$26),$DG$5:$DG$6,IF($BY$27=$CE$26,$DF$5:$DF$7,(IF($BY$27=$CF$26,$DH$5:$DH$6,$DK$5))))))</f>
        <v>3</v>
      </c>
      <c r="BY29" s="14"/>
      <c r="BZ29" s="14">
        <v>3</v>
      </c>
      <c r="CA29" s="418">
        <f t="array" ref="CA29">IF(AND($BT$27:$BT$30=$BT$29,$BU$27:$BU$30&lt;300,$AN$27:$AN$30=$AN$29,$BW$27:$BW$30=$BW$29),1,0)</f>
        <v>0</v>
      </c>
      <c r="CB29" s="418">
        <f t="array" ref="CB29">IF(AND($BT$27:$BT$29=$BT$29,$BU$27:$BU$29&lt;300,$BT$29&lt;&gt;$BT$30),1,0)</f>
        <v>0</v>
      </c>
      <c r="CC29" s="418">
        <f t="array" ref="CC29">IF(AND($BT$29:$BT$30=$BT$29,$BU$29:$BU$30&lt;300,$BT$29&lt;&gt;$BT$28),1,0)</f>
        <v>0</v>
      </c>
      <c r="CD29" s="418">
        <f t="array" ref="CD29">IF(OR(AND($BT$29&lt;&gt;$BT$28,$BT$29&lt;&gt;$BT$30),AND($BT$29&lt;&gt;$BT$28,$BT$29=$BT$30,$BU$29&gt;300,$BU$30&gt;300)),1,0)</f>
        <v>1</v>
      </c>
      <c r="CE29" s="418">
        <f t="array" ref="CE29">IF(AND($BT$28:$BT$30=$BT$28,$BU$28:$BU$30&lt;300,$BT$27&lt;&gt;$BT$29),1,0)</f>
        <v>0</v>
      </c>
      <c r="CF29" s="418">
        <f t="array" ref="CF29">IF(AND($BT$28:$BT$29=$BT$29,$BU$28:$BU$29&lt;300,$BT$29&lt;&gt;$BT$27,$BT$29&lt;&gt;$BT$30),1,0)</f>
        <v>0</v>
      </c>
      <c r="CG29" s="418">
        <f t="array" ref="CG29">IF(AND($BT$29:$BT$30=$BT$29,$BU$29:$BU$30&lt;300,$BT$29&lt;&gt;$BT$28),1,0)</f>
        <v>0</v>
      </c>
      <c r="CH29" s="418">
        <f t="array" ref="CH29">IF(AND($BT$29&lt;&gt;$BT$28,$BT$29&lt;&gt;$BT$30),1,0)</f>
        <v>0</v>
      </c>
      <c r="CI29" s="418">
        <f t="array" ref="CI29">IF(AND($BT$27:$BT$30=$BT$27,$BU$27:$BU$30&lt;300,$BV$29:$BV$30=$BV$29,$BV$28&lt;&gt;$BV$29),1,0)</f>
        <v>0</v>
      </c>
      <c r="CJ29" s="418">
        <f t="array" ref="CJ29">IF(AND($BT$27:$BT$30=$BT$27,$BU$27:$BU$30&lt;300,$BV$27:$BV$30=$BV$27,$BW$29=$BW$30,$BW$28&lt;&gt;$BW$29),1,0)</f>
        <v>0</v>
      </c>
      <c r="CK29" s="418">
        <f t="array" ref="CK29">IF(AND($BT$27:$BT$29=$BT$29,$BU$27:$BU$28&lt;300,$BU$29&gt;300),1,0)</f>
        <v>0</v>
      </c>
      <c r="CL29" s="418">
        <f t="array" ref="CL29">IF(AND($BT$28&lt;&gt;$BT$27,$BT$28:$BT$30=$BT$29,$BU$28&gt;300,$BU$29:$BU$30&lt;300),1,0)</f>
        <v>0</v>
      </c>
      <c r="CM29" s="418">
        <f t="array" ref="CM29">IF(AND($BT$28&lt;&gt;$BT$27,$BT$28:$BT$30=$BT$28,$BU$30&gt;300,$BU$28:$BU$29&lt;300),1,0)</f>
        <v>0</v>
      </c>
      <c r="CN29" s="418">
        <f t="array" ref="CN29">IF(AND($BT$29&lt;&gt;$BT$30,$BT$27:$BT$29=$BT$29,$BU$27&gt;300,$BU$28:$BU$29&lt;300),1,0)</f>
        <v>0</v>
      </c>
      <c r="CO29" s="418">
        <f t="array" ref="CO29">IF(AND($BT$27:$BT$30=$BT$28,$BU$28:$BU$30&lt;300,$BU$27&lt;&gt;$BU$29),1,0)</f>
        <v>0</v>
      </c>
      <c r="CP29" s="418">
        <f t="array" ref="CP29">IF(AND($BT$27:$BT$30=$BT$29,$BU$27:$BU$29&lt;300,$BU$29&lt;&gt;$BU$30),1,0)</f>
        <v>0</v>
      </c>
      <c r="CQ29" s="418">
        <f t="array" ref="CQ29">IF(AND($BT$27:$BT$30=$BT$29,$BU$27:$BU$28&gt;300,$BU$29:$BU$30&lt;300,$BV$27:$BV$30=$BV$29,$BW$27&gt;$BW$28,$BW$28&gt;$BW$29,$BW$29=$BW$30),1,0)</f>
        <v>0</v>
      </c>
      <c r="CR29" s="418">
        <f t="array" ref="CR29">IF(AND($BT$27:$BT$30=$BT$29,$BU$27&gt;300,$BU$28:$BU$29&lt;300,$BU$30&gt;300,$BV$27:$BV$30=$BV$29,$BW$27&gt;$BW$28,$BW$28=$BW$29,$BW$29&gt;$BW$30),1,0)</f>
        <v>0</v>
      </c>
      <c r="CS29" s="418">
        <f t="array" ref="CS29">IF(AND($BT$27:$BT$30=$BT$29,$BU$27:$BU$28&lt;300,$BU$29:$BU$30&gt;300,$BV$27:$BV$30=$BV$29,$BW$27=$BW$28,$BW$28&gt;$BW$29,$BW$29&gt;$BW$30),1,0)</f>
        <v>0</v>
      </c>
      <c r="CT29" s="418">
        <f t="array" ref="CT29">IF(AND($BT$27:$BT$30=$BT$29,$BU$27:$BU$28&gt;300,$BU$29:$BU$30&lt;300,$BV$27:$BV$30=$BV$28,$BW$27&gt;$BW$29,$BW$28:$BW$30=$BW$29),1,0)</f>
        <v>0</v>
      </c>
      <c r="CU29" s="418">
        <f t="array" ref="CU29">IF(AND($BT$27:$BT$30=$BT$29,$BU$27:$BU$28&lt;300,$BU$29:$BU$30&gt;300,$BV$27:$BV$30=$BV$29,$BW$27:$BW$29=$BW$29,$BW$29&gt;$BW$30),1,0)</f>
        <v>0</v>
      </c>
      <c r="CV29" s="418">
        <f t="array" ref="CV29">IF(AND($BT$27:$BT$30=$BT$29,$BU$27&gt;300,$BU$30&gt;300,$BU$28:$BU$29&lt;300,$BV$27:$BV$30=$BV$29,$BW$27&gt;$BW$28:$BW$30,$BW$28:$BW$30=$BW$29),1,0)</f>
        <v>0</v>
      </c>
      <c r="CW29" s="418"/>
      <c r="CX29" s="418"/>
      <c r="CY29" s="14"/>
      <c r="CZ29" s="14"/>
      <c r="DA29" s="14"/>
      <c r="DB29" s="14"/>
      <c r="DC29" s="14"/>
      <c r="DD29" s="14"/>
      <c r="DE29" s="14"/>
      <c r="DF29" s="14"/>
      <c r="DG29" s="14"/>
      <c r="DH29" s="14"/>
      <c r="DI29" s="14"/>
      <c r="DJ29" s="14"/>
      <c r="DK29" s="14"/>
      <c r="DL29" s="14"/>
      <c r="DM29" s="14"/>
      <c r="DN29" s="475"/>
      <c r="MAT29" s="14" t="s">
        <v>219</v>
      </c>
    </row>
    <row r="30" spans="1:342 8834:8837" ht="15.75" thickBot="1" x14ac:dyDescent="0.3">
      <c r="A30" s="74"/>
      <c r="B30" s="523"/>
      <c r="C30" s="292">
        <v>43277</v>
      </c>
      <c r="D30" s="293">
        <v>0.83333333333333337</v>
      </c>
      <c r="E30" s="294" t="s">
        <v>101</v>
      </c>
      <c r="F30" s="351" t="s">
        <v>20</v>
      </c>
      <c r="G30" s="250"/>
      <c r="H30" s="482">
        <v>1</v>
      </c>
      <c r="I30" s="482">
        <v>3</v>
      </c>
      <c r="J30" s="229"/>
      <c r="K30" s="375" t="s">
        <v>157</v>
      </c>
      <c r="L30" s="149">
        <f t="shared" si="1"/>
        <v>1</v>
      </c>
      <c r="M30" s="79"/>
      <c r="N30" s="41">
        <v>4</v>
      </c>
      <c r="O30" s="42" t="str">
        <f>VLOOKUP(N30,$AD$27:$AF$30,3,0)</f>
        <v>Islandia</v>
      </c>
      <c r="P30" s="43">
        <f>VLOOKUP(O30,AF27:AO30,2,FALSE)</f>
        <v>1</v>
      </c>
      <c r="Q30" s="44">
        <f>VLOOKUP(O30,AF27:AO30,3,FALSE)</f>
        <v>3</v>
      </c>
      <c r="R30" s="44">
        <f>VLOOKUP(O30,AF27:AO30,4,FALSE)</f>
        <v>0</v>
      </c>
      <c r="S30" s="44">
        <f>VLOOKUP(O30,AF27:AO30,5,FALSE)</f>
        <v>1</v>
      </c>
      <c r="T30" s="44">
        <f>VLOOKUP(O30,AF27:AO30,6,FALSE)</f>
        <v>2</v>
      </c>
      <c r="U30" s="44">
        <f>VLOOKUP(O30,AF27:AO30,7,FALSE)</f>
        <v>2</v>
      </c>
      <c r="V30" s="44">
        <f>VLOOKUP(O30,AF27:AO30,8,FALSE)</f>
        <v>8</v>
      </c>
      <c r="W30" s="46">
        <f>VLOOKUP(O30,AF27:AO30,9,FALSE)</f>
        <v>-6</v>
      </c>
      <c r="X30" s="28">
        <f t="shared" si="56"/>
        <v>20099999.980000019</v>
      </c>
      <c r="Y30" s="402" t="str">
        <f t="shared" si="57"/>
        <v/>
      </c>
      <c r="Z30" s="406"/>
      <c r="AA30" s="29"/>
      <c r="AB30" s="29"/>
      <c r="AC30" s="413">
        <f t="shared" si="58"/>
        <v>940210999.98000002</v>
      </c>
      <c r="AD30" s="14">
        <f t="shared" si="59"/>
        <v>3</v>
      </c>
      <c r="AE30" s="445">
        <f>RANK(AO30,$AO$27:$AO$30)</f>
        <v>3</v>
      </c>
      <c r="AF30" s="446" t="s">
        <v>171</v>
      </c>
      <c r="AG30" s="447">
        <f t="shared" si="60"/>
        <v>1</v>
      </c>
      <c r="AH30" s="447">
        <f t="shared" si="61"/>
        <v>3</v>
      </c>
      <c r="AI30" s="447">
        <f t="array" ref="AI30">SUM((F$25:F$30=AF30)*(H$25:H$30&lt;&gt;"")*(I$25:I$30&lt;&gt;"")*(H$25:H$30&gt;I$25:I$30),(K$25:K$30=AF30)*(H$25:H$30&lt;&gt;"")*(I$25:I$30&lt;&gt;"")*(H$25:H$30&lt;I$25:I$30))</f>
        <v>0</v>
      </c>
      <c r="AJ30" s="447">
        <f t="array" ref="AJ30">SUM((F$25:F$30=AF30)*(H$25:H$30&lt;&gt;"")*(I$25:I$30&lt;&gt;"")*(H$25:H$30=I$25:I$30),(K$25:K$30=AF30)*(H$25:H$30&lt;&gt;"")*(I$25:I$30&lt;&gt;"")*(H$25:H$30=I$25:I$30))</f>
        <v>1</v>
      </c>
      <c r="AK30" s="447">
        <f t="array" ref="AK30">SUM((F$25:F$30=AF30)*(I$25:I$30&lt;&gt;"")*(H$25:H$30&lt;&gt;"")*(H$25:H$30&lt;I$25:I$30),(H$25:H$30&lt;&gt;"")*(K$25:K$30=AF30)*(I$25:I$30&lt;&gt;"")*(H$25:H$30&gt;I$25:I$30))</f>
        <v>2</v>
      </c>
      <c r="AL30" s="447">
        <f t="array" ref="AL30">SUMIFS($H$25:$H$30,$F$25:$F$30,AF30,$H$25:$H$30,"&lt;&gt;",$I$25:$I$30,"&lt;&gt;")+SUMIFS($I$25:$I$30,$K$25:$K$30,AF30,$H$25:$H$30,"&lt;&gt;",$I$25:$I$30,"&lt;&gt;")</f>
        <v>3</v>
      </c>
      <c r="AM30" s="448">
        <f t="array" ref="AM30">SUMIFS($H$25:$H$30,$K$25:$K$30,AF30,$H$25:$H$30,"&lt;&gt;",$I$25:$I$30,"&lt;&gt;")+SUMIFS($I$25:$I$30,$F$25:$F$30,AF30,$H$25:$H$30,"&lt;&gt;",$I$25:$I$30,"&lt;&gt;")</f>
        <v>7</v>
      </c>
      <c r="AN30" s="447">
        <f t="shared" si="62"/>
        <v>-4</v>
      </c>
      <c r="AO30" s="447">
        <f>IF(AH30=0,-($AT$13*VLOOKUP(AF30,Tabla3[[ZfP4b()8G6b·$55Ma-t·%fv-ttyZxR-.R*+Fd]:[N!"kvfjM.%&amp;gk5kfmfvv)/%;V$&amp;VW]],2,FALSE)),AG30*$AT$7+AN30*$AT$8+AL30*$AT$9+AX30-($AT$13*VLOOKUP(AF30,Tabla3[[ZfP4b()8G6b·$55Ma-t·%fv-ttyZxR-.R*+Fd]:[N!"kvfjM.%&amp;gk5kfmfvv)/%;V$&amp;VW]],2,FALSE)/100))</f>
        <v>960310999.96000004</v>
      </c>
      <c r="AP30" s="449">
        <f>AE30</f>
        <v>3</v>
      </c>
      <c r="AQ30" s="14"/>
      <c r="AR30" s="14">
        <f t="shared" si="63"/>
        <v>960310999.96000004</v>
      </c>
      <c r="AS30" s="14"/>
      <c r="AT30" s="14"/>
      <c r="AU30" s="14"/>
      <c r="AV30" s="450" t="str">
        <f>AF30</f>
        <v>Nigeria</v>
      </c>
      <c r="AW30" s="451">
        <f>COUNTIF(AG27:AG30,AG30)</f>
        <v>2</v>
      </c>
      <c r="AX30" s="452">
        <f>(AY30*$AT$12)+(BE30*$AT$11)</f>
        <v>11000</v>
      </c>
      <c r="AY30" s="453">
        <f>RANK(AZ30,AZ27:AZ30,1)</f>
        <v>1</v>
      </c>
      <c r="AZ30" s="453">
        <f>SUM(IF(AND(AG30=AG27,AN30=AN27,AL30=AL27),BA30,0),IF(AND(AG30=AG28,AN30=AN28,AL30=AL28),BB30,0),IF(AND(AG30=AG29,AN30=AN29,AL30=AL29),BC30,0))</f>
        <v>0</v>
      </c>
      <c r="BA30" s="454">
        <f>H29</f>
        <v>1</v>
      </c>
      <c r="BB30" s="455">
        <f>H28</f>
        <v>1</v>
      </c>
      <c r="BC30" s="455">
        <f>I26</f>
        <v>1</v>
      </c>
      <c r="BD30" s="456">
        <v>0</v>
      </c>
      <c r="BE30" s="453">
        <f>RANK(BF30,BF27:BF30,1)</f>
        <v>1</v>
      </c>
      <c r="BF30" s="453">
        <f>SUM(IF(AND(AG30=AG27,AN30=AN27,AL30=AL27),BG30,0),IF(AND(AG30=AG28,AN30=AN28,AL30=AL28),BH30,0),IF(AND(AG30=AG29,AN30=AN29,AL30=AL29),BI30,0))</f>
        <v>0</v>
      </c>
      <c r="BG30" s="454">
        <f>BA30-BD27</f>
        <v>-2</v>
      </c>
      <c r="BH30" s="455">
        <f>BB30-BD28</f>
        <v>0</v>
      </c>
      <c r="BI30" s="455">
        <f>BC30-BD29</f>
        <v>-2</v>
      </c>
      <c r="BJ30" s="456">
        <v>0</v>
      </c>
      <c r="BK30" s="410"/>
      <c r="BL30" s="412">
        <f t="shared" si="64"/>
        <v>3</v>
      </c>
      <c r="BM30" s="412" t="s">
        <v>171</v>
      </c>
      <c r="BN30" s="412">
        <f>IF(AH30=0,-($AT$13*VLOOKUP(AF30,Tabla3[[ZfP4b()8G6b·$55Ma-t·%fv-ttyZxR-.R*+Fd]:[N!"kvfjM.%&amp;gk5kfmfvv)/%;V$&amp;VW]],2,FALSE)),AG30*$AT$7+AN30*$AT$8+AL30*$AT$9+AX30-($AT$13*VLOOKUP(AF30,Tabla3[[ZfP4b()8G6b·$55Ma-t·%fv-ttyZxR-.R*+Fd]:[N!"kvfjM.%&amp;gk5kfmfvv)/%;V$&amp;VW]],2,FALSE)/100))</f>
        <v>960310999.96000004</v>
      </c>
      <c r="BO30" s="412" t="str">
        <f t="shared" si="65"/>
        <v>Islandia</v>
      </c>
      <c r="BP30" s="412">
        <f t="shared" si="66"/>
        <v>940210999.98000002</v>
      </c>
      <c r="BQ30" s="410"/>
      <c r="BR30" s="412">
        <v>4</v>
      </c>
      <c r="BS30" s="412" t="str">
        <f t="shared" si="67"/>
        <v>Islandia</v>
      </c>
      <c r="BT30" s="412">
        <f t="shared" si="68"/>
        <v>1</v>
      </c>
      <c r="BU30" s="444">
        <f t="shared" si="69"/>
        <v>20099999.980000019</v>
      </c>
      <c r="BV30" s="412">
        <f t="shared" si="70"/>
        <v>-6</v>
      </c>
      <c r="BW30" s="412">
        <f t="shared" si="71"/>
        <v>2</v>
      </c>
      <c r="BX30" s="410">
        <f>IF($BY$27=$CA$26,$DC$5:$DC$8,IF(OR($BY$27=$CC$26,$BY$27=$CG$26),$DG$5:$DG$6,IF($BY$27=$CE$26,$DF$5:$DF$7,$DL$5)))</f>
        <v>4</v>
      </c>
      <c r="BY30" s="14"/>
      <c r="BZ30" s="14">
        <v>4</v>
      </c>
      <c r="CA30" s="418">
        <f t="array" ref="CA30">IF(AND($BT$27:$BT$30=$BT$30,$BU$27:$BU$30&lt;300,$AN$27:$AN$30=$AN$30,$BW$27:$BW$30=$BW$30),1,0)</f>
        <v>0</v>
      </c>
      <c r="CB30" s="418">
        <f t="array" ref="CB30">IF(AND($BT$27:$BT$29=$BT$27,$BU$27:$BU$29&lt;300,$BU$30&gt;300,$BT$27&lt;&gt;$BT$30),1,0)</f>
        <v>0</v>
      </c>
      <c r="CC30" s="418">
        <f t="array" ref="CC30">IF(AND($BT$29:$BT$30=$BT$29,$BU$29:$BU$30&lt;300,$BT$29&lt;&gt;$BT$28),1,0)</f>
        <v>0</v>
      </c>
      <c r="CD30" s="418">
        <f t="array" ref="CD30">IF(AND($BT$30&lt;&gt;$BT$28,$BT$30&lt;&gt;$BT$27),1,0)</f>
        <v>1</v>
      </c>
      <c r="CE30" s="418">
        <f t="array" ref="CE30">IF(AND($BT$28:$BT$30=$BT$28,$BU$28:$BU$30&lt;300,$BT$27&lt;&gt;$BT$30),1,0)</f>
        <v>0</v>
      </c>
      <c r="CF30" s="418">
        <f t="array" ref="CF30">IF(AND($BT$30&lt;&gt;$BT$28,$BT$30&lt;&gt;$BT$27),1,0)</f>
        <v>1</v>
      </c>
      <c r="CG30" s="418">
        <f t="array" ref="CG30">IF(AND($BT$29:$BT$30=$BT$29,$BU$29:$BU$30&lt;300,$BT$29&lt;&gt;$BT$28),1,0)</f>
        <v>0</v>
      </c>
      <c r="CH30" s="418">
        <f t="array" ref="CH30">IF(AND($BT$30&lt;&gt;$BT$28,$BT$30&lt;&gt;$BT$27),1,0)</f>
        <v>1</v>
      </c>
      <c r="CI30" s="418">
        <f t="array" ref="CI30">IF(AND($BT$27:$BT$30=$BT$27,$BU$27:$BU$30&lt;300,$BV$29:$BV$30=$BV$30,$BV$28&lt;&gt;$BV$30),1,0)</f>
        <v>0</v>
      </c>
      <c r="CJ30" s="418">
        <f t="array" ref="CJ30">IF(AND($BT$27:$BT$30=$BT$27,$BU$27:$BU$30&lt;300,$BV$27:$BV$30=$BV$27,$BW$29=$BW$30,$BW$28&lt;&gt;$BW$29),1,0)</f>
        <v>0</v>
      </c>
      <c r="CK30" s="418">
        <f t="array" ref="CK30">IF(AND($BT$27:$BT$29=$BT$27,$BU$27:$BU$28&lt;300,$BT$29&lt;&gt;$BT$30),1,0)</f>
        <v>0</v>
      </c>
      <c r="CL30" s="418">
        <f t="array" ref="CL30">IF(AND($BT$28&lt;&gt;$BT$27,$BT$28:$BT$30=$BT$29,$BU$28&gt;300,$BU$29:$BU$30&lt;300),1,0)</f>
        <v>0</v>
      </c>
      <c r="CM30" s="418">
        <f t="array" ref="CM30">IF(AND($BT$28&lt;&gt;$BT$27,$BT$28:$BT$30=$BT$28,$BU$30&gt;300,$BU$28:$BU$29&lt;300),1,0)</f>
        <v>0</v>
      </c>
      <c r="CN30" s="418">
        <f t="array" ref="CN30">IF(AND($BT$30&lt;&gt;$BT$28,$BT$30&lt;&gt;$BT$29),1,0)</f>
        <v>0</v>
      </c>
      <c r="CO30" s="418">
        <f t="array" ref="CO30">IF(AND($BT$27:$BT$30=$BT$28,$BU$28:$BU$30&lt;300,$BU$27&lt;&gt;$BU$30),1,0)</f>
        <v>0</v>
      </c>
      <c r="CP30" s="418">
        <f t="array" ref="CP30">IF(AND($BT$27:$BT$30=$BT$27,$BU$27:$BU$29&lt;300,$BU$29&lt;&gt;$BU$30),1,0)</f>
        <v>0</v>
      </c>
      <c r="CQ30" s="418">
        <f t="array" ref="CQ30">IF(AND($BT$27:$BT$30=$BT$30,$BU$27:$BU$28&gt;300,$BU$29:$BU$30&lt;300,$BV$27:$BV$30=$BV$30,$BW$27&gt;$BW$28,$BW$28&gt;$BW$30,$BW$29=$BW$30),1,0)</f>
        <v>0</v>
      </c>
      <c r="CR30" s="418">
        <f t="array" ref="CR30">IF(AND($BT$27:$BT$30=$BT$28,$BU$27&gt;300,$BU$28:$BU$29&lt;300,$BU$30&gt;300,$BV$27:$BV$30=$BV$30,$BW$27&gt;$BW$30,$BW$28=$BW$29,$BW$28&gt;$BW$30),1,0)</f>
        <v>0</v>
      </c>
      <c r="CS30" s="418">
        <f t="array" ref="CS30">IF(AND($BT$27:$BT$30=$BT$30,$BU$27:$BU$28&lt;300,$BU$29:$BU$30&gt;300,$BV$27:$BV$30=$BV$30,$BW$27=$BW$28,$BW$28&gt;$BW$29,$BW$29&gt;$BW$30),1,0)</f>
        <v>0</v>
      </c>
      <c r="CT30" s="418">
        <f t="array" ref="CT30">IF(AND($BT$27:$BT$30=$BT$30,$BU$27:$BU$28&gt;300,$BU$29:$BU$30&lt;300,$BV$27:$BV$30=$BV$30,$BW$27&gt;$BW$30,$BW$28:$BW$30=$BW$30),1,0)</f>
        <v>0</v>
      </c>
      <c r="CU30" s="418">
        <f t="array" ref="CU30">IF(AND($BT$27:$BT$30=$BT$30,$BU$27:$BU$28&lt;300,$BU$29:$BU$30&gt;300,$BV$27:$BV$30=$BV$30,$BW$27:$BW$29=$BW$29,$BW$27:$BW$29&gt;$BW$30),1,0)</f>
        <v>0</v>
      </c>
      <c r="CV30" s="418">
        <f t="array" ref="CV30">IF(AND($BT$27:$BT$30=$BT$30,$BU$27&gt;300,$BU$30&gt;300,$BU$28:$BU$29&lt;300,$BV$27:$BV$30=$BV$30,$BW$27&gt;$BW$28:$BW$30,$BW$28:$BW$30=$BW$30),1,0)</f>
        <v>0</v>
      </c>
      <c r="CW30" s="418"/>
      <c r="CX30" s="418"/>
      <c r="CY30" s="14"/>
      <c r="CZ30" s="14"/>
      <c r="DA30" s="14"/>
      <c r="DB30" s="14"/>
      <c r="DC30" s="14"/>
      <c r="DD30" s="14"/>
      <c r="DE30" s="14"/>
      <c r="DF30" s="14"/>
      <c r="DG30" s="14"/>
      <c r="DH30" s="14"/>
      <c r="DI30" s="14"/>
      <c r="DJ30" s="14"/>
      <c r="DK30" s="14"/>
      <c r="DL30" s="14"/>
      <c r="DM30" s="14"/>
      <c r="DN30" s="475"/>
    </row>
    <row r="31" spans="1:342 8834:8837" ht="7.5" customHeight="1" thickBot="1" x14ac:dyDescent="0.3">
      <c r="A31" s="74"/>
      <c r="B31" s="75"/>
      <c r="C31" s="266"/>
      <c r="D31" s="267"/>
      <c r="E31" s="76"/>
      <c r="F31" s="78"/>
      <c r="G31" s="79"/>
      <c r="H31" s="80"/>
      <c r="I31" s="80"/>
      <c r="J31" s="81"/>
      <c r="K31" s="82"/>
      <c r="L31" s="149"/>
      <c r="M31" s="79"/>
      <c r="N31" s="26"/>
      <c r="O31" s="25"/>
      <c r="P31" s="54"/>
      <c r="Q31" s="26"/>
      <c r="R31" s="26"/>
      <c r="S31" s="26"/>
      <c r="T31" s="26"/>
      <c r="U31" s="26"/>
      <c r="V31" s="26"/>
      <c r="W31" s="26"/>
      <c r="X31" s="28"/>
      <c r="Y31" s="28"/>
      <c r="Z31" s="28"/>
      <c r="AA31" s="28"/>
      <c r="AB31" s="28"/>
      <c r="AC31" s="413"/>
      <c r="AD31" s="14"/>
      <c r="AE31" s="457"/>
      <c r="AF31" s="410"/>
      <c r="AG31" s="457"/>
      <c r="AH31" s="457"/>
      <c r="AI31" s="457"/>
      <c r="AJ31" s="457"/>
      <c r="AK31" s="457"/>
      <c r="AL31" s="457"/>
      <c r="AM31" s="458"/>
      <c r="AN31" s="457"/>
      <c r="AO31" s="457"/>
      <c r="AP31" s="457"/>
      <c r="AQ31" s="14"/>
      <c r="AR31" s="14"/>
      <c r="AS31" s="14"/>
      <c r="AT31" s="14"/>
      <c r="AU31" s="14"/>
      <c r="AV31" s="459"/>
      <c r="AW31" s="457"/>
      <c r="AX31" s="457"/>
      <c r="AY31" s="460"/>
      <c r="AZ31" s="461"/>
      <c r="BA31" s="461"/>
      <c r="BB31" s="461"/>
      <c r="BC31" s="461"/>
      <c r="BD31" s="462"/>
      <c r="BE31" s="460"/>
      <c r="BF31" s="461"/>
      <c r="BG31" s="461"/>
      <c r="BH31" s="461"/>
      <c r="BI31" s="461"/>
      <c r="BJ31" s="462"/>
      <c r="BK31" s="410"/>
      <c r="BL31" s="410"/>
      <c r="BM31" s="410"/>
      <c r="BN31" s="410"/>
      <c r="BO31" s="410"/>
      <c r="BP31" s="410"/>
      <c r="BQ31" s="410"/>
      <c r="BR31" s="410"/>
      <c r="BS31" s="410"/>
      <c r="BT31" s="410"/>
      <c r="BU31" s="468"/>
      <c r="BV31" s="410"/>
      <c r="BW31" s="410"/>
      <c r="BX31" s="410"/>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475"/>
    </row>
    <row r="32" spans="1:342 8834:8837" ht="15.75" customHeight="1" thickBot="1" x14ac:dyDescent="0.3">
      <c r="A32" s="74"/>
      <c r="B32" s="524" t="s">
        <v>4</v>
      </c>
      <c r="C32" s="295">
        <v>43268</v>
      </c>
      <c r="D32" s="296">
        <v>0.83333333333333337</v>
      </c>
      <c r="E32" s="297" t="s">
        <v>101</v>
      </c>
      <c r="F32" s="352" t="s">
        <v>154</v>
      </c>
      <c r="G32" s="251"/>
      <c r="H32" s="55">
        <v>3</v>
      </c>
      <c r="I32" s="55">
        <v>2</v>
      </c>
      <c r="J32" s="230"/>
      <c r="K32" s="376" t="s">
        <v>156</v>
      </c>
      <c r="L32" s="149">
        <f t="shared" si="1"/>
        <v>1</v>
      </c>
      <c r="M32" s="153"/>
      <c r="N32" s="179" t="s">
        <v>29</v>
      </c>
      <c r="O32" s="180"/>
      <c r="P32" s="180"/>
      <c r="Q32" s="180"/>
      <c r="R32" s="180"/>
      <c r="S32" s="180"/>
      <c r="T32" s="180"/>
      <c r="U32" s="180"/>
      <c r="V32" s="180"/>
      <c r="W32" s="181"/>
      <c r="X32" s="28"/>
      <c r="Y32" s="567" t="s">
        <v>218</v>
      </c>
      <c r="Z32" s="567"/>
      <c r="AA32" s="567"/>
      <c r="AB32" s="28"/>
      <c r="AC32" s="413"/>
      <c r="AD32" s="14"/>
      <c r="AE32" s="414" t="s">
        <v>35</v>
      </c>
      <c r="AF32" s="463"/>
      <c r="AG32" s="14"/>
      <c r="AH32" s="464"/>
      <c r="AI32" s="14"/>
      <c r="AJ32" s="14"/>
      <c r="AK32" s="14"/>
      <c r="AL32" s="14"/>
      <c r="AM32" s="14"/>
      <c r="AN32" s="14"/>
      <c r="AO32" s="14"/>
      <c r="AP32" s="415"/>
      <c r="AQ32" s="14"/>
      <c r="AR32" s="14"/>
      <c r="AS32" s="14"/>
      <c r="AT32" s="14"/>
      <c r="AU32" s="14"/>
      <c r="AV32" s="416" t="str">
        <f>CONCATENATE(N32," - GOLAVERAGE")</f>
        <v>Grupo E - GOLAVERAGE</v>
      </c>
      <c r="AW32" s="417"/>
      <c r="AX32" s="417"/>
      <c r="AY32" s="508" t="s">
        <v>49</v>
      </c>
      <c r="AZ32" s="509"/>
      <c r="BA32" s="509"/>
      <c r="BB32" s="509"/>
      <c r="BC32" s="509"/>
      <c r="BD32" s="510"/>
      <c r="BE32" s="508" t="s">
        <v>48</v>
      </c>
      <c r="BF32" s="509"/>
      <c r="BG32" s="509"/>
      <c r="BH32" s="509"/>
      <c r="BI32" s="509"/>
      <c r="BJ32" s="510"/>
      <c r="BK32" s="410"/>
      <c r="BL32" s="410"/>
      <c r="BM32" s="463"/>
      <c r="BN32" s="410"/>
      <c r="BO32" s="410"/>
      <c r="BP32" s="410"/>
      <c r="BQ32" s="410"/>
      <c r="BR32" s="410"/>
      <c r="BS32" s="410"/>
      <c r="BT32" s="410"/>
      <c r="BU32" s="468"/>
      <c r="BV32" s="410"/>
      <c r="BW32" s="410"/>
      <c r="BX32" s="410"/>
      <c r="BY32" s="14"/>
      <c r="BZ32" s="14" t="s">
        <v>216</v>
      </c>
      <c r="CA32" s="418">
        <f>SUM(CA34:CA37)</f>
        <v>0</v>
      </c>
      <c r="CB32" s="418">
        <f t="shared" ref="CB32:CX32" si="72">SUM(CB34:CB37)</f>
        <v>0</v>
      </c>
      <c r="CC32" s="418">
        <f t="shared" si="72"/>
        <v>0</v>
      </c>
      <c r="CD32" s="418">
        <f t="shared" si="72"/>
        <v>1</v>
      </c>
      <c r="CE32" s="418">
        <f t="shared" si="72"/>
        <v>0</v>
      </c>
      <c r="CF32" s="418">
        <f t="shared" si="72"/>
        <v>2</v>
      </c>
      <c r="CG32" s="418">
        <f t="shared" si="72"/>
        <v>1</v>
      </c>
      <c r="CH32" s="418">
        <f t="shared" si="72"/>
        <v>2</v>
      </c>
      <c r="CI32" s="418">
        <f t="shared" si="72"/>
        <v>0</v>
      </c>
      <c r="CJ32" s="418">
        <f t="shared" si="72"/>
        <v>0</v>
      </c>
      <c r="CK32" s="418">
        <f t="shared" si="72"/>
        <v>0</v>
      </c>
      <c r="CL32" s="418">
        <f t="shared" si="72"/>
        <v>1</v>
      </c>
      <c r="CM32" s="418">
        <f t="shared" si="72"/>
        <v>1</v>
      </c>
      <c r="CN32" s="418">
        <f t="shared" si="72"/>
        <v>1</v>
      </c>
      <c r="CO32" s="418">
        <f t="shared" si="72"/>
        <v>0</v>
      </c>
      <c r="CP32" s="418">
        <f t="shared" si="72"/>
        <v>0</v>
      </c>
      <c r="CQ32" s="418">
        <f t="shared" si="72"/>
        <v>0</v>
      </c>
      <c r="CR32" s="418">
        <f t="shared" si="72"/>
        <v>0</v>
      </c>
      <c r="CS32" s="418">
        <f t="shared" si="72"/>
        <v>0</v>
      </c>
      <c r="CT32" s="418">
        <f t="shared" si="72"/>
        <v>0</v>
      </c>
      <c r="CU32" s="418">
        <f t="shared" si="72"/>
        <v>0</v>
      </c>
      <c r="CV32" s="418">
        <f t="shared" si="72"/>
        <v>0</v>
      </c>
      <c r="CW32" s="418">
        <f t="shared" si="72"/>
        <v>0</v>
      </c>
      <c r="CX32" s="418">
        <f t="shared" si="72"/>
        <v>0</v>
      </c>
      <c r="CY32" s="14"/>
      <c r="CZ32" s="14"/>
      <c r="DA32" s="14"/>
      <c r="DB32" s="14"/>
      <c r="DC32" s="14"/>
      <c r="DD32" s="14"/>
      <c r="DE32" s="14"/>
      <c r="DF32" s="14"/>
      <c r="DG32" s="14"/>
      <c r="DH32" s="14"/>
      <c r="DI32" s="14"/>
      <c r="DJ32" s="14"/>
      <c r="DK32" s="14"/>
      <c r="DL32" s="14"/>
      <c r="DM32" s="14"/>
      <c r="DN32" s="475"/>
      <c r="MD32" s="14" t="s">
        <v>39</v>
      </c>
      <c r="MAW32" s="14" t="s">
        <v>39</v>
      </c>
    </row>
    <row r="33" spans="1:118 12887:12887" x14ac:dyDescent="0.25">
      <c r="A33" s="74"/>
      <c r="B33" s="525"/>
      <c r="C33" s="298">
        <v>43268</v>
      </c>
      <c r="D33" s="299">
        <v>0.58333333333333337</v>
      </c>
      <c r="E33" s="300" t="s">
        <v>102</v>
      </c>
      <c r="F33" s="353" t="s">
        <v>169</v>
      </c>
      <c r="G33" s="252"/>
      <c r="H33" s="55">
        <v>1</v>
      </c>
      <c r="I33" s="55">
        <v>2</v>
      </c>
      <c r="J33" s="231"/>
      <c r="K33" s="377" t="s">
        <v>175</v>
      </c>
      <c r="L33" s="149">
        <f t="shared" si="1"/>
        <v>1</v>
      </c>
      <c r="M33" s="153"/>
      <c r="N33" s="182" t="s">
        <v>26</v>
      </c>
      <c r="O33" s="183" t="s">
        <v>6</v>
      </c>
      <c r="P33" s="184" t="s">
        <v>12</v>
      </c>
      <c r="Q33" s="184" t="s">
        <v>7</v>
      </c>
      <c r="R33" s="184" t="s">
        <v>8</v>
      </c>
      <c r="S33" s="184" t="s">
        <v>4</v>
      </c>
      <c r="T33" s="184" t="s">
        <v>9</v>
      </c>
      <c r="U33" s="184" t="s">
        <v>10</v>
      </c>
      <c r="V33" s="184" t="s">
        <v>11</v>
      </c>
      <c r="W33" s="185" t="s">
        <v>14</v>
      </c>
      <c r="X33" s="403">
        <f>COUNTIF(X34:X37,"&lt;100")</f>
        <v>0</v>
      </c>
      <c r="Y33" s="567"/>
      <c r="Z33" s="567"/>
      <c r="AA33" s="567"/>
      <c r="AB33" s="29"/>
      <c r="AC33" s="413"/>
      <c r="AD33" s="419"/>
      <c r="AE33" s="420" t="s">
        <v>16</v>
      </c>
      <c r="AF33" s="467" t="s">
        <v>6</v>
      </c>
      <c r="AG33" s="421" t="s">
        <v>17</v>
      </c>
      <c r="AH33" s="421" t="s">
        <v>7</v>
      </c>
      <c r="AI33" s="421" t="s">
        <v>8</v>
      </c>
      <c r="AJ33" s="421" t="s">
        <v>4</v>
      </c>
      <c r="AK33" s="421" t="s">
        <v>9</v>
      </c>
      <c r="AL33" s="421" t="s">
        <v>10</v>
      </c>
      <c r="AM33" s="421" t="s">
        <v>11</v>
      </c>
      <c r="AN33" s="421" t="s">
        <v>14</v>
      </c>
      <c r="AO33" s="421" t="s">
        <v>18</v>
      </c>
      <c r="AP33" s="422" t="s">
        <v>16</v>
      </c>
      <c r="AQ33" s="14"/>
      <c r="AR33" s="14"/>
      <c r="AS33" s="14"/>
      <c r="AT33" s="14"/>
      <c r="AU33" s="14"/>
      <c r="AV33" s="425" t="s">
        <v>6</v>
      </c>
      <c r="AW33" s="426" t="s">
        <v>50</v>
      </c>
      <c r="AX33" s="427" t="s">
        <v>53</v>
      </c>
      <c r="AY33" s="428" t="s">
        <v>52</v>
      </c>
      <c r="AZ33" s="426" t="s">
        <v>47</v>
      </c>
      <c r="BA33" s="429" t="str">
        <f>AV34</f>
        <v>Brasil</v>
      </c>
      <c r="BB33" s="430" t="str">
        <f>AV35</f>
        <v>Suiza</v>
      </c>
      <c r="BC33" s="430" t="str">
        <f>AV36</f>
        <v>Costa Rica</v>
      </c>
      <c r="BD33" s="431" t="str">
        <f>AV37</f>
        <v>Serbia</v>
      </c>
      <c r="BE33" s="426" t="s">
        <v>52</v>
      </c>
      <c r="BF33" s="426" t="s">
        <v>47</v>
      </c>
      <c r="BG33" s="429" t="str">
        <f>BA33</f>
        <v>Brasil</v>
      </c>
      <c r="BH33" s="430" t="str">
        <f t="shared" ref="BH33" si="73">BB33</f>
        <v>Suiza</v>
      </c>
      <c r="BI33" s="430" t="str">
        <f t="shared" ref="BI33" si="74">BC33</f>
        <v>Costa Rica</v>
      </c>
      <c r="BJ33" s="431" t="str">
        <f t="shared" ref="BJ33" si="75">BD33</f>
        <v>Serbia</v>
      </c>
      <c r="BK33" s="410"/>
      <c r="BL33" s="432"/>
      <c r="BM33" s="432" t="s">
        <v>184</v>
      </c>
      <c r="BN33" s="432"/>
      <c r="BO33" s="432" t="s">
        <v>185</v>
      </c>
      <c r="BP33" s="432"/>
      <c r="BQ33" s="410"/>
      <c r="BR33" s="433"/>
      <c r="BS33" s="433" t="s">
        <v>6</v>
      </c>
      <c r="BT33" s="433" t="s">
        <v>17</v>
      </c>
      <c r="BU33" s="469" t="s">
        <v>204</v>
      </c>
      <c r="BV33" s="433" t="s">
        <v>14</v>
      </c>
      <c r="BW33" s="433" t="s">
        <v>205</v>
      </c>
      <c r="BX33" s="410"/>
      <c r="BY33" s="14"/>
      <c r="BZ33" s="14" t="s">
        <v>217</v>
      </c>
      <c r="CA33" s="418" t="s">
        <v>188</v>
      </c>
      <c r="CB33" s="418" t="s">
        <v>197</v>
      </c>
      <c r="CC33" s="418" t="s">
        <v>198</v>
      </c>
      <c r="CD33" s="418" t="s">
        <v>199</v>
      </c>
      <c r="CE33" s="418" t="s">
        <v>200</v>
      </c>
      <c r="CF33" s="418" t="s">
        <v>201</v>
      </c>
      <c r="CG33" s="418" t="s">
        <v>202</v>
      </c>
      <c r="CH33" s="418" t="s">
        <v>203</v>
      </c>
      <c r="CI33" s="418" t="s">
        <v>198</v>
      </c>
      <c r="CJ33" s="418" t="s">
        <v>198</v>
      </c>
      <c r="CK33" s="418" t="s">
        <v>199</v>
      </c>
      <c r="CL33" s="418" t="s">
        <v>202</v>
      </c>
      <c r="CM33" s="418" t="s">
        <v>201</v>
      </c>
      <c r="CN33" s="418" t="s">
        <v>201</v>
      </c>
      <c r="CO33" s="418" t="s">
        <v>200</v>
      </c>
      <c r="CP33" s="418" t="s">
        <v>197</v>
      </c>
      <c r="CQ33" s="418" t="s">
        <v>202</v>
      </c>
      <c r="CR33" s="418" t="s">
        <v>201</v>
      </c>
      <c r="CS33" s="418" t="s">
        <v>199</v>
      </c>
      <c r="CT33" s="418" t="s">
        <v>202</v>
      </c>
      <c r="CU33" s="418" t="s">
        <v>199</v>
      </c>
      <c r="CV33" s="418" t="s">
        <v>201</v>
      </c>
      <c r="CW33" s="418"/>
      <c r="CX33" s="418"/>
      <c r="CY33" s="14"/>
      <c r="CZ33" s="14"/>
      <c r="DA33" s="14"/>
      <c r="DB33" s="14"/>
      <c r="DC33" s="14"/>
      <c r="DD33" s="14"/>
      <c r="DE33" s="14"/>
      <c r="DF33" s="14"/>
      <c r="DG33" s="14"/>
      <c r="DH33" s="14"/>
      <c r="DI33" s="14"/>
      <c r="DJ33" s="14"/>
      <c r="DK33" s="14"/>
      <c r="DL33" s="14"/>
      <c r="DM33" s="14"/>
      <c r="DN33" s="475"/>
      <c r="SAQ33" s="14" t="s">
        <v>95</v>
      </c>
    </row>
    <row r="34" spans="1:118 12887:12887" x14ac:dyDescent="0.25">
      <c r="A34" s="74"/>
      <c r="B34" s="525"/>
      <c r="C34" s="298">
        <v>43273</v>
      </c>
      <c r="D34" s="299">
        <v>0.58333333333333337</v>
      </c>
      <c r="E34" s="300" t="s">
        <v>212</v>
      </c>
      <c r="F34" s="353" t="s">
        <v>154</v>
      </c>
      <c r="G34" s="252"/>
      <c r="H34" s="55">
        <v>3</v>
      </c>
      <c r="I34" s="55">
        <v>0</v>
      </c>
      <c r="J34" s="231"/>
      <c r="K34" s="377" t="s">
        <v>169</v>
      </c>
      <c r="L34" s="149">
        <f t="shared" si="1"/>
        <v>1</v>
      </c>
      <c r="M34" s="153"/>
      <c r="N34" s="48">
        <v>1</v>
      </c>
      <c r="O34" s="47" t="str">
        <f>VLOOKUP(N34,$AD$34:$AF$37,3,0)</f>
        <v>Brasil</v>
      </c>
      <c r="P34" s="39">
        <f>VLOOKUP(O34,AF34:AO37,2,FALSE)</f>
        <v>9</v>
      </c>
      <c r="Q34" s="39">
        <f>VLOOKUP(O34,AF34:AO37,3,FALSE)</f>
        <v>3</v>
      </c>
      <c r="R34" s="39">
        <f>VLOOKUP(O34,AF34:AO37,4,FALSE)</f>
        <v>3</v>
      </c>
      <c r="S34" s="39">
        <f>VLOOKUP(O34,AF34:AO37,5,FALSE)</f>
        <v>0</v>
      </c>
      <c r="T34" s="39">
        <f>VLOOKUP(O34,AF34:AO37,6,FALSE)</f>
        <v>0</v>
      </c>
      <c r="U34" s="39">
        <f>VLOOKUP(O34,AF34:AO37,7,FALSE)</f>
        <v>10</v>
      </c>
      <c r="V34" s="39">
        <f>VLOOKUP(O34,AF34:AO37,8,FALSE)</f>
        <v>3</v>
      </c>
      <c r="W34" s="49">
        <f>VLOOKUP(O34,AF34:AO37,9,FALSE)</f>
        <v>7</v>
      </c>
      <c r="X34" s="28">
        <f>IF(SUM($AH$34:$AH$37)=12,MIN(ABS(BP33-BP34),ABS(BP34-BP35)),100)</f>
        <v>5070500000.0100002</v>
      </c>
      <c r="Y34" s="402" t="str">
        <f>IF(AND(X34&gt;=0,X34&lt;90),VLOOKUP(N34,$BL$34:$BM$37,2,0),"")</f>
        <v/>
      </c>
      <c r="Z34" s="406"/>
      <c r="AA34" s="29"/>
      <c r="AB34" s="29"/>
      <c r="AC34" s="413">
        <f>VLOOKUP(O34,$AF$34:$AO$37,10,FALSE)</f>
        <v>9071010999.9899998</v>
      </c>
      <c r="AD34" s="14">
        <f>RANK(AR34,$AR$34:$AR$37)</f>
        <v>1</v>
      </c>
      <c r="AE34" s="434">
        <f>RANK(AO34,AO34:AO39)</f>
        <v>1</v>
      </c>
      <c r="AF34" s="412" t="s">
        <v>154</v>
      </c>
      <c r="AG34" s="418">
        <f>AI34*3+AJ34*1+AK34*0</f>
        <v>9</v>
      </c>
      <c r="AH34" s="418">
        <f>COUNTIFS($F$32:$F$37,AF34,$H$32:$H$37,"&lt;&gt;",$I$32:$I$37,"&lt;&gt;")+COUNTIFS($K$32:$K$37,AF34,$I$32:$I$37,"&lt;&gt;",$H$32:$H$37,"&lt;&gt;")</f>
        <v>3</v>
      </c>
      <c r="AI34" s="418">
        <f t="array" ref="AI34">SUM((F$32:F$37=AF34)*(H$32:H$37&lt;&gt;"")*(I$32:I$37&lt;&gt;"")*(H$32:H$37&gt;I$32:I$37),(K$32:K$37=AF34)*(H$32:H$37&lt;&gt;"")*(I$32:I$37&lt;&gt;"")*(H$32:H$37&lt;I$32:I$37))</f>
        <v>3</v>
      </c>
      <c r="AJ34" s="418">
        <f t="array" ref="AJ34">SUM((F$32:F$37=AF34)*(H$32:H$37&lt;&gt;"")*(I$32:I$37&lt;&gt;"")*(H$32:H$37=I$32:I$37),(K$32:K$37=AF34)*(H$32:H$37&lt;&gt;"")*(I$32:I$37&lt;&gt;"")*(H$32:H$37=I$32:I$37))</f>
        <v>0</v>
      </c>
      <c r="AK34" s="418">
        <f t="array" ref="AK34">SUM((F$32:F$37=AF34)*(I$32:I$37&lt;&gt;"")*(H$32:H$37&lt;&gt;"")*(H$32:H$37&lt;I$32:I$37),(H$32:H$37&lt;&gt;"")*(K$32:K$37=AF34)*(I$32:I$37&lt;&gt;"")*(H$32:H$37&gt;I$32:I$37))</f>
        <v>0</v>
      </c>
      <c r="AL34" s="418">
        <f t="array" ref="AL34">SUMIFS($H$32:$H$37,$F$32:$F$37,AF34,$H$32:$H$37,"&lt;&gt;",$I$32:$I$37,"&lt;&gt;")+SUMIFS($I$32:$I$37,$K$32:$K$37,AF34,$H$32:$H$37,"&lt;&gt;",$I$32:$I$37,"&lt;&gt;")</f>
        <v>10</v>
      </c>
      <c r="AM34" s="418">
        <f t="array" ref="AM34">SUMIFS($H$32:$H$37,$K$32:$K$37,AF34,$H$32:$H$37,"&lt;&gt;",$I$32:$I$37,"&lt;&gt;")+SUMIFS($I$32:$I$37,$F$32:$F$37,AF34,$H$32:$H$37,"&lt;&gt;",$I$32:$I$37,"&lt;&gt;")</f>
        <v>3</v>
      </c>
      <c r="AN34" s="418">
        <f>AL34-AM34</f>
        <v>7</v>
      </c>
      <c r="AO34" s="418">
        <f>IF(AH34=0,-($AT$13*VLOOKUP(AF34,Tabla3[[ZfP4b()8G6b·$55Ma-t·%fv-ttyZxR-.R*+Fd]:[N!"kvfjM.%&amp;gk5kfmfvv)/%;V$&amp;VW]],2,FALSE)),AG34*$AT$7+AN34*$AT$8+AL34*$AT$9+AX34-($AT$13*VLOOKUP(AF34,Tabla3[[ZfP4b()8G6b·$55Ma-t·%fv-ttyZxR-.R*+Fd]:[N!"kvfjM.%&amp;gk5kfmfvv)/%;V$&amp;VW]],2,FALSE)/100))</f>
        <v>9071010999.9899998</v>
      </c>
      <c r="AP34" s="435">
        <f>AE34</f>
        <v>1</v>
      </c>
      <c r="AQ34" s="14"/>
      <c r="AR34" s="14">
        <f>IFERROR(AO34-VLOOKUP(AF34,$Y$34:$Z$37,2,0),AO34)</f>
        <v>9071010999.9899998</v>
      </c>
      <c r="AS34" s="14"/>
      <c r="AT34" s="14"/>
      <c r="AU34" s="14"/>
      <c r="AV34" s="438" t="str">
        <f>AF34</f>
        <v>Brasil</v>
      </c>
      <c r="AW34" s="418">
        <f>COUNTIF(AG34:AG37,AG34)</f>
        <v>1</v>
      </c>
      <c r="AX34" s="439">
        <f>(AY34*$AT$12)+(BE34*$AT$11)</f>
        <v>11000</v>
      </c>
      <c r="AY34" s="440">
        <f>RANK(AZ34,AZ34:AZ37,1)</f>
        <v>1</v>
      </c>
      <c r="AZ34" s="440">
        <f>SUM(IF(AND(AG34=AG35,AN34=AN35,AL34=AL35),BB34,0),IF(AND(AG34=AG36,AN34=AN36,AL34=AL36),BC34,0),IF(AND(AG34=AG37,AN34=AN37,AL34=AL37),BD34,0))</f>
        <v>0</v>
      </c>
      <c r="BA34" s="441">
        <v>0</v>
      </c>
      <c r="BB34" s="442">
        <f>H32</f>
        <v>3</v>
      </c>
      <c r="BC34" s="442">
        <f>H34</f>
        <v>3</v>
      </c>
      <c r="BD34" s="443">
        <f>I36</f>
        <v>4</v>
      </c>
      <c r="BE34" s="440">
        <f>RANK(BF34,BF34:BF37,1)</f>
        <v>1</v>
      </c>
      <c r="BF34" s="440">
        <f>SUM(IF(AND(AG34=AG35,AN34=AN35,AL34=AL35),BH34,0),IF(AND(AG34=AG36,AN34=AN36,AL34=AL36),BI34,0),IF(AND(AG34=AG37,AN34=AN37,AL34=AL37),BJ34,0))</f>
        <v>0</v>
      </c>
      <c r="BG34" s="441">
        <v>0</v>
      </c>
      <c r="BH34" s="442">
        <f>BB34-BA35</f>
        <v>1</v>
      </c>
      <c r="BI34" s="442">
        <f>BC34-BA36</f>
        <v>3</v>
      </c>
      <c r="BJ34" s="443">
        <f>BD34-BA37</f>
        <v>3</v>
      </c>
      <c r="BK34" s="410"/>
      <c r="BL34" s="412">
        <f>RANK(BN34,$BN$34:$BN$37)</f>
        <v>1</v>
      </c>
      <c r="BM34" s="412" t="s">
        <v>154</v>
      </c>
      <c r="BN34" s="412">
        <f>IF(AH34=0,-($AT$13*VLOOKUP(AF34,Tabla3[[ZfP4b()8G6b·$55Ma-t·%fv-ttyZxR-.R*+Fd]:[N!"kvfjM.%&amp;gk5kfmfvv)/%;V$&amp;VW]],2,FALSE)),AG34*$AT$7+AN34*$AT$8+AL34*$AT$9+AX34-($AT$13*VLOOKUP(AF34,Tabla3[[ZfP4b()8G6b·$55Ma-t·%fv-ttyZxR-.R*+Fd]:[N!"kvfjM.%&amp;gk5kfmfvv)/%;V$&amp;VW]],2,FALSE)/100))</f>
        <v>9071010999.9899998</v>
      </c>
      <c r="BO34" s="412" t="str">
        <f>VLOOKUP(N34,$AE$34:$AF$37,2,0)</f>
        <v>Brasil</v>
      </c>
      <c r="BP34" s="412">
        <f>VLOOKUP($BO34,$AF$34:$AO$37,10,FALSE)</f>
        <v>9071010999.9899998</v>
      </c>
      <c r="BQ34" s="410"/>
      <c r="BR34" s="412">
        <v>1</v>
      </c>
      <c r="BS34" s="412" t="str">
        <f>VLOOKUP(BR34,$AD$34:$AF$37,3,0)</f>
        <v>Brasil</v>
      </c>
      <c r="BT34" s="412">
        <f>VLOOKUP(BS34,$AF$34:$AO$37,2,FALSE)</f>
        <v>9</v>
      </c>
      <c r="BU34" s="444">
        <f>IF(SUM($AH$34:$AH$37)=12,MIN(ABS(BP33-BP34),ABS(BP34-BP35)),100)</f>
        <v>5070500000.0100002</v>
      </c>
      <c r="BV34" s="412">
        <f>VLOOKUP(BS34,$AF$34:$AO$37,9,FALSE)</f>
        <v>7</v>
      </c>
      <c r="BW34" s="412">
        <f>VLOOKUP(BS34,$AF$34:$AO$37,7,FALSE)</f>
        <v>10</v>
      </c>
      <c r="BX34" s="410">
        <f>IF($BY$34=$CA$33,$DC$5:$DC$8,IF($BY$34=$CB$33,$DD$5:$DD$7,IF(OR($BY$34=$CC$33,$BY$34=$CD$33),$DE$5:$DE$6,$DI$5)))</f>
        <v>1</v>
      </c>
      <c r="BY34" s="418" t="str">
        <f>IFERROR(HLOOKUP(4,CA32:CX33,2,0),CH33)</f>
        <v>COM_8</v>
      </c>
      <c r="BZ34" s="14">
        <v>1</v>
      </c>
      <c r="CA34" s="418">
        <f t="array" ref="CA34">IF(AND($BT$34:$BT$37=$BT$34,$BU$34:$BU$37&lt;370,$AN$34:$AN$37=$AN$34,$BW$34:$BW$37=$BW$34),1,0)</f>
        <v>0</v>
      </c>
      <c r="CB34" s="418">
        <f t="array" ref="CB34">IF(AND($BT$34:$BT$36=$BT$34,$BU$34:$BU$36&lt;370,$BT$34&lt;&gt;$BT$37),1,0)</f>
        <v>0</v>
      </c>
      <c r="CC34" s="418">
        <f t="array" ref="CC34">IF(AND($BT$34:$BT$35=$BT$34,$BU$34:$BU$35&lt;370,$BT$34&lt;&gt;$BT$36),1,0)</f>
        <v>0</v>
      </c>
      <c r="CD34" s="418">
        <f t="array" ref="CD34">IF(AND($BT$34:$BT$35=$BT$34,$BU$34:$BU$35&lt;370,$BT$34&lt;&gt;$BT$36),1,0)</f>
        <v>0</v>
      </c>
      <c r="CE34" s="418">
        <f t="array" ref="CE34">IF(AND($BT$35:$BT$37=$BT$35,$BU$35:$BU$37&lt;370,$BT$34&lt;&gt;$BT$35),1,0)</f>
        <v>0</v>
      </c>
      <c r="CF34" s="418">
        <f t="array" ref="CF34">IF(AND($BT$34&lt;&gt;$BT$35,$BT$34&lt;&gt;$BT$37),1,0)</f>
        <v>1</v>
      </c>
      <c r="CG34" s="418">
        <f t="array" ref="CG34">IF(AND($BT$34&lt;&gt;$BT$35,$BT$34&lt;&gt;$BT$37),1,0)</f>
        <v>1</v>
      </c>
      <c r="CH34" s="418">
        <f t="array" ref="CH34">IF(AND($BT$34&lt;&gt;$BT$35,$BT$34&lt;&gt;$BT$37),1,0)</f>
        <v>1</v>
      </c>
      <c r="CI34" s="418">
        <f t="array" ref="CI34">IF(AND($BT$34:$BT$37=$BT$34,$BU$34:$BU$37&lt;370,$BV$34:$BV$35=$BV$34,$BV$34&lt;&gt;$BV$36),1,0)</f>
        <v>0</v>
      </c>
      <c r="CJ34" s="418">
        <f t="array" ref="CJ34">IF(AND($BT$34:$BT$37=$BT$34,$BU$34:$BU$37&lt;370,$BV$34:$BV$37=$BV$34,$BW$34=$BW$35,$BW$34&lt;&gt;$BW$36),1,0)</f>
        <v>0</v>
      </c>
      <c r="CK34" s="418">
        <f t="array" ref="CK34">IF(AND($BT$34:$BT$36=$BT$34,$BU$34:$BU$35&lt;370,$BU$36&gt;370),1,0)</f>
        <v>0</v>
      </c>
      <c r="CL34" s="418">
        <f t="array" ref="CL34">IF(AND($BT$34&lt;&gt;$BT$35,$BT$34&lt;&gt;$BT$36),1,0)</f>
        <v>1</v>
      </c>
      <c r="CM34" s="418">
        <f t="array" ref="CM34">IF(AND($BT$34&lt;&gt;$BT$35,$BT$34&lt;&gt;$BT$36),1,0)</f>
        <v>1</v>
      </c>
      <c r="CN34" s="418">
        <f t="array" ref="CN34">IF(AND($BT$34&lt;&gt;$BT$37,$BT$34:$BT$36=$BT$34,$BU$34&gt;370,$BU$35:$BU$36&lt;370),1,0)</f>
        <v>0</v>
      </c>
      <c r="CO34" s="418">
        <f t="array" ref="CO34">IF(AND($BT$34:$BT$37=$BT$34,$BU$35:$BU$37&lt;370,$BU$34&lt;&gt;$BU$35),1,0)</f>
        <v>0</v>
      </c>
      <c r="CP34" s="418">
        <f t="array" ref="CP34">IF(AND($BT$34:$BT$37=$BT$34,$BU$34:$BU$36&lt;370,$BU$34&lt;&gt;$BU$37),1,0)</f>
        <v>0</v>
      </c>
      <c r="CQ34" s="418">
        <f t="array" ref="CQ34">IF(AND($BT$34:$BT$37=$BT$34,$BU$34:$BU$35&gt;370,$BU$36:$BU$37&lt;370,$BV$34:$BV$37=$BV$34,$BW$34&gt;$BW$35,$BW$34&gt;$BW$36,$BW$34&gt;$BW$37),1,0)</f>
        <v>0</v>
      </c>
      <c r="CR34" s="418">
        <f t="array" ref="CR34">IF(AND($BT$34:$BT$37=$BT$34,$BU$34&gt;370,$BU$35:$BU$36&lt;370,$BU$37&gt;370,$BV$34:$BV$37=$BV$34,$BW$34&gt;$BW$35,$BW$34&gt;$BW$36,$BW$34&gt;$BW$37),1,0)</f>
        <v>0</v>
      </c>
      <c r="CS34" s="418">
        <f t="array" ref="CS34">IF(AND($BT$34:$BT$37=$BT$34,$BU$34:$BU$35&lt;370,$BU$36:$BU$37&gt;370,$BV$34:$BV$37=$BV$34,$BW$34=$BW$35,$BW$34&gt;$BW$36,$BW$34&gt;$BW$37),1,0)</f>
        <v>0</v>
      </c>
      <c r="CT34" s="418">
        <f t="array" ref="CT34">IF(AND($BT$34:$BT$37=$BT$34,$BU$34:$BU$35&gt;370,$BU$36:$BU$37&lt;370,$BV$34:$BV$37=$BV$34,$BW$34&gt;$BW$35,$BW$35:$BW$37=$BW$35),1,0)</f>
        <v>0</v>
      </c>
      <c r="CU34" s="418">
        <f t="array" ref="CU34">IF(AND($BT$34:$BT$37=$BT$34,$BU$34:$BU$35&lt;370,$BU$36:$BU$37&gt;370,$BV$34:$BV$37=$BV$34,$BW$34:$BW$36=$BW$34,$BW$34&gt;$BW$37),1,0)</f>
        <v>0</v>
      </c>
      <c r="CV34" s="418">
        <f t="array" ref="CV34">IF(AND($BT$34:$BT$37=$BT$34,$BU$34&gt;370,$BU$37&gt;370,$BU$35:$BU$36&lt;370,$BV$34:$BV$37=$BV$34,$BW$34&gt;$BW$35:$BW$37),1,0)</f>
        <v>0</v>
      </c>
      <c r="CW34" s="418"/>
      <c r="CX34" s="418"/>
      <c r="CY34" s="14"/>
      <c r="CZ34" s="14"/>
      <c r="DA34" s="14"/>
      <c r="DB34" s="14"/>
      <c r="DC34" s="14"/>
      <c r="DD34" s="14"/>
      <c r="DE34" s="14"/>
      <c r="DF34" s="14"/>
      <c r="DG34" s="14"/>
      <c r="DH34" s="14"/>
      <c r="DI34" s="14"/>
      <c r="DJ34" s="14"/>
      <c r="DK34" s="14"/>
      <c r="DL34" s="14"/>
      <c r="DM34" s="14"/>
      <c r="DN34" s="475"/>
    </row>
    <row r="35" spans="1:118 12887:12887" x14ac:dyDescent="0.25">
      <c r="A35" s="74"/>
      <c r="B35" s="525"/>
      <c r="C35" s="298">
        <v>43273</v>
      </c>
      <c r="D35" s="299">
        <v>0.83333333333333337</v>
      </c>
      <c r="E35" s="300" t="s">
        <v>208</v>
      </c>
      <c r="F35" s="353" t="s">
        <v>175</v>
      </c>
      <c r="G35" s="252"/>
      <c r="H35" s="55">
        <v>1</v>
      </c>
      <c r="I35" s="55">
        <v>1</v>
      </c>
      <c r="J35" s="231"/>
      <c r="K35" s="377" t="s">
        <v>156</v>
      </c>
      <c r="L35" s="149">
        <f t="shared" si="1"/>
        <v>1</v>
      </c>
      <c r="M35" s="153"/>
      <c r="N35" s="48">
        <v>2</v>
      </c>
      <c r="O35" s="47" t="str">
        <f>VLOOKUP(N35,$AD$34:$AF$37,3,0)</f>
        <v>Suiza</v>
      </c>
      <c r="P35" s="39">
        <f>VLOOKUP(O35,AF34:AO37,2,FALSE)</f>
        <v>4</v>
      </c>
      <c r="Q35" s="39">
        <f>VLOOKUP(O35,AF34:AO37,3,FALSE)</f>
        <v>3</v>
      </c>
      <c r="R35" s="39">
        <f>VLOOKUP(O35,AF34:AO37,4,FALSE)</f>
        <v>1</v>
      </c>
      <c r="S35" s="39">
        <f>VLOOKUP(O35,AF34:AO37,5,FALSE)</f>
        <v>1</v>
      </c>
      <c r="T35" s="39">
        <f>VLOOKUP(O35,AF34:AO37,6,FALSE)</f>
        <v>1</v>
      </c>
      <c r="U35" s="39">
        <f>VLOOKUP(O35,AF34:AO37,7,FALSE)</f>
        <v>5</v>
      </c>
      <c r="V35" s="39">
        <f>VLOOKUP(O35,AF34:AO37,8,FALSE)</f>
        <v>5</v>
      </c>
      <c r="W35" s="49">
        <f>VLOOKUP(O35,AF34:AO37,9,FALSE)</f>
        <v>0</v>
      </c>
      <c r="X35" s="28">
        <f t="shared" ref="X35:X37" si="76">IF(SUM($AH$34:$AH$37)=12,MIN(ABS(BP34-BP35),ABS(BP35-BP36)),100)</f>
        <v>20100000.019999981</v>
      </c>
      <c r="Y35" s="402" t="str">
        <f t="shared" ref="Y35:Y37" si="77">IF(AND(X35&gt;=0,X35&lt;90),VLOOKUP(N35,$BL$34:$BM$37,2,0),"")</f>
        <v/>
      </c>
      <c r="Z35" s="406"/>
      <c r="AA35" s="29"/>
      <c r="AB35" s="29"/>
      <c r="AC35" s="413">
        <f t="shared" ref="AC35:AC37" si="78">VLOOKUP(O35,$AF$34:$AO$37,10,FALSE)</f>
        <v>4000510999.98</v>
      </c>
      <c r="AD35" s="14">
        <f t="shared" ref="AD35:AD37" si="79">RANK(AR35,$AR$34:$AR$37)</f>
        <v>2</v>
      </c>
      <c r="AE35" s="434">
        <f>RANK(AO35,AO34:AO39)</f>
        <v>2</v>
      </c>
      <c r="AF35" s="412" t="s">
        <v>156</v>
      </c>
      <c r="AG35" s="418">
        <f t="shared" ref="AG35:AG37" si="80">AI35*3+AJ35*1+AK35*0</f>
        <v>4</v>
      </c>
      <c r="AH35" s="418">
        <f t="shared" ref="AH35:AH37" si="81">COUNTIFS($F$32:$F$37,AF35,$H$32:$H$37,"&lt;&gt;",$I$32:$I$37,"&lt;&gt;")+COUNTIFS($K$32:$K$37,AF35,$I$32:$I$37,"&lt;&gt;",$H$32:$H$37,"&lt;&gt;")</f>
        <v>3</v>
      </c>
      <c r="AI35" s="418">
        <f t="array" ref="AI35">SUM((F$32:F$37=AF35)*(H$32:H$37&lt;&gt;"")*(I$32:I$37&lt;&gt;"")*(H$32:H$37&gt;I$32:I$37),(K$32:K$37=AF35)*(H$32:H$37&lt;&gt;"")*(I$32:I$37&lt;&gt;"")*(H$32:H$37&lt;I$32:I$37))</f>
        <v>1</v>
      </c>
      <c r="AJ35" s="418">
        <f t="array" ref="AJ35">SUM((F$32:F$37=AF35)*(H$32:H$37&lt;&gt;"")*(I$32:I$37&lt;&gt;"")*(H$32:H$37=I$32:I$37),(K$32:K$37=AF35)*(H$32:H$37&lt;&gt;"")*(I$32:I$37&lt;&gt;"")*(H$32:H$37=I$32:I$37))</f>
        <v>1</v>
      </c>
      <c r="AK35" s="418">
        <f t="array" ref="AK35">SUM((F$32:F$37=AF35)*(I$32:I$37&lt;&gt;"")*(H$32:H$37&lt;&gt;"")*(H$32:H$37&lt;I$32:I$37),(H$32:H$37&lt;&gt;"")*(K$32:K$37=AF35)*(I$32:I$37&lt;&gt;"")*(H$32:H$37&gt;I$32:I$37))</f>
        <v>1</v>
      </c>
      <c r="AL35" s="418">
        <f t="array" ref="AL35">SUMIFS($H$32:$H$37,$F$32:$F$37,AF35,$H$32:$H$37,"&lt;&gt;",$I$32:$I$37,"&lt;&gt;")+SUMIFS($I$32:$I$37,$K$32:$K$37,AF35,$H$32:$H$37,"&lt;&gt;",$I$32:$I$37,"&lt;&gt;")</f>
        <v>5</v>
      </c>
      <c r="AM35" s="418">
        <f t="array" ref="AM35">SUMIFS($H$32:$H$37,$K$32:$K$37,AF35,$H$32:$H$37,"&lt;&gt;",$I$32:$I$37,"&lt;&gt;")+SUMIFS($I$32:$I$37,$F$32:$F$37,AF35,$H$32:$H$37,"&lt;&gt;",$I$32:$I$37,"&lt;&gt;")</f>
        <v>5</v>
      </c>
      <c r="AN35" s="418">
        <f t="shared" ref="AN35:AN37" si="82">AL35-AM35</f>
        <v>0</v>
      </c>
      <c r="AO35" s="418">
        <f>IF(AH35=0,-($AT$13*VLOOKUP(AF35,Tabla3[[ZfP4b()8G6b·$55Ma-t·%fv-ttyZxR-.R*+Fd]:[N!"kvfjM.%&amp;gk5kfmfvv)/%;V$&amp;VW]],2,FALSE)),AG35*$AT$7+AN35*$AT$8+AL35*$AT$9+AX35-($AT$13*VLOOKUP(AF35,Tabla3[[ZfP4b()8G6b·$55Ma-t·%fv-ttyZxR-.R*+Fd]:[N!"kvfjM.%&amp;gk5kfmfvv)/%;V$&amp;VW]],2,FALSE)/100))</f>
        <v>4000510999.98</v>
      </c>
      <c r="AP35" s="435">
        <f>AE35</f>
        <v>2</v>
      </c>
      <c r="AQ35" s="14"/>
      <c r="AR35" s="14">
        <f t="shared" ref="AR35:AR37" si="83">IFERROR(AO35-VLOOKUP(AF35,$Y$34:$Z$37,2,0),AO35)</f>
        <v>4000510999.98</v>
      </c>
      <c r="AS35" s="14"/>
      <c r="AT35" s="14"/>
      <c r="AU35" s="14"/>
      <c r="AV35" s="438" t="str">
        <f>AF35</f>
        <v>Suiza</v>
      </c>
      <c r="AW35" s="418">
        <f>COUNTIF(AG34:AG37,AG35)</f>
        <v>2</v>
      </c>
      <c r="AX35" s="439">
        <f>(AY35*$AT$12)+(BE35*$AT$11)</f>
        <v>11000</v>
      </c>
      <c r="AY35" s="440">
        <f>RANK(AZ35,AZ34:AZ37,1)</f>
        <v>1</v>
      </c>
      <c r="AZ35" s="440">
        <f>SUM(IF(AND(AG35=AG36,AN35=AN36,AL35=AL36),BC35,0),IF(AND(AG35=AG37,AN35=AN37,AL35=AL37),BD35,0),IF(AND(AG35=AG34,AN35=AN34,AL35=AL34),BA35,0))</f>
        <v>0</v>
      </c>
      <c r="BA35" s="441">
        <f>I32</f>
        <v>2</v>
      </c>
      <c r="BB35" s="442">
        <v>0</v>
      </c>
      <c r="BC35" s="442">
        <f>H37</f>
        <v>2</v>
      </c>
      <c r="BD35" s="443">
        <f>I35</f>
        <v>1</v>
      </c>
      <c r="BE35" s="440">
        <f>RANK(BF35,BF34:BF37,1)</f>
        <v>1</v>
      </c>
      <c r="BF35" s="440">
        <f>SUM(IF(AND(AG35=AG36,AN35=AN36,AL35=AL36),BI35,0),IF(AND(AG35=AG37,AN35=AN37,AL35=AL37),BJ35,0),IF(AND(AG35=AG34,AN35=AN34,AL35=AL34),BG35,0))</f>
        <v>0</v>
      </c>
      <c r="BG35" s="441">
        <f>BA35-BB34</f>
        <v>-1</v>
      </c>
      <c r="BH35" s="442">
        <v>0</v>
      </c>
      <c r="BI35" s="442">
        <f>BC35-BB36</f>
        <v>1</v>
      </c>
      <c r="BJ35" s="443">
        <f>BD35-BB37</f>
        <v>0</v>
      </c>
      <c r="BK35" s="410"/>
      <c r="BL35" s="412">
        <f t="shared" ref="BL35:BL37" si="84">RANK(BN35,$BN$34:$BN$37)</f>
        <v>2</v>
      </c>
      <c r="BM35" s="412" t="s">
        <v>156</v>
      </c>
      <c r="BN35" s="412">
        <f>IF(AH35=0,-($AT$13*VLOOKUP(AF35,Tabla3[[ZfP4b()8G6b·$55Ma-t·%fv-ttyZxR-.R*+Fd]:[N!"kvfjM.%&amp;gk5kfmfvv)/%;V$&amp;VW]],2,FALSE)),AG35*$AT$7+AN35*$AT$8+AL35*$AT$9+AX35-($AT$13*VLOOKUP(AF35,Tabla3[[ZfP4b()8G6b·$55Ma-t·%fv-ttyZxR-.R*+Fd]:[N!"kvfjM.%&amp;gk5kfmfvv)/%;V$&amp;VW]],2,FALSE)/100))</f>
        <v>4000510999.98</v>
      </c>
      <c r="BO35" s="412" t="str">
        <f t="shared" ref="BO35:BO37" si="85">VLOOKUP(N35,$AE$34:$AF$37,2,0)</f>
        <v>Suiza</v>
      </c>
      <c r="BP35" s="412">
        <f t="shared" ref="BP35:BP37" si="86">VLOOKUP($BO35,$AF$34:$AO$37,10,FALSE)</f>
        <v>4000510999.98</v>
      </c>
      <c r="BQ35" s="410"/>
      <c r="BR35" s="412">
        <v>2</v>
      </c>
      <c r="BS35" s="412" t="str">
        <f t="shared" ref="BS35:BS37" si="87">VLOOKUP(BR35,$AD$34:$AF$37,3,0)</f>
        <v>Suiza</v>
      </c>
      <c r="BT35" s="412">
        <f t="shared" ref="BT35:BT37" si="88">VLOOKUP(BS35,$AF$34:$AO$37,2,FALSE)</f>
        <v>4</v>
      </c>
      <c r="BU35" s="444">
        <f t="shared" ref="BU35:BU37" si="89">IF(SUM($AH$34:$AH$37)=12,MIN(ABS(BP34-BP35),ABS(BP35-BP36)),100)</f>
        <v>20100000.019999981</v>
      </c>
      <c r="BV35" s="412">
        <f t="shared" ref="BV35:BV37" si="90">VLOOKUP(BS35,$AF$34:$AO$37,9,FALSE)</f>
        <v>0</v>
      </c>
      <c r="BW35" s="412">
        <f t="shared" ref="BW35:BW37" si="91">VLOOKUP(BS35,$AF$34:$AO$37,7,FALSE)</f>
        <v>5</v>
      </c>
      <c r="BX35" s="410">
        <f>IF($BY$34=$CA$33,$DC$5:$DC$8,IF($BY$34=$CB$33,$DD$5:$DD$7,IF(OR($BY$34=$CC$33,$BY$34=$CD$33),$DE$5:$DE$6,IF($BY$34=$CE$33,$DF$5:$DF$7,(IF($BY$34=$CF$33,$DH$5:$DH$6,$DJ$5))))))</f>
        <v>2</v>
      </c>
      <c r="BY35" s="14"/>
      <c r="BZ35" s="14">
        <v>2</v>
      </c>
      <c r="CA35" s="418">
        <f t="array" ref="CA35">IF(AND($BT$34:$BT$37=$BT$35,$BU$34:$BU$37&lt;370,$AN$34:$AN$37=$AN$35,$BW$34:$BW$37=$BW$35),1,0)</f>
        <v>0</v>
      </c>
      <c r="CB35" s="418">
        <f t="array" ref="CB35">IF(AND($BT$34:$BT$36=$BT$35,$BU$34:$BU$36&lt;370,$BT$35&lt;&gt;$BT$37),1,0)</f>
        <v>0</v>
      </c>
      <c r="CC35" s="418">
        <f t="array" ref="CC35">IF(AND($BT$34:$BT$35=$BT$34,$BU$34:$BU$35&lt;370,$BT$34&lt;&gt;$BT$36),1,0)</f>
        <v>0</v>
      </c>
      <c r="CD35" s="418">
        <f t="array" ref="CD35">IF(AND($BT$34:$BT$35=$BT$34,$BU$34:$BU$35&lt;370,$BT$34&lt;&gt;$BT$36),1,0)</f>
        <v>0</v>
      </c>
      <c r="CE35" s="418">
        <f t="array" ref="CE35">IF(AND($BT$35:$BT$37=$BT$35,$BU$35:$BU$37&lt;370,$BT$34&lt;&gt;$BT$35),1,0)</f>
        <v>0</v>
      </c>
      <c r="CF35" s="418">
        <f t="array" ref="CF35">IF(AND($BT$35:$BT$36=$BT$35,$BU$35:$BU$36&lt;370,$BT$35&lt;&gt;$BT$34,$BT$35&lt;&gt;$BT$37),1,0)</f>
        <v>0</v>
      </c>
      <c r="CG35" s="418">
        <f t="array" ref="CG35">IF(AND($BT$35&lt;&gt;$BT$34,$BT$35&lt;&gt;$BT$36),1,0)</f>
        <v>0</v>
      </c>
      <c r="CH35" s="418">
        <f t="array" ref="CH35">IF(AND($BT$35&lt;&gt;$BT$34,$BT$35&lt;&gt;$BT$36),1,0)</f>
        <v>0</v>
      </c>
      <c r="CI35" s="418">
        <f t="array" ref="CI35">IF(AND($BT$34:$BT$37=$BT$34,$BU$34:$BU$37&lt;370,$BV$34:$BV$35=$BV$34,$BV$35&lt;&gt;$BV$36),1,0)</f>
        <v>0</v>
      </c>
      <c r="CJ35" s="418">
        <f t="array" ref="CJ35">IF(AND($BT$34:$BT$37=$BT$34,$BU$34:$BU$37&lt;370,$BV$34:$BV$37=$BV$34,$BW$34=$BW$35,$BW$35&lt;&gt;$BW$36),1,0)</f>
        <v>0</v>
      </c>
      <c r="CK35" s="418">
        <f t="array" ref="CK35">IF(AND($BT$34:$BT$36=$BT$35,$BU$34:$BU$35&lt;370,$BU$36&gt;370),1,0)</f>
        <v>0</v>
      </c>
      <c r="CL35" s="418">
        <f t="array" ref="CL35">IF(AND($BT$35&lt;&gt;$BT$34,$BT$35:$BT$37=$BT$35,$BU$35&gt;370,$BU$36:$BU$37&lt;370),1,0)</f>
        <v>0</v>
      </c>
      <c r="CM35" s="418">
        <f t="array" ref="CM35">IF(AND($BT$35&lt;&gt;$BT$34,$BT$35:$BT$37=$BT$35,$BU$37&gt;370,$BU$35:$BU$36&lt;370),1,0)</f>
        <v>0</v>
      </c>
      <c r="CN35" s="418">
        <f t="array" ref="CN35">IF(AND($BT$35&lt;&gt;$BT$37,$BT$34:$BT$36=$BT$35,$BU$34&gt;370,$BU$35:$BU$36&lt;370),1,0)</f>
        <v>0</v>
      </c>
      <c r="CO35" s="418">
        <f t="array" ref="CO35">IF(AND($BT$34:$BT$37=$BT$35,$BU$35:$BU$37&lt;370,$BU$34&lt;&gt;$BU$35),1,0)</f>
        <v>0</v>
      </c>
      <c r="CP35" s="418">
        <f t="array" ref="CP35">IF(AND($BT$34:$BT$37=$BT$35,$BU$34:$BU$36&lt;370,$BU$35&lt;&gt;$BU$37),1,0)</f>
        <v>0</v>
      </c>
      <c r="CQ35" s="418">
        <f t="array" ref="CQ35">IF(AND($BT$34:$BT$37=$BT$35,$BU$34:$BU$35&gt;370,$BU$36:$BU$37&lt;370,$BV$34:$BV$37=$BV$35,$BW$34&gt;$BW$35,$BW$35&gt;$BW$36,$BW$35&gt;$BW$37),1,0)</f>
        <v>0</v>
      </c>
      <c r="CR35" s="418">
        <f t="array" ref="CR35">IF(AND($BT$34:$BT$37=$BT$35,$BU$34&gt;370,$BU$35:$BU$36&lt;370,$BU$37&gt;370,$BV$34:$BV$37=$BV$35,$BW$34&gt;$BW$35,$BW$35=$BW$36,$BW$35&gt;$BW$37),1,0)</f>
        <v>0</v>
      </c>
      <c r="CS35" s="418">
        <f t="array" ref="CS35">IF(AND($BT$34:$BT$37=$BT$35,$BU$34:$BU$35&lt;370,$BU$36:$BU$37&gt;370,$BV$34:$BV$37=$BV$35,$BW$34=$BW$35,$BW$35&gt;$BW$36,$BW$35&gt;$BW$37),1,0)</f>
        <v>0</v>
      </c>
      <c r="CT35" s="418">
        <f t="array" ref="CT35">IF(AND($BT$34:$BT$37=$BT$35,$BU$34:$BU$35&gt;370,$BU$36:$BU$37&lt;370,$BV$34:$BV$37=$BV$35,$BW$34&gt;$BW$35,$BW$35:$BW$37=$BW$35),1,0)</f>
        <v>0</v>
      </c>
      <c r="CU35" s="418">
        <f t="array" ref="CU35">IF(AND($BT$34:$BT$37=$BT$35,$BU$34:$BU$35&lt;370,$BU$36:$BU$37&gt;370,$BV$34:$BV$37=$BV$35,$BW$34:$BW$36=$BW$35,$BW$35&gt;$BW$37),1,0)</f>
        <v>0</v>
      </c>
      <c r="CV35" s="418">
        <f t="array" ref="CV35">IF(AND($BT$34:$BT$37=$BT$35,$BU$34&gt;370,$BU$37&gt;370,$BU$35:$BU$36&lt;370,$BV$34:$BV$37=$BV$35,$BW$34&gt;$BW$35:$BW$37,$BW$35:$BW$37=$BW$35),1,0)</f>
        <v>0</v>
      </c>
      <c r="CW35" s="418"/>
      <c r="CX35" s="418"/>
      <c r="CY35" s="14"/>
      <c r="CZ35" s="14"/>
      <c r="DA35" s="14"/>
      <c r="DB35" s="14"/>
      <c r="DC35" s="14"/>
      <c r="DD35" s="14"/>
      <c r="DE35" s="14"/>
      <c r="DF35" s="14"/>
      <c r="DG35" s="14"/>
      <c r="DH35" s="14"/>
      <c r="DI35" s="14"/>
      <c r="DJ35" s="14"/>
      <c r="DK35" s="14"/>
      <c r="DL35" s="14"/>
      <c r="DM35" s="14"/>
      <c r="DN35" s="475"/>
    </row>
    <row r="36" spans="1:118 12887:12887" x14ac:dyDescent="0.25">
      <c r="A36" s="74"/>
      <c r="B36" s="525"/>
      <c r="C36" s="298">
        <v>43278</v>
      </c>
      <c r="D36" s="299">
        <v>0.83333333333333337</v>
      </c>
      <c r="E36" s="300" t="s">
        <v>209</v>
      </c>
      <c r="F36" s="353" t="s">
        <v>175</v>
      </c>
      <c r="G36" s="252"/>
      <c r="H36" s="55">
        <v>1</v>
      </c>
      <c r="I36" s="55">
        <v>4</v>
      </c>
      <c r="J36" s="231"/>
      <c r="K36" s="377" t="s">
        <v>154</v>
      </c>
      <c r="L36" s="149">
        <f t="shared" si="1"/>
        <v>1</v>
      </c>
      <c r="M36" s="153"/>
      <c r="N36" s="40">
        <v>3</v>
      </c>
      <c r="O36" s="38" t="str">
        <f>VLOOKUP(N36,$AD$34:$AF$37,3,0)</f>
        <v>Serbia</v>
      </c>
      <c r="P36" s="39">
        <f>VLOOKUP(O36,AF34:AO37,2,FALSE)</f>
        <v>4</v>
      </c>
      <c r="Q36" s="37">
        <f>VLOOKUP(O36,AF34:AO37,3,FALSE)</f>
        <v>3</v>
      </c>
      <c r="R36" s="37">
        <f>VLOOKUP(O36,AF34:AO37,4,FALSE)</f>
        <v>1</v>
      </c>
      <c r="S36" s="37">
        <f>VLOOKUP(O36,AF34:AO37,5,FALSE)</f>
        <v>1</v>
      </c>
      <c r="T36" s="37">
        <f>VLOOKUP(O36,AF34:AO37,6,FALSE)</f>
        <v>1</v>
      </c>
      <c r="U36" s="37">
        <f>VLOOKUP(O36,AF34:AO37,7,FALSE)</f>
        <v>4</v>
      </c>
      <c r="V36" s="37">
        <f>VLOOKUP(O36,AF34:AO37,8,FALSE)</f>
        <v>6</v>
      </c>
      <c r="W36" s="45">
        <f>VLOOKUP(O36,AF34:AO37,9,FALSE)</f>
        <v>-2</v>
      </c>
      <c r="X36" s="28">
        <f t="shared" si="76"/>
        <v>20100000.019999981</v>
      </c>
      <c r="Y36" s="402" t="str">
        <f t="shared" si="77"/>
        <v/>
      </c>
      <c r="Z36" s="406"/>
      <c r="AA36" s="29"/>
      <c r="AB36" s="29"/>
      <c r="AC36" s="413">
        <f t="shared" si="78"/>
        <v>3980410999.96</v>
      </c>
      <c r="AD36" s="14">
        <f t="shared" si="79"/>
        <v>4</v>
      </c>
      <c r="AE36" s="434">
        <f>RANK(AO36,AO34:AO39)</f>
        <v>4</v>
      </c>
      <c r="AF36" s="412" t="s">
        <v>169</v>
      </c>
      <c r="AG36" s="418">
        <f t="shared" si="80"/>
        <v>0</v>
      </c>
      <c r="AH36" s="418">
        <f t="shared" si="81"/>
        <v>3</v>
      </c>
      <c r="AI36" s="418">
        <f t="array" ref="AI36">SUM((F$32:F$37=AF36)*(H$32:H$37&lt;&gt;"")*(I$32:I$37&lt;&gt;"")*(H$32:H$37&gt;I$32:I$37),(K$32:K$37=AF36)*(H$32:H$37&lt;&gt;"")*(I$32:I$37&lt;&gt;"")*(H$32:H$37&lt;I$32:I$37))</f>
        <v>0</v>
      </c>
      <c r="AJ36" s="418">
        <f t="array" ref="AJ36">SUM((F$32:F$37=AF36)*(H$32:H$37&lt;&gt;"")*(I$32:I$37&lt;&gt;"")*(H$32:H$37=I$32:I$37),(K$32:K$37=AF36)*(H$32:H$37&lt;&gt;"")*(I$32:I$37&lt;&gt;"")*(H$32:H$37=I$32:I$37))</f>
        <v>0</v>
      </c>
      <c r="AK36" s="418">
        <f t="array" ref="AK36">SUM((F$32:F$37=AF36)*(I$32:I$37&lt;&gt;"")*(H$32:H$37&lt;&gt;"")*(H$32:H$37&lt;I$32:I$37),(H$32:H$37&lt;&gt;"")*(K$32:K$37=AF36)*(I$32:I$37&lt;&gt;"")*(H$32:H$37&gt;I$32:I$37))</f>
        <v>3</v>
      </c>
      <c r="AL36" s="418">
        <f t="array" ref="AL36">SUMIFS($H$32:$H$37,$F$32:$F$37,AF36,$H$32:$H$37,"&lt;&gt;",$I$32:$I$37,"&lt;&gt;")+SUMIFS($I$32:$I$37,$K$32:$K$37,AF36,$H$32:$H$37,"&lt;&gt;",$I$32:$I$37,"&lt;&gt;")</f>
        <v>2</v>
      </c>
      <c r="AM36" s="418">
        <f t="array" ref="AM36">SUMIFS($H$32:$H$37,$K$32:$K$37,AF36,$H$32:$H$37,"&lt;&gt;",$I$32:$I$37,"&lt;&gt;")+SUMIFS($I$32:$I$37,$F$32:$F$37,AF36,$H$32:$H$37,"&lt;&gt;",$I$32:$I$37,"&lt;&gt;")</f>
        <v>7</v>
      </c>
      <c r="AN36" s="418">
        <f t="shared" si="82"/>
        <v>-5</v>
      </c>
      <c r="AO36" s="418">
        <f>IF(AH36=0,-($AT$13*VLOOKUP(AF36,Tabla3[[ZfP4b()8G6b·$55Ma-t·%fv-ttyZxR-.R*+Fd]:[N!"kvfjM.%&amp;gk5kfmfvv)/%;V$&amp;VW]],2,FALSE)),AG36*$AT$7+AN36*$AT$8+AL36*$AT$9+AX36-($AT$13*VLOOKUP(AF36,Tabla3[[ZfP4b()8G6b·$55Ma-t·%fv-ttyZxR-.R*+Fd]:[N!"kvfjM.%&amp;gk5kfmfvv)/%;V$&amp;VW]],2,FALSE)/100))</f>
        <v>-49789000.030000001</v>
      </c>
      <c r="AP36" s="435">
        <f>AE36</f>
        <v>4</v>
      </c>
      <c r="AQ36" s="14"/>
      <c r="AR36" s="14">
        <f t="shared" si="83"/>
        <v>-49789000.030000001</v>
      </c>
      <c r="AS36" s="14"/>
      <c r="AT36" s="14"/>
      <c r="AU36" s="14"/>
      <c r="AV36" s="438" t="str">
        <f>AF36</f>
        <v>Costa Rica</v>
      </c>
      <c r="AW36" s="418">
        <f>COUNTIF(AG34:AG37,AG36)</f>
        <v>1</v>
      </c>
      <c r="AX36" s="439">
        <f>(AY36*$AT$12)+(BE36*$AT$11)</f>
        <v>11000</v>
      </c>
      <c r="AY36" s="440">
        <f>RANK(AZ36,AZ34:AZ37,1)</f>
        <v>1</v>
      </c>
      <c r="AZ36" s="440">
        <f>SUM(IF(AND(AG36=AG37,AN36=AN37,AL36=AL37),BD36,0),IF(AND(AG36=AG34,AN36=AN34,AL36=AL34),BA36,0),IF(AND(AG36=AG35,AN36=AN35,AL36=AL35),BB36,0))</f>
        <v>0</v>
      </c>
      <c r="BA36" s="441">
        <f>I34</f>
        <v>0</v>
      </c>
      <c r="BB36" s="442">
        <f>I37</f>
        <v>1</v>
      </c>
      <c r="BC36" s="442">
        <v>0</v>
      </c>
      <c r="BD36" s="443">
        <f>H33</f>
        <v>1</v>
      </c>
      <c r="BE36" s="440">
        <f>RANK(BF36,BF34:BF37,1)</f>
        <v>1</v>
      </c>
      <c r="BF36" s="440">
        <f>SUM(IF(AND(AG36=AG37,AN36=AN37,AL36=AL37),BJ36,0),IF(AND(AG36=AG34,AN36=AN34,AL36=AL34),BG36,0),IF(AND(AG36=AG35,AN36=AN35,AL36=AL35),BH36,0))</f>
        <v>0</v>
      </c>
      <c r="BG36" s="441">
        <f>BA36-BC34</f>
        <v>-3</v>
      </c>
      <c r="BH36" s="442">
        <f>BB36-BC35</f>
        <v>-1</v>
      </c>
      <c r="BI36" s="442">
        <v>0</v>
      </c>
      <c r="BJ36" s="443">
        <f>BD36-BC37</f>
        <v>-1</v>
      </c>
      <c r="BK36" s="410"/>
      <c r="BL36" s="412">
        <f t="shared" si="84"/>
        <v>4</v>
      </c>
      <c r="BM36" s="412" t="s">
        <v>169</v>
      </c>
      <c r="BN36" s="412">
        <f>IF(AH36=0,-($AT$13*VLOOKUP(AF36,Tabla3[[ZfP4b()8G6b·$55Ma-t·%fv-ttyZxR-.R*+Fd]:[N!"kvfjM.%&amp;gk5kfmfvv)/%;V$&amp;VW]],2,FALSE)),AG36*$AT$7+AN36*$AT$8+AL36*$AT$9+AX36-($AT$13*VLOOKUP(AF36,Tabla3[[ZfP4b()8G6b·$55Ma-t·%fv-ttyZxR-.R*+Fd]:[N!"kvfjM.%&amp;gk5kfmfvv)/%;V$&amp;VW]],2,FALSE)/100))</f>
        <v>-49789000.030000001</v>
      </c>
      <c r="BO36" s="412" t="str">
        <f t="shared" si="85"/>
        <v>Serbia</v>
      </c>
      <c r="BP36" s="412">
        <f t="shared" si="86"/>
        <v>3980410999.96</v>
      </c>
      <c r="BQ36" s="410"/>
      <c r="BR36" s="412">
        <v>3</v>
      </c>
      <c r="BS36" s="412" t="str">
        <f t="shared" si="87"/>
        <v>Serbia</v>
      </c>
      <c r="BT36" s="412">
        <f t="shared" si="88"/>
        <v>4</v>
      </c>
      <c r="BU36" s="444">
        <f t="shared" si="89"/>
        <v>20100000.019999981</v>
      </c>
      <c r="BV36" s="412">
        <f t="shared" si="90"/>
        <v>-2</v>
      </c>
      <c r="BW36" s="412">
        <f t="shared" si="91"/>
        <v>4</v>
      </c>
      <c r="BX36" s="410">
        <f>IF($BY$34=$CA$33,$DC$5:$DC$8,IF($BY$34=$CB$33,$DD$5:$DD$7,IF(OR($BY$34=$CC$33,$BY$34=$CG$33),$DG$5:$DG$6,IF($BY$34=$CE$33,$DF$5:$DF$7,(IF($BY$34=$CF$33,$DH$5:$DH$6,$DK$5))))))</f>
        <v>3</v>
      </c>
      <c r="BY36" s="14"/>
      <c r="BZ36" s="14">
        <v>3</v>
      </c>
      <c r="CA36" s="418">
        <f t="array" ref="CA36">IF(AND($BT$34:$BT$37=$BT$36,$BU$34:$BU$37&lt;370,$AN$34:$AN$37=$AN$36,$BW$34:$BW$37=$BW$36),1,0)</f>
        <v>0</v>
      </c>
      <c r="CB36" s="418">
        <f t="array" ref="CB36">IF(AND($BT$34:$BT$36=$BT$36,$BU$34:$BU$36&lt;370,$BT$36&lt;&gt;$BT$37),1,0)</f>
        <v>0</v>
      </c>
      <c r="CC36" s="418">
        <f t="array" ref="CC36">IF(AND($BT$36:$BT$37=$BT$36,$BU$36:$BU$37&lt;370,$BT$36&lt;&gt;$BT$35),1,0)</f>
        <v>0</v>
      </c>
      <c r="CD36" s="418">
        <f t="array" ref="CD36">IF(OR(AND($BT$36&lt;&gt;$BT$35,$BT$36&lt;&gt;$BT$37),AND($BT$36&lt;&gt;$BT$35,$BT$36=$BT$37,$BU$36&gt;370,$BU$37&gt;370)),1,0)</f>
        <v>0</v>
      </c>
      <c r="CE36" s="418">
        <f t="array" ref="CE36">IF(AND($BT$35:$BT$37=$BT$35,$BU$35:$BU$37&lt;370,$BT$34&lt;&gt;$BT$36),1,0)</f>
        <v>0</v>
      </c>
      <c r="CF36" s="418">
        <f t="array" ref="CF36">IF(AND($BT$35:$BT$36=$BT$36,$BU$35:$BU$36&lt;370,$BT$36&lt;&gt;$BT$34,$BT$36&lt;&gt;$BT$37),1,0)</f>
        <v>0</v>
      </c>
      <c r="CG36" s="418">
        <f t="array" ref="CG36">IF(AND($BT$36:$BT$37=$BT$36,$BU$36:$BU$37&lt;370,$BT$36&lt;&gt;$BT$35),1,0)</f>
        <v>0</v>
      </c>
      <c r="CH36" s="418">
        <f t="array" ref="CH36">IF(AND($BT$36&lt;&gt;$BT$35,$BT$36&lt;&gt;$BT$37),1,0)</f>
        <v>0</v>
      </c>
      <c r="CI36" s="418">
        <f t="array" ref="CI36">IF(AND($BT$34:$BT$37=$BT$34,$BU$34:$BU$37&lt;370,$BV$36:$BV$37=$BV$36,$BV$35&lt;&gt;$BV$36),1,0)</f>
        <v>0</v>
      </c>
      <c r="CJ36" s="418">
        <f t="array" ref="CJ36">IF(AND($BT$34:$BT$37=$BT$34,$BU$34:$BU$37&lt;370,$BV$34:$BV$37=$BV$34,$BW$36=$BW$37,$BW$35&lt;&gt;$BW$36),1,0)</f>
        <v>0</v>
      </c>
      <c r="CK36" s="418">
        <f t="array" ref="CK36">IF(AND($BT$34:$BT$36=$BT$36,$BU$34:$BU$35&lt;370,$BU$36&gt;370),1,0)</f>
        <v>0</v>
      </c>
      <c r="CL36" s="418">
        <f t="array" ref="CL36">IF(AND($BT$35&lt;&gt;$BT$34,$BT$35:$BT$37=$BT$36,$BU$35&gt;370,$BU$36:$BU$37&lt;370),1,0)</f>
        <v>0</v>
      </c>
      <c r="CM36" s="418">
        <f t="array" ref="CM36">IF(AND($BT$35&lt;&gt;$BT$34,$BT$35:$BT$37=$BT$35,$BU$37&gt;370,$BU$35:$BU$36&lt;370),1,0)</f>
        <v>0</v>
      </c>
      <c r="CN36" s="418">
        <f t="array" ref="CN36">IF(AND($BT$36&lt;&gt;$BT$37,$BT$34:$BT$36=$BT$36,$BU$34&gt;370,$BU$35:$BU$36&lt;370),1,0)</f>
        <v>0</v>
      </c>
      <c r="CO36" s="418">
        <f t="array" ref="CO36">IF(AND($BT$34:$BT$37=$BT$35,$BU$35:$BU$37&lt;370,$BU$34&lt;&gt;$BU$36),1,0)</f>
        <v>0</v>
      </c>
      <c r="CP36" s="418">
        <f t="array" ref="CP36">IF(AND($BT$34:$BT$37=$BT$36,$BU$34:$BU$36&lt;370,$BU$36&lt;&gt;$BU$37),1,0)</f>
        <v>0</v>
      </c>
      <c r="CQ36" s="418">
        <f t="array" ref="CQ36">IF(AND($BT$34:$BT$37=$BT$36,$BU$34:$BU$35&gt;370,$BU$36:$BU$37&lt;370,$BV$34:$BV$37=$BV$36,$BW$34&gt;$BW$35,$BW$35&gt;$BW$36,$BW$36=$BW$37),1,0)</f>
        <v>0</v>
      </c>
      <c r="CR36" s="418">
        <f t="array" ref="CR36">IF(AND($BT$34:$BT$37=$BT$36,$BU$34&gt;370,$BU$35:$BU$36&lt;370,$BU$37&gt;370,$BV$34:$BV$37=$BV$36,$BW$34&gt;$BW$35,$BW$35=$BW$36,$BW$36&gt;$BW$37),1,0)</f>
        <v>0</v>
      </c>
      <c r="CS36" s="418">
        <f t="array" ref="CS36">IF(AND($BT$34:$BT$37=$BT$36,$BU$34:$BU$35&lt;370,$BU$36:$BU$37&gt;370,$BV$34:$BV$37=$BV$36,$BW$34=$BW$35,$BW$35&gt;$BW$36,$BW$36&gt;$BW$37),1,0)</f>
        <v>0</v>
      </c>
      <c r="CT36" s="418">
        <f t="array" ref="CT36">IF(AND($BT$34:$BT$37=$BT$36,$BU$34:$BU$35&gt;370,$BU$36:$BU$37&lt;370,$BV$34:$BV$37=$BV$35,$BW$34&gt;$BW$36,$BW$35:$BW$37=$BW$36),1,0)</f>
        <v>0</v>
      </c>
      <c r="CU36" s="418">
        <f t="array" ref="CU36">IF(AND($BT$34:$BT$37=$BT$36,$BU$34:$BU$35&lt;370,$BU$36:$BU$37&gt;370,$BV$34:$BV$37=$BV$36,$BW$34:$BW$36=$BW$36,$BW$36&gt;$BW$37),1,0)</f>
        <v>0</v>
      </c>
      <c r="CV36" s="418">
        <f t="array" ref="CV36">IF(AND($BT$34:$BT$37=$BT$36,$BU$34&gt;370,$BU$37&gt;370,$BU$35:$BU$36&lt;370,$BV$34:$BV$37=$BV$36,$BW$34&gt;$BW$35:$BW$37,$BW$35:$BW$37=$BW$36),1,0)</f>
        <v>0</v>
      </c>
      <c r="CW36" s="418"/>
      <c r="CX36" s="418"/>
      <c r="CY36" s="14"/>
      <c r="CZ36" s="14"/>
      <c r="DA36" s="14"/>
      <c r="DB36" s="14"/>
      <c r="DC36" s="14"/>
      <c r="DD36" s="14"/>
      <c r="DE36" s="14"/>
      <c r="DF36" s="14"/>
      <c r="DG36" s="14"/>
      <c r="DH36" s="14"/>
      <c r="DI36" s="14"/>
      <c r="DJ36" s="14"/>
      <c r="DK36" s="14"/>
      <c r="DL36" s="14"/>
      <c r="DM36" s="14"/>
      <c r="DN36" s="475"/>
    </row>
    <row r="37" spans="1:118 12887:12887" ht="15.75" thickBot="1" x14ac:dyDescent="0.3">
      <c r="A37" s="74"/>
      <c r="B37" s="526"/>
      <c r="C37" s="301">
        <v>43278</v>
      </c>
      <c r="D37" s="302">
        <v>0.83333333333333337</v>
      </c>
      <c r="E37" s="303" t="s">
        <v>210</v>
      </c>
      <c r="F37" s="354" t="s">
        <v>156</v>
      </c>
      <c r="G37" s="253"/>
      <c r="H37" s="55">
        <v>2</v>
      </c>
      <c r="I37" s="55">
        <v>1</v>
      </c>
      <c r="J37" s="232"/>
      <c r="K37" s="378" t="s">
        <v>169</v>
      </c>
      <c r="L37" s="149">
        <f t="shared" si="1"/>
        <v>1</v>
      </c>
      <c r="M37" s="153"/>
      <c r="N37" s="41">
        <v>4</v>
      </c>
      <c r="O37" s="42" t="str">
        <f>VLOOKUP(N37,$AD$34:$AF$37,3,0)</f>
        <v>Costa Rica</v>
      </c>
      <c r="P37" s="43">
        <f>VLOOKUP(O37,AF34:AO37,2,FALSE)</f>
        <v>0</v>
      </c>
      <c r="Q37" s="44">
        <f>VLOOKUP(O37,AF34:AO37,3,FALSE)</f>
        <v>3</v>
      </c>
      <c r="R37" s="44">
        <f>VLOOKUP(O37,AF34:AO37,4,FALSE)</f>
        <v>0</v>
      </c>
      <c r="S37" s="44">
        <f>VLOOKUP(O37,AF34:AO37,5,FALSE)</f>
        <v>0</v>
      </c>
      <c r="T37" s="44">
        <f>VLOOKUP(O37,AF34:AO37,6,FALSE)</f>
        <v>3</v>
      </c>
      <c r="U37" s="44">
        <f>VLOOKUP(O37,AF34:AO37,7,FALSE)</f>
        <v>2</v>
      </c>
      <c r="V37" s="44">
        <f>VLOOKUP(O37,AF34:AO37,8,FALSE)</f>
        <v>7</v>
      </c>
      <c r="W37" s="46">
        <f>VLOOKUP(O37,AF34:AO37,9,FALSE)</f>
        <v>-5</v>
      </c>
      <c r="X37" s="28">
        <f t="shared" si="76"/>
        <v>49789000.030000001</v>
      </c>
      <c r="Y37" s="402" t="str">
        <f t="shared" si="77"/>
        <v/>
      </c>
      <c r="Z37" s="406"/>
      <c r="AA37" s="29"/>
      <c r="AB37" s="29"/>
      <c r="AC37" s="413">
        <f t="shared" si="78"/>
        <v>-49789000.030000001</v>
      </c>
      <c r="AD37" s="14">
        <f t="shared" si="79"/>
        <v>3</v>
      </c>
      <c r="AE37" s="445">
        <f>RANK(AO37,AO34:AO39)</f>
        <v>3</v>
      </c>
      <c r="AF37" s="446" t="s">
        <v>175</v>
      </c>
      <c r="AG37" s="447">
        <f t="shared" si="80"/>
        <v>4</v>
      </c>
      <c r="AH37" s="447">
        <f t="shared" si="81"/>
        <v>3</v>
      </c>
      <c r="AI37" s="447">
        <f t="array" ref="AI37">SUM((F$32:F$37=AF37)*(H$32:H$37&lt;&gt;"")*(I$32:I$37&lt;&gt;"")*(H$32:H$37&gt;I$32:I$37),(K$32:K$37=AF37)*(H$32:H$37&lt;&gt;"")*(I$32:I$37&lt;&gt;"")*(H$32:H$37&lt;I$32:I$37))</f>
        <v>1</v>
      </c>
      <c r="AJ37" s="447">
        <f t="array" ref="AJ37">SUM((F$32:F$37=AF37)*(H$32:H$37&lt;&gt;"")*(I$32:I$37&lt;&gt;"")*(H$32:H$37=I$32:I$37),(K$32:K$37=AF37)*(H$32:H$37&lt;&gt;"")*(I$32:I$37&lt;&gt;"")*(H$32:H$37=I$32:I$37))</f>
        <v>1</v>
      </c>
      <c r="AK37" s="447">
        <f t="array" ref="AK37">SUM((F$32:F$37=AF37)*(I$32:I$37&lt;&gt;"")*(H$32:H$37&lt;&gt;"")*(H$32:H$37&lt;I$32:I$37),(H$32:H$37&lt;&gt;"")*(K$32:K$37=AF37)*(I$32:I$37&lt;&gt;"")*(H$32:H$37&gt;I$32:I$37))</f>
        <v>1</v>
      </c>
      <c r="AL37" s="448">
        <f t="array" ref="AL37">SUMIFS($H$32:$H$37,$F$32:$F$37,AF37,$H$32:$H$37,"&lt;&gt;",$I$32:$I$37,"&lt;&gt;")+SUMIFS($I$32:$I$37,$K$32:$K$37,AF37,$H$32:$H$37,"&lt;&gt;",$I$32:$I$37,"&lt;&gt;")</f>
        <v>4</v>
      </c>
      <c r="AM37" s="448">
        <f t="array" ref="AM37">SUMIFS($H$32:$H$37,$K$32:$K$37,AF37,$H$32:$H$37,"&lt;&gt;",$I$32:$I$37,"&lt;&gt;")+SUMIFS($I$32:$I$37,$F$32:$F$37,AF37,$H$32:$H$37,"&lt;&gt;",$I$32:$I$37,"&lt;&gt;")</f>
        <v>6</v>
      </c>
      <c r="AN37" s="447">
        <f t="shared" si="82"/>
        <v>-2</v>
      </c>
      <c r="AO37" s="447">
        <f>IF(AH37=0,-($AT$13*VLOOKUP(AF37,Tabla3[[ZfP4b()8G6b·$55Ma-t·%fv-ttyZxR-.R*+Fd]:[N!"kvfjM.%&amp;gk5kfmfvv)/%;V$&amp;VW]],2,FALSE)),AG37*$AT$7+AN37*$AT$8+AL37*$AT$9+AX37-($AT$13*VLOOKUP(AF37,Tabla3[[ZfP4b()8G6b·$55Ma-t·%fv-ttyZxR-.R*+Fd]:[N!"kvfjM.%&amp;gk5kfmfvv)/%;V$&amp;VW]],2,FALSE)/100))</f>
        <v>3980410999.96</v>
      </c>
      <c r="AP37" s="449">
        <f>AE37</f>
        <v>3</v>
      </c>
      <c r="AQ37" s="14"/>
      <c r="AR37" s="14">
        <f t="shared" si="83"/>
        <v>3980410999.96</v>
      </c>
      <c r="AS37" s="14"/>
      <c r="AT37" s="14"/>
      <c r="AU37" s="14"/>
      <c r="AV37" s="450" t="str">
        <f>AF37</f>
        <v>Serbia</v>
      </c>
      <c r="AW37" s="451">
        <f>COUNTIF(AG34:AG37,AG37)</f>
        <v>2</v>
      </c>
      <c r="AX37" s="452">
        <f>(AY37*$AT$12)+(BE37*$AT$11)</f>
        <v>11000</v>
      </c>
      <c r="AY37" s="453">
        <f>RANK(AZ37,AZ34:AZ37,1)</f>
        <v>1</v>
      </c>
      <c r="AZ37" s="453">
        <f>SUM(IF(AND(AG37=AG34,AN37=AN34,AL37=AL34),BA37,0),IF(AND(AG37=AG35,AN37=AN35,AL37=AL35),BB37,0),IF(AND(AG37=AG36,AN37=AN36,AL37=AL36),BC37,0))</f>
        <v>0</v>
      </c>
      <c r="BA37" s="454">
        <f>H36</f>
        <v>1</v>
      </c>
      <c r="BB37" s="455">
        <f>H35</f>
        <v>1</v>
      </c>
      <c r="BC37" s="455">
        <f>I33</f>
        <v>2</v>
      </c>
      <c r="BD37" s="456">
        <v>0</v>
      </c>
      <c r="BE37" s="453">
        <f>RANK(BF37,BF34:BF37,1)</f>
        <v>1</v>
      </c>
      <c r="BF37" s="453">
        <f>SUM(IF(AND(AG37=AG34,AN37=AN34,AL37=AL34),BG37,0),IF(AND(AG37=AG35,AN37=AN35,AL37=AL35),BH37,0),IF(AND(AG37=AG36,AN37=AN36,AL37=AL36),BI37,0))</f>
        <v>0</v>
      </c>
      <c r="BG37" s="454">
        <f>BA37-BD34</f>
        <v>-3</v>
      </c>
      <c r="BH37" s="455">
        <f>BB37-BD35</f>
        <v>0</v>
      </c>
      <c r="BI37" s="455">
        <f>BC37-BD36</f>
        <v>1</v>
      </c>
      <c r="BJ37" s="456">
        <v>0</v>
      </c>
      <c r="BK37" s="410"/>
      <c r="BL37" s="412">
        <f t="shared" si="84"/>
        <v>3</v>
      </c>
      <c r="BM37" s="412" t="s">
        <v>175</v>
      </c>
      <c r="BN37" s="412">
        <f>IF(AH37=0,-($AT$13*VLOOKUP(AF37,Tabla3[[ZfP4b()8G6b·$55Ma-t·%fv-ttyZxR-.R*+Fd]:[N!"kvfjM.%&amp;gk5kfmfvv)/%;V$&amp;VW]],2,FALSE)),AG37*$AT$7+AN37*$AT$8+AL37*$AT$9+AX37-($AT$13*VLOOKUP(AF37,Tabla3[[ZfP4b()8G6b·$55Ma-t·%fv-ttyZxR-.R*+Fd]:[N!"kvfjM.%&amp;gk5kfmfvv)/%;V$&amp;VW]],2,FALSE)/100))</f>
        <v>3980410999.96</v>
      </c>
      <c r="BO37" s="412" t="str">
        <f t="shared" si="85"/>
        <v>Costa Rica</v>
      </c>
      <c r="BP37" s="412">
        <f t="shared" si="86"/>
        <v>-49789000.030000001</v>
      </c>
      <c r="BQ37" s="410"/>
      <c r="BR37" s="412">
        <v>4</v>
      </c>
      <c r="BS37" s="412" t="str">
        <f t="shared" si="87"/>
        <v>Costa Rica</v>
      </c>
      <c r="BT37" s="412">
        <f t="shared" si="88"/>
        <v>0</v>
      </c>
      <c r="BU37" s="444">
        <f t="shared" si="89"/>
        <v>49789000.030000001</v>
      </c>
      <c r="BV37" s="412">
        <f t="shared" si="90"/>
        <v>-5</v>
      </c>
      <c r="BW37" s="412">
        <f t="shared" si="91"/>
        <v>2</v>
      </c>
      <c r="BX37" s="410">
        <f>IF($BY$34=$CA$33,$DC$5:$DC$8,IF(OR($BY$34=$CC$33,$BY$34=$CG$33),$DG$5:$DG$6,IF($BY$34=$CE$33,$DF$5:$DF$7,$DL$5)))</f>
        <v>4</v>
      </c>
      <c r="BY37" s="14"/>
      <c r="BZ37" s="14">
        <v>4</v>
      </c>
      <c r="CA37" s="418">
        <f t="array" ref="CA37">IF(AND($BT$34:$BT$37=$BT$37,$BU$34:$BU$37&lt;370,$AN$34:$AN$37=$AN$37,$BW$34:$BW$37=$BW$37),1,0)</f>
        <v>0</v>
      </c>
      <c r="CB37" s="418">
        <f t="array" ref="CB37">IF(AND($BT$34:$BT$36=$BT$34,$BU$34:$BU$36&lt;370,$BU$37&gt;370,$BT$34&lt;&gt;$BT$37),1,0)</f>
        <v>0</v>
      </c>
      <c r="CC37" s="418">
        <f t="array" ref="CC37">IF(AND($BT$36:$BT$37=$BT$36,$BU$36:$BU$37&lt;370,$BT$36&lt;&gt;$BT$35),1,0)</f>
        <v>0</v>
      </c>
      <c r="CD37" s="418">
        <f t="array" ref="CD37">IF(AND($BT$37&lt;&gt;$BT$35,$BT$37&lt;&gt;$BT$34),1,0)</f>
        <v>1</v>
      </c>
      <c r="CE37" s="418">
        <f t="array" ref="CE37">IF(AND($BT$35:$BT$37=$BT$35,$BU$35:$BU$37&lt;370,$BT$34&lt;&gt;$BT$37),1,0)</f>
        <v>0</v>
      </c>
      <c r="CF37" s="418">
        <f t="array" ref="CF37">IF(AND($BT$37&lt;&gt;$BT$35,$BT$37&lt;&gt;$BT$34),1,0)</f>
        <v>1</v>
      </c>
      <c r="CG37" s="418">
        <f t="array" ref="CG37">IF(AND($BT$36:$BT$37=$BT$36,$BU$36:$BU$37&lt;370,$BT$36&lt;&gt;$BT$35),1,0)</f>
        <v>0</v>
      </c>
      <c r="CH37" s="418">
        <f t="array" ref="CH37">IF(AND($BT$37&lt;&gt;$BT$35,$BT$37&lt;&gt;$BT$34),1,0)</f>
        <v>1</v>
      </c>
      <c r="CI37" s="418">
        <f t="array" ref="CI37">IF(AND($BT$34:$BT$37=$BT$34,$BU$34:$BU$37&lt;370,$BV$36:$BV$37=$BV$37,$BV$35&lt;&gt;$BV$37),1,0)</f>
        <v>0</v>
      </c>
      <c r="CJ37" s="418">
        <f t="array" ref="CJ37">IF(AND($BT$34:$BT$37=$BT$34,$BU$34:$BU$37&lt;370,$BV$34:$BV$37=$BV$34,$BW$36=$BW$37,$BW$35&lt;&gt;$BW$36),1,0)</f>
        <v>0</v>
      </c>
      <c r="CK37" s="418">
        <f t="array" ref="CK37">IF(AND($BT$34:$BT$36=$BT$34,$BU$34:$BU$35&lt;370,$BT$36&lt;&gt;$BT$37),1,0)</f>
        <v>0</v>
      </c>
      <c r="CL37" s="418">
        <f t="array" ref="CL37">IF(AND($BT$35&lt;&gt;$BT$34,$BT$35:$BT$37=$BT$36,$BU$35&gt;370,$BU$36:$BU$37&lt;370),1,0)</f>
        <v>0</v>
      </c>
      <c r="CM37" s="418">
        <f t="array" ref="CM37">IF(AND($BT$35&lt;&gt;$BT$34,$BT$35:$BT$37=$BT$35,$BU$37&gt;370,$BU$35:$BU$36&lt;370),1,0)</f>
        <v>0</v>
      </c>
      <c r="CN37" s="418">
        <f t="array" ref="CN37">IF(AND($BT$37&lt;&gt;$BT$35,$BT$37&lt;&gt;$BT$36),1,0)</f>
        <v>1</v>
      </c>
      <c r="CO37" s="418">
        <f t="array" ref="CO37">IF(AND($BT$34:$BT$37=$BT$35,$BU$35:$BU$37&lt;370,$BU$34&lt;&gt;$BU$37),1,0)</f>
        <v>0</v>
      </c>
      <c r="CP37" s="418">
        <f t="array" ref="CP37">IF(AND($BT$34:$BT$37=$BT$34,$BU$34:$BU$36&lt;370,$BU$36&lt;&gt;$BU$37),1,0)</f>
        <v>0</v>
      </c>
      <c r="CQ37" s="418">
        <f t="array" ref="CQ37">IF(AND($BT$34:$BT$37=$BT$37,$BU$34:$BU$35&gt;370,$BU$36:$BU$37&lt;370,$BV$34:$BV$37=$BV$37,$BW$34&gt;$BW$35,$BW$35&gt;$BW$37,$BW$36=$BW$37),1,0)</f>
        <v>0</v>
      </c>
      <c r="CR37" s="418">
        <f t="array" ref="CR37">IF(AND($BT$34:$BT$37=$BT$35,$BU$34&gt;370,$BU$35:$BU$36&lt;370,$BU$37&gt;370,$BV$34:$BV$37=$BV$37,$BW$34&gt;$BW$37,$BW$35=$BW$36,$BW$35&gt;$BW$37),1,0)</f>
        <v>0</v>
      </c>
      <c r="CS37" s="418">
        <f t="array" ref="CS37">IF(AND($BT$34:$BT$37=$BT$37,$BU$34:$BU$35&lt;370,$BU$36:$BU$37&gt;370,$BV$34:$BV$37=$BV$37,$BW$34=$BW$35,$BW$35&gt;$BW$36,$BW$36&gt;$BW$37),1,0)</f>
        <v>0</v>
      </c>
      <c r="CT37" s="418">
        <f t="array" ref="CT37">IF(AND($BT$34:$BT$37=$BT$37,$BU$34:$BU$35&gt;370,$BU$36:$BU$37&lt;370,$BV$34:$BV$37=$BV$37,$BW$34&gt;$BW$37,$BW$35:$BW$37=$BW$37),1,0)</f>
        <v>0</v>
      </c>
      <c r="CU37" s="418">
        <f t="array" ref="CU37">IF(AND($BT$34:$BT$37=$BT$37,$BU$34:$BU$35&lt;370,$BU$36:$BU$37&gt;370,$BV$34:$BV$37=$BV$37,$BW$34:$BW$36=$BW$36,$BW$34:$BW$36&gt;$BW$37),1,0)</f>
        <v>0</v>
      </c>
      <c r="CV37" s="418">
        <f t="array" ref="CV37">IF(AND($BT$34:$BT$37=$BT$37,$BU$34&gt;370,$BU$37&gt;370,$BU$35:$BU$36&lt;370,$BV$34:$BV$37=$BV$37,$BW$34&gt;$BW$35:$BW$37,$BW$35:$BW$37=$BW$37),1,0)</f>
        <v>0</v>
      </c>
      <c r="CW37" s="418"/>
      <c r="CX37" s="418"/>
      <c r="CY37" s="14"/>
      <c r="CZ37" s="14"/>
      <c r="DA37" s="14"/>
      <c r="DB37" s="14"/>
      <c r="DC37" s="14"/>
      <c r="DD37" s="14"/>
      <c r="DE37" s="14"/>
      <c r="DF37" s="14"/>
      <c r="DG37" s="14"/>
      <c r="DH37" s="14"/>
      <c r="DI37" s="14"/>
      <c r="DJ37" s="14"/>
      <c r="DK37" s="14"/>
      <c r="DL37" s="14"/>
      <c r="DM37" s="14"/>
      <c r="DN37" s="475"/>
    </row>
    <row r="38" spans="1:118 12887:12887" ht="7.5" customHeight="1" thickBot="1" x14ac:dyDescent="0.3">
      <c r="A38" s="74"/>
      <c r="B38" s="75"/>
      <c r="C38" s="266"/>
      <c r="D38" s="267"/>
      <c r="E38" s="76"/>
      <c r="F38" s="78"/>
      <c r="G38" s="79"/>
      <c r="H38" s="80"/>
      <c r="I38" s="80"/>
      <c r="J38" s="81"/>
      <c r="K38" s="82"/>
      <c r="L38" s="149"/>
      <c r="M38" s="79"/>
      <c r="N38" s="26"/>
      <c r="O38" s="25"/>
      <c r="P38" s="54"/>
      <c r="Q38" s="26"/>
      <c r="R38" s="26"/>
      <c r="S38" s="26"/>
      <c r="T38" s="26"/>
      <c r="U38" s="26"/>
      <c r="V38" s="26"/>
      <c r="W38" s="26"/>
      <c r="X38" s="28"/>
      <c r="Y38" s="28"/>
      <c r="Z38" s="28"/>
      <c r="AA38" s="28"/>
      <c r="AB38" s="28"/>
      <c r="AC38" s="413"/>
      <c r="AD38" s="14"/>
      <c r="AE38" s="457"/>
      <c r="AF38" s="410"/>
      <c r="AG38" s="457"/>
      <c r="AH38" s="458"/>
      <c r="AI38" s="457"/>
      <c r="AJ38" s="457"/>
      <c r="AK38" s="457"/>
      <c r="AL38" s="458"/>
      <c r="AM38" s="458"/>
      <c r="AN38" s="457"/>
      <c r="AO38" s="457"/>
      <c r="AP38" s="457"/>
      <c r="AQ38" s="14"/>
      <c r="AR38" s="14"/>
      <c r="AS38" s="14"/>
      <c r="AT38" s="14"/>
      <c r="AU38" s="14"/>
      <c r="AV38" s="459"/>
      <c r="AW38" s="457"/>
      <c r="AX38" s="457"/>
      <c r="AY38" s="460"/>
      <c r="AZ38" s="461"/>
      <c r="BA38" s="461"/>
      <c r="BB38" s="461"/>
      <c r="BC38" s="461"/>
      <c r="BD38" s="462"/>
      <c r="BE38" s="460"/>
      <c r="BF38" s="461"/>
      <c r="BG38" s="461"/>
      <c r="BH38" s="461"/>
      <c r="BI38" s="461"/>
      <c r="BJ38" s="462"/>
      <c r="BK38" s="410"/>
      <c r="BL38" s="410"/>
      <c r="BM38" s="410"/>
      <c r="BN38" s="410"/>
      <c r="BO38" s="410"/>
      <c r="BP38" s="410"/>
      <c r="BQ38" s="410"/>
      <c r="BR38" s="410"/>
      <c r="BS38" s="410"/>
      <c r="BT38" s="410"/>
      <c r="BU38" s="468"/>
      <c r="BV38" s="410"/>
      <c r="BW38" s="410"/>
      <c r="BX38" s="410"/>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475"/>
    </row>
    <row r="39" spans="1:118 12887:12887" ht="15.75" customHeight="1" thickBot="1" x14ac:dyDescent="0.3">
      <c r="A39" s="74"/>
      <c r="B39" s="527" t="s">
        <v>5</v>
      </c>
      <c r="C39" s="304">
        <v>43268</v>
      </c>
      <c r="D39" s="305">
        <v>0.70833333333333337</v>
      </c>
      <c r="E39" s="306" t="s">
        <v>206</v>
      </c>
      <c r="F39" s="355" t="s">
        <v>148</v>
      </c>
      <c r="G39" s="233"/>
      <c r="H39" s="56">
        <v>3</v>
      </c>
      <c r="I39" s="56">
        <v>1</v>
      </c>
      <c r="J39" s="233"/>
      <c r="K39" s="379" t="s">
        <v>159</v>
      </c>
      <c r="L39" s="149">
        <f t="shared" si="1"/>
        <v>1</v>
      </c>
      <c r="M39" s="79"/>
      <c r="N39" s="186" t="s">
        <v>28</v>
      </c>
      <c r="O39" s="187"/>
      <c r="P39" s="187"/>
      <c r="Q39" s="187"/>
      <c r="R39" s="187"/>
      <c r="S39" s="187"/>
      <c r="T39" s="187"/>
      <c r="U39" s="187"/>
      <c r="V39" s="187"/>
      <c r="W39" s="188"/>
      <c r="X39" s="28"/>
      <c r="Y39" s="567" t="s">
        <v>218</v>
      </c>
      <c r="Z39" s="567"/>
      <c r="AA39" s="567"/>
      <c r="AB39" s="28"/>
      <c r="AC39" s="413"/>
      <c r="AD39" s="14"/>
      <c r="AE39" s="414" t="s">
        <v>34</v>
      </c>
      <c r="AF39" s="463"/>
      <c r="AG39" s="14"/>
      <c r="AH39" s="457"/>
      <c r="AI39" s="14"/>
      <c r="AJ39" s="14"/>
      <c r="AK39" s="14"/>
      <c r="AL39" s="14"/>
      <c r="AM39" s="14"/>
      <c r="AN39" s="14"/>
      <c r="AO39" s="14"/>
      <c r="AP39" s="415"/>
      <c r="AQ39" s="14"/>
      <c r="AR39" s="14"/>
      <c r="AS39" s="14"/>
      <c r="AT39" s="14"/>
      <c r="AU39" s="14"/>
      <c r="AV39" s="416" t="str">
        <f>CONCATENATE(N39," - GOLAVERAGE")</f>
        <v>Grupo F - GOLAVERAGE</v>
      </c>
      <c r="AW39" s="417"/>
      <c r="AX39" s="417"/>
      <c r="AY39" s="508" t="s">
        <v>49</v>
      </c>
      <c r="AZ39" s="509"/>
      <c r="BA39" s="509"/>
      <c r="BB39" s="509"/>
      <c r="BC39" s="509"/>
      <c r="BD39" s="510"/>
      <c r="BE39" s="508" t="s">
        <v>48</v>
      </c>
      <c r="BF39" s="509"/>
      <c r="BG39" s="509"/>
      <c r="BH39" s="509"/>
      <c r="BI39" s="509"/>
      <c r="BJ39" s="510"/>
      <c r="BK39" s="410"/>
      <c r="BL39" s="410"/>
      <c r="BM39" s="463"/>
      <c r="BN39" s="410"/>
      <c r="BO39" s="410"/>
      <c r="BP39" s="410"/>
      <c r="BQ39" s="410"/>
      <c r="BR39" s="410"/>
      <c r="BS39" s="410"/>
      <c r="BT39" s="410"/>
      <c r="BU39" s="468"/>
      <c r="BV39" s="410"/>
      <c r="BW39" s="410"/>
      <c r="BX39" s="410"/>
      <c r="BY39" s="14"/>
      <c r="BZ39" s="14" t="s">
        <v>216</v>
      </c>
      <c r="CA39" s="418">
        <f>SUM(CA41:CA44)</f>
        <v>0</v>
      </c>
      <c r="CB39" s="418">
        <f t="shared" ref="CB39:CX39" si="92">SUM(CB41:CB44)</f>
        <v>0</v>
      </c>
      <c r="CC39" s="418">
        <f t="shared" si="92"/>
        <v>0</v>
      </c>
      <c r="CD39" s="418">
        <f t="shared" si="92"/>
        <v>2</v>
      </c>
      <c r="CE39" s="418">
        <f t="shared" si="92"/>
        <v>0</v>
      </c>
      <c r="CF39" s="418">
        <f t="shared" si="92"/>
        <v>2</v>
      </c>
      <c r="CG39" s="418">
        <f t="shared" si="92"/>
        <v>2</v>
      </c>
      <c r="CH39" s="418">
        <f t="shared" si="92"/>
        <v>3</v>
      </c>
      <c r="CI39" s="418">
        <f t="shared" si="92"/>
        <v>0</v>
      </c>
      <c r="CJ39" s="418">
        <f t="shared" si="92"/>
        <v>0</v>
      </c>
      <c r="CK39" s="418">
        <f t="shared" si="92"/>
        <v>0</v>
      </c>
      <c r="CL39" s="418">
        <f t="shared" si="92"/>
        <v>1</v>
      </c>
      <c r="CM39" s="418">
        <f t="shared" si="92"/>
        <v>1</v>
      </c>
      <c r="CN39" s="418">
        <f t="shared" si="92"/>
        <v>0</v>
      </c>
      <c r="CO39" s="418">
        <f t="shared" si="92"/>
        <v>0</v>
      </c>
      <c r="CP39" s="418">
        <f t="shared" si="92"/>
        <v>0</v>
      </c>
      <c r="CQ39" s="418">
        <f t="shared" si="92"/>
        <v>0</v>
      </c>
      <c r="CR39" s="418">
        <f t="shared" si="92"/>
        <v>0</v>
      </c>
      <c r="CS39" s="418">
        <f t="shared" si="92"/>
        <v>0</v>
      </c>
      <c r="CT39" s="418">
        <f t="shared" si="92"/>
        <v>0</v>
      </c>
      <c r="CU39" s="418">
        <f t="shared" si="92"/>
        <v>0</v>
      </c>
      <c r="CV39" s="418">
        <f t="shared" si="92"/>
        <v>0</v>
      </c>
      <c r="CW39" s="418">
        <f t="shared" si="92"/>
        <v>0</v>
      </c>
      <c r="CX39" s="418">
        <f t="shared" si="92"/>
        <v>0</v>
      </c>
      <c r="CY39" s="14"/>
      <c r="CZ39" s="14"/>
      <c r="DA39" s="14"/>
      <c r="DB39" s="14"/>
      <c r="DC39" s="14"/>
      <c r="DD39" s="14"/>
      <c r="DE39" s="14"/>
      <c r="DF39" s="14"/>
      <c r="DG39" s="14"/>
      <c r="DH39" s="14"/>
      <c r="DI39" s="14"/>
      <c r="DJ39" s="14"/>
      <c r="DK39" s="14"/>
      <c r="DL39" s="14"/>
      <c r="DM39" s="14"/>
      <c r="DN39" s="475"/>
    </row>
    <row r="40" spans="1:118 12887:12887" x14ac:dyDescent="0.25">
      <c r="A40" s="74"/>
      <c r="B40" s="528"/>
      <c r="C40" s="307">
        <v>43269</v>
      </c>
      <c r="D40" s="308">
        <v>0.58333333333333337</v>
      </c>
      <c r="E40" s="309" t="s">
        <v>210</v>
      </c>
      <c r="F40" s="356" t="s">
        <v>167</v>
      </c>
      <c r="G40" s="234"/>
      <c r="H40" s="56">
        <v>1</v>
      </c>
      <c r="I40" s="56">
        <v>1</v>
      </c>
      <c r="J40" s="234"/>
      <c r="K40" s="380" t="s">
        <v>177</v>
      </c>
      <c r="L40" s="149">
        <f t="shared" si="1"/>
        <v>1</v>
      </c>
      <c r="M40" s="79"/>
      <c r="N40" s="189" t="s">
        <v>26</v>
      </c>
      <c r="O40" s="190" t="s">
        <v>6</v>
      </c>
      <c r="P40" s="191" t="s">
        <v>12</v>
      </c>
      <c r="Q40" s="191" t="s">
        <v>7</v>
      </c>
      <c r="R40" s="191" t="s">
        <v>8</v>
      </c>
      <c r="S40" s="191" t="s">
        <v>4</v>
      </c>
      <c r="T40" s="191" t="s">
        <v>9</v>
      </c>
      <c r="U40" s="191" t="s">
        <v>10</v>
      </c>
      <c r="V40" s="191" t="s">
        <v>11</v>
      </c>
      <c r="W40" s="192" t="s">
        <v>14</v>
      </c>
      <c r="X40" s="403">
        <f>COUNTIF(X41:X44,"&lt;100")</f>
        <v>0</v>
      </c>
      <c r="Y40" s="567"/>
      <c r="Z40" s="567"/>
      <c r="AA40" s="567"/>
      <c r="AB40" s="29"/>
      <c r="AC40" s="413"/>
      <c r="AD40" s="419"/>
      <c r="AE40" s="420" t="s">
        <v>16</v>
      </c>
      <c r="AF40" s="467" t="s">
        <v>6</v>
      </c>
      <c r="AG40" s="421" t="s">
        <v>17</v>
      </c>
      <c r="AH40" s="421" t="s">
        <v>7</v>
      </c>
      <c r="AI40" s="421" t="s">
        <v>8</v>
      </c>
      <c r="AJ40" s="421" t="s">
        <v>4</v>
      </c>
      <c r="AK40" s="421" t="s">
        <v>9</v>
      </c>
      <c r="AL40" s="421" t="s">
        <v>10</v>
      </c>
      <c r="AM40" s="421" t="s">
        <v>11</v>
      </c>
      <c r="AN40" s="421" t="s">
        <v>14</v>
      </c>
      <c r="AO40" s="421" t="s">
        <v>18</v>
      </c>
      <c r="AP40" s="422" t="s">
        <v>16</v>
      </c>
      <c r="AQ40" s="14"/>
      <c r="AR40" s="14"/>
      <c r="AS40" s="14"/>
      <c r="AT40" s="14"/>
      <c r="AU40" s="14"/>
      <c r="AV40" s="425" t="s">
        <v>6</v>
      </c>
      <c r="AW40" s="426" t="s">
        <v>50</v>
      </c>
      <c r="AX40" s="427" t="s">
        <v>53</v>
      </c>
      <c r="AY40" s="428" t="s">
        <v>52</v>
      </c>
      <c r="AZ40" s="426" t="s">
        <v>47</v>
      </c>
      <c r="BA40" s="429" t="str">
        <f>AV41</f>
        <v>Alemania</v>
      </c>
      <c r="BB40" s="430" t="str">
        <f>AV42</f>
        <v>México</v>
      </c>
      <c r="BC40" s="430" t="str">
        <f>AV43</f>
        <v>Suecia</v>
      </c>
      <c r="BD40" s="431" t="str">
        <f>AV44</f>
        <v>Rep. de Corea</v>
      </c>
      <c r="BE40" s="426" t="s">
        <v>52</v>
      </c>
      <c r="BF40" s="426" t="s">
        <v>47</v>
      </c>
      <c r="BG40" s="429" t="str">
        <f>BA40</f>
        <v>Alemania</v>
      </c>
      <c r="BH40" s="430" t="str">
        <f t="shared" ref="BH40" si="93">BB40</f>
        <v>México</v>
      </c>
      <c r="BI40" s="430" t="str">
        <f t="shared" ref="BI40" si="94">BC40</f>
        <v>Suecia</v>
      </c>
      <c r="BJ40" s="431" t="str">
        <f t="shared" ref="BJ40" si="95">BD40</f>
        <v>Rep. de Corea</v>
      </c>
      <c r="BK40" s="410"/>
      <c r="BL40" s="432"/>
      <c r="BM40" s="432" t="s">
        <v>184</v>
      </c>
      <c r="BN40" s="432"/>
      <c r="BO40" s="432" t="s">
        <v>185</v>
      </c>
      <c r="BP40" s="432"/>
      <c r="BQ40" s="410"/>
      <c r="BR40" s="433"/>
      <c r="BS40" s="433" t="s">
        <v>6</v>
      </c>
      <c r="BT40" s="433" t="s">
        <v>17</v>
      </c>
      <c r="BU40" s="469" t="s">
        <v>204</v>
      </c>
      <c r="BV40" s="433" t="s">
        <v>14</v>
      </c>
      <c r="BW40" s="433" t="s">
        <v>205</v>
      </c>
      <c r="BX40" s="410"/>
      <c r="BY40" s="14"/>
      <c r="BZ40" s="14" t="s">
        <v>217</v>
      </c>
      <c r="CA40" s="418" t="s">
        <v>188</v>
      </c>
      <c r="CB40" s="418" t="s">
        <v>197</v>
      </c>
      <c r="CC40" s="418" t="s">
        <v>198</v>
      </c>
      <c r="CD40" s="418" t="s">
        <v>199</v>
      </c>
      <c r="CE40" s="418" t="s">
        <v>200</v>
      </c>
      <c r="CF40" s="418" t="s">
        <v>201</v>
      </c>
      <c r="CG40" s="418" t="s">
        <v>202</v>
      </c>
      <c r="CH40" s="418" t="s">
        <v>203</v>
      </c>
      <c r="CI40" s="418" t="s">
        <v>198</v>
      </c>
      <c r="CJ40" s="418" t="s">
        <v>198</v>
      </c>
      <c r="CK40" s="418" t="s">
        <v>199</v>
      </c>
      <c r="CL40" s="418" t="s">
        <v>202</v>
      </c>
      <c r="CM40" s="418" t="s">
        <v>201</v>
      </c>
      <c r="CN40" s="418" t="s">
        <v>201</v>
      </c>
      <c r="CO40" s="418" t="s">
        <v>200</v>
      </c>
      <c r="CP40" s="418" t="s">
        <v>197</v>
      </c>
      <c r="CQ40" s="418" t="s">
        <v>202</v>
      </c>
      <c r="CR40" s="418" t="s">
        <v>201</v>
      </c>
      <c r="CS40" s="418" t="s">
        <v>199</v>
      </c>
      <c r="CT40" s="418" t="s">
        <v>202</v>
      </c>
      <c r="CU40" s="418" t="s">
        <v>199</v>
      </c>
      <c r="CV40" s="418" t="s">
        <v>201</v>
      </c>
      <c r="CW40" s="418"/>
      <c r="CX40" s="418"/>
      <c r="CY40" s="14"/>
      <c r="CZ40" s="14"/>
      <c r="DA40" s="14"/>
      <c r="DB40" s="14"/>
      <c r="DC40" s="14"/>
      <c r="DD40" s="14"/>
      <c r="DE40" s="14"/>
      <c r="DF40" s="14"/>
      <c r="DG40" s="14"/>
      <c r="DH40" s="14"/>
      <c r="DI40" s="14"/>
      <c r="DJ40" s="14"/>
      <c r="DK40" s="14"/>
      <c r="DL40" s="14"/>
      <c r="DM40" s="14"/>
      <c r="DN40" s="475"/>
    </row>
    <row r="41" spans="1:118 12887:12887" x14ac:dyDescent="0.25">
      <c r="A41" s="74"/>
      <c r="B41" s="528"/>
      <c r="C41" s="307">
        <v>43274</v>
      </c>
      <c r="D41" s="308">
        <v>0.70833333333333337</v>
      </c>
      <c r="E41" s="309" t="s">
        <v>207</v>
      </c>
      <c r="F41" s="356" t="s">
        <v>148</v>
      </c>
      <c r="G41" s="234"/>
      <c r="H41" s="56">
        <v>2</v>
      </c>
      <c r="I41" s="56">
        <v>1</v>
      </c>
      <c r="J41" s="234"/>
      <c r="K41" s="380" t="s">
        <v>167</v>
      </c>
      <c r="L41" s="149">
        <f t="shared" si="1"/>
        <v>1</v>
      </c>
      <c r="M41" s="79"/>
      <c r="N41" s="193">
        <v>1</v>
      </c>
      <c r="O41" s="194" t="str">
        <f>VLOOKUP(N41,$AD$41:$AF$44,3,0)</f>
        <v>Alemania</v>
      </c>
      <c r="P41" s="194">
        <f>VLOOKUP(O41,AF41:AO44,2,FALSE)</f>
        <v>9</v>
      </c>
      <c r="Q41" s="194">
        <f>VLOOKUP(O41,AF41:AO44,3,FALSE)</f>
        <v>3</v>
      </c>
      <c r="R41" s="194">
        <f>VLOOKUP(O41,AF41:AO44,4,FALSE)</f>
        <v>3</v>
      </c>
      <c r="S41" s="194">
        <f>VLOOKUP(O41,AF41:AO44,5,FALSE)</f>
        <v>0</v>
      </c>
      <c r="T41" s="194">
        <f>VLOOKUP(O41,AF41:AO44,6,FALSE)</f>
        <v>0</v>
      </c>
      <c r="U41" s="194">
        <f>VLOOKUP(O41,AF41:AO44,7,FALSE)</f>
        <v>9</v>
      </c>
      <c r="V41" s="194">
        <f>VLOOKUP(O41,AF41:AO44,8,FALSE)</f>
        <v>2</v>
      </c>
      <c r="W41" s="195">
        <f>VLOOKUP(O41,AF41:AO44,9,FALSE)</f>
        <v>7</v>
      </c>
      <c r="X41" s="28">
        <f>IF(SUM($AH$41:$AH$44)=12,MIN(ABS(BP40-BP41),ABS(BP41-BP42)),100)</f>
        <v>3050200000.0100002</v>
      </c>
      <c r="Y41" s="402" t="str">
        <f>IF(AND(X41&gt;=0,X41&lt;90),VLOOKUP(N41,$BL$41:$BM$44,2,0),"")</f>
        <v/>
      </c>
      <c r="Z41" s="406"/>
      <c r="AA41" s="29"/>
      <c r="AB41" s="29"/>
      <c r="AC41" s="413">
        <f>VLOOKUP(O41,$AF$41:$AO$44,10,FALSE)</f>
        <v>9070910999.9899998</v>
      </c>
      <c r="AD41" s="14">
        <f>RANK(AR41,$AR$41:$AR$44)</f>
        <v>1</v>
      </c>
      <c r="AE41" s="434">
        <f>RANK(AO41,AO41:AO44)</f>
        <v>1</v>
      </c>
      <c r="AF41" s="412" t="s">
        <v>148</v>
      </c>
      <c r="AG41" s="418">
        <f>AI41*3+AJ41*1+AK41*0</f>
        <v>9</v>
      </c>
      <c r="AH41" s="418">
        <f>COUNTIFS($F$39:$F$44,AF41,$H$39:$H$44,"&lt;&gt;",$I$39:$I$44,"&lt;&gt;")+COUNTIFS($K$39:$K$44,AF41,$I$39:$I$44,"&lt;&gt;",$H$39:$H$44,"&lt;&gt;")</f>
        <v>3</v>
      </c>
      <c r="AI41" s="418">
        <f t="array" ref="AI41">SUM((F$39:F$44=AF41)*(H$39:H$44&lt;&gt;"")*(I$39:I$44&lt;&gt;"")*(H$39:H$44&gt;I$39:I$44),(K$39:K$44=AF41)*(H$39:H$44&lt;&gt;"")*(I$39:I$44&lt;&gt;"")*(H$39:H$44&lt;I$39:I$44))</f>
        <v>3</v>
      </c>
      <c r="AJ41" s="418">
        <f t="array" ref="AJ41">SUM((F$39:F$44=AF41)*(H$39:H$44&lt;&gt;"")*(I$39:I$44&lt;&gt;"")*(H$39:H$44=I$39:I$44),(K$39:K$44=AF41)*(H$39:H$44&lt;&gt;"")*(I$39:I$44&lt;&gt;"")*(H$39:H$44=I$39:I$44))</f>
        <v>0</v>
      </c>
      <c r="AK41" s="418">
        <f t="array" ref="AK41">SUM((F$39:F$44=AF41)*(I$39:I$44&lt;&gt;"")*(H$39:H$44&lt;&gt;"")*(H$39:H$44&lt;I$39:I$44),(H$39:H$44&lt;&gt;"")*(K$39:K$44=AF41)*(I$39:I$44&lt;&gt;"")*(H$39:H$44&gt;I$39:I$44))</f>
        <v>0</v>
      </c>
      <c r="AL41" s="418">
        <f t="array" ref="AL41">SUMIFS($H$39:$H$44,$F$39:$F$44,AF41,$H$39:$H$44,"&lt;&gt;",$I$39:$I$44,"&lt;&gt;")+SUMIFS($I$39:$I$44,$K$39:$K$44,AF41,$H$39:$H$44,"&lt;&gt;",$I$39:$I$44,"&lt;&gt;")</f>
        <v>9</v>
      </c>
      <c r="AM41" s="418">
        <f t="array" ref="AM41">SUMIFS($H$39:$H$44,$K$39:$K$44,AF41,$H$39:$H$44,"&lt;&gt;",$I$39:$I$44,"&lt;&gt;")+SUMIFS($I$39:$I$44,$F$39:$F$44,AF41,$H$39:$H$44,"&lt;&gt;",$I$39:$I$44,"&lt;&gt;")</f>
        <v>2</v>
      </c>
      <c r="AN41" s="418">
        <f>AL41-AM41</f>
        <v>7</v>
      </c>
      <c r="AO41" s="418">
        <f>IF(AH41=0,-($AT$13*VLOOKUP(AF41,Tabla3[[ZfP4b()8G6b·$55Ma-t·%fv-ttyZxR-.R*+Fd]:[N!"kvfjM.%&amp;gk5kfmfvv)/%;V$&amp;VW]],2,FALSE)),AG41*$AT$7+AN41*$AT$8+AL41*$AT$9+AX41-($AT$13*VLOOKUP(AF41,Tabla3[[ZfP4b()8G6b·$55Ma-t·%fv-ttyZxR-.R*+Fd]:[N!"kvfjM.%&amp;gk5kfmfvv)/%;V$&amp;VW]],2,FALSE)/100))</f>
        <v>9070910999.9899998</v>
      </c>
      <c r="AP41" s="435">
        <f>AE41</f>
        <v>1</v>
      </c>
      <c r="AQ41" s="14"/>
      <c r="AR41" s="14">
        <f>IFERROR(AO41-VLOOKUP(AF41,$Y$41:$Z$44,2,0),AO41)</f>
        <v>9070910999.9899998</v>
      </c>
      <c r="AS41" s="14"/>
      <c r="AT41" s="14"/>
      <c r="AU41" s="14"/>
      <c r="AV41" s="438" t="str">
        <f>AF41</f>
        <v>Alemania</v>
      </c>
      <c r="AW41" s="418">
        <f>COUNTIF(AG41:AG44,AG41)</f>
        <v>1</v>
      </c>
      <c r="AX41" s="439">
        <f>(AY41*$AT$12)+(BE41*$AT$11)</f>
        <v>11000</v>
      </c>
      <c r="AY41" s="440">
        <f>RANK(AZ41,AZ41:AZ44,1)</f>
        <v>1</v>
      </c>
      <c r="AZ41" s="440">
        <f>SUM(IF(AND(AG41=AG42,AN41=AN42,AL41=AL42),BB41,0),IF(AND(AG41=AG43,AN41=AN43,AL41=AL43),BC41,0),IF(AND(AG41=AG44,AN41=AN44,AL41=AL44),BD41,0))</f>
        <v>0</v>
      </c>
      <c r="BA41" s="441">
        <v>0</v>
      </c>
      <c r="BB41" s="442">
        <f>H39</f>
        <v>3</v>
      </c>
      <c r="BC41" s="442">
        <f>H41</f>
        <v>2</v>
      </c>
      <c r="BD41" s="443">
        <f>I43</f>
        <v>4</v>
      </c>
      <c r="BE41" s="440">
        <f>RANK(BF41,BF41:BF44,1)</f>
        <v>1</v>
      </c>
      <c r="BF41" s="440">
        <f>SUM(IF(AND(AG41=AG42,AN41=AN42,AL41=AL42),BH41,0),IF(AND(AG41=AG43,AN41=AN43,AL41=AL43),BI41,0),IF(AND(AG41=AG44,AN41=AN44,AL41=AL44),BJ41,0))</f>
        <v>0</v>
      </c>
      <c r="BG41" s="441">
        <v>0</v>
      </c>
      <c r="BH41" s="442">
        <f>BB41-BA42</f>
        <v>2</v>
      </c>
      <c r="BI41" s="442">
        <f>BC41-BA43</f>
        <v>1</v>
      </c>
      <c r="BJ41" s="443">
        <f>BD41-BA44</f>
        <v>4</v>
      </c>
      <c r="BK41" s="410"/>
      <c r="BL41" s="412">
        <f>RANK(BN41,$BN$41:$BN$44)</f>
        <v>1</v>
      </c>
      <c r="BM41" s="412" t="s">
        <v>148</v>
      </c>
      <c r="BN41" s="412">
        <f>IF(AH41=0,-($AT$13*VLOOKUP(AF41,Tabla3[[ZfP4b()8G6b·$55Ma-t·%fv-ttyZxR-.R*+Fd]:[N!"kvfjM.%&amp;gk5kfmfvv)/%;V$&amp;VW]],2,FALSE)),AG41*$AT$7+AN41*$AT$8+AL41*$AT$9+AX41-($AT$13*VLOOKUP(AF41,Tabla3[[ZfP4b()8G6b·$55Ma-t·%fv-ttyZxR-.R*+Fd]:[N!"kvfjM.%&amp;gk5kfmfvv)/%;V$&amp;VW]],2,FALSE)/100))</f>
        <v>9070910999.9899998</v>
      </c>
      <c r="BO41" s="412" t="str">
        <f>VLOOKUP(N41,$AE$41:$AF$44,2,0)</f>
        <v>Alemania</v>
      </c>
      <c r="BP41" s="412">
        <f>VLOOKUP($BO41,$AF$41:$AO$44,10,FALSE)</f>
        <v>9070910999.9899998</v>
      </c>
      <c r="BQ41" s="410"/>
      <c r="BR41" s="412">
        <v>1</v>
      </c>
      <c r="BS41" s="412" t="str">
        <f>VLOOKUP(BR41,$AD$41:$AF$44,3,0)</f>
        <v>Alemania</v>
      </c>
      <c r="BT41" s="412">
        <f>VLOOKUP(BS41,$AF$41:$AO$44,2,FALSE)</f>
        <v>9</v>
      </c>
      <c r="BU41" s="444">
        <f>IF(SUM($AH$41:$AH$44)=12,MIN(ABS(BP40-BP41),ABS(BP41-BP42)),100)</f>
        <v>3050200000.0100002</v>
      </c>
      <c r="BV41" s="412">
        <f>VLOOKUP(BS41,$AF$41:$AO$44,9,FALSE)</f>
        <v>7</v>
      </c>
      <c r="BW41" s="412">
        <f>VLOOKUP(BS41,$AF$41:$AO$44,7,FALSE)</f>
        <v>9</v>
      </c>
      <c r="BX41" s="410">
        <f>IF($BY$41=$CA$40,$DC$5:$DC$8,IF($BY$41=$CB$40,$DD$5:$DD$7,IF(OR($BY$41=$CC$40,$BY$41=$CD$40),$DE$5:$DE$6,$DI$5)))</f>
        <v>1</v>
      </c>
      <c r="BY41" s="418" t="str">
        <f>IFERROR(HLOOKUP(4,CA39:CX40,2,0),CH40)</f>
        <v>COM_8</v>
      </c>
      <c r="BZ41" s="14">
        <v>1</v>
      </c>
      <c r="CA41" s="418">
        <f t="array" ref="CA41">IF(AND($BT$41:$BT$44=$BT$41,$BU$41:$BU$44&lt;440,$AN$41:$AN$44=$AN$41,$BW$41:$BW$44=$BW$41),1,0)</f>
        <v>0</v>
      </c>
      <c r="CB41" s="418">
        <f t="array" ref="CB41">IF(AND($BT$41:$BT$43=$BT$41,$BU$41:$BU$43&lt;440,$BT$41&lt;&gt;$BT$44),1,0)</f>
        <v>0</v>
      </c>
      <c r="CC41" s="418">
        <f t="array" ref="CC41">IF(AND($BT$41:$BT$42=$BT$41,$BU$41:$BU$42&lt;440,$BT$41&lt;&gt;$BT$43),1,0)</f>
        <v>0</v>
      </c>
      <c r="CD41" s="418">
        <f t="array" ref="CD41">IF(AND($BT$41:$BT$42=$BT$41,$BU$41:$BU$42&lt;440,$BT$41&lt;&gt;$BT$43),1,0)</f>
        <v>0</v>
      </c>
      <c r="CE41" s="418">
        <f t="array" ref="CE41">IF(AND($BT$42:$BT$44=$BT$42,$BU$42:$BU$44&lt;440,$BT$41&lt;&gt;$BT$42),1,0)</f>
        <v>0</v>
      </c>
      <c r="CF41" s="418">
        <f t="array" ref="CF41">IF(AND($BT$41&lt;&gt;$BT$42,$BT$41&lt;&gt;$BT$44),1,0)</f>
        <v>1</v>
      </c>
      <c r="CG41" s="418">
        <f t="array" ref="CG41">IF(AND($BT$41&lt;&gt;$BT$42,$BT$41&lt;&gt;$BT$44),1,0)</f>
        <v>1</v>
      </c>
      <c r="CH41" s="418">
        <f t="array" ref="CH41">IF(AND($BT$41&lt;&gt;$BT$42,$BT$41&lt;&gt;$BT$44),1,0)</f>
        <v>1</v>
      </c>
      <c r="CI41" s="418">
        <f t="array" ref="CI41">IF(AND($BT$41:$BT$44=$BT$41,$BU$41:$BU$44&lt;440,$BV$41:$BV$42=$BV$41,$BV$41&lt;&gt;$BV$43),1,0)</f>
        <v>0</v>
      </c>
      <c r="CJ41" s="418">
        <f t="array" ref="CJ41">IF(AND($BT$41:$BT$44=$BT$41,$BU$41:$BU$44&lt;440,$BV$41:$BV$44=$BV$41,$BW$41=$BW$42,$BW$41&lt;&gt;$BW$43),1,0)</f>
        <v>0</v>
      </c>
      <c r="CK41" s="418">
        <f t="array" ref="CK41">IF(AND($BT$41:$BT$43=$BT$41,$BU$41:$BU$42&lt;440,$BU$43&gt;440),1,0)</f>
        <v>0</v>
      </c>
      <c r="CL41" s="418">
        <f t="array" ref="CL41">IF(AND($BT$41&lt;&gt;$BT$42,$BT$41&lt;&gt;$BT$43),1,0)</f>
        <v>1</v>
      </c>
      <c r="CM41" s="418">
        <f t="array" ref="CM41">IF(AND($BT$41&lt;&gt;$BT$42,$BT$41&lt;&gt;$BT$43),1,0)</f>
        <v>1</v>
      </c>
      <c r="CN41" s="418">
        <f t="array" ref="CN41">IF(AND($BT$41&lt;&gt;$BT$44,$BT$41:$BT$43=$BT$41,$BU$41&gt;440,$BU$42:$BU$43&lt;440),1,0)</f>
        <v>0</v>
      </c>
      <c r="CO41" s="418">
        <f t="array" ref="CO41">IF(AND($BT$41:$BT$44=$BT$41,$BU$42:$BU$44&lt;440,$BU$41&lt;&gt;$BU$42),1,0)</f>
        <v>0</v>
      </c>
      <c r="CP41" s="418">
        <f t="array" ref="CP41">IF(AND($BT$41:$BT$44=$BT$41,$BU$41:$BU$43&lt;440,$BU$41&lt;&gt;$BU$44),1,0)</f>
        <v>0</v>
      </c>
      <c r="CQ41" s="418">
        <f t="array" ref="CQ41">IF(AND($BT$41:$BT$44=$BT$41,$BU$41:$BU$42&gt;440,$BU$43:$BU$44&lt;440,$BV$41:$BV$44=$BV$41,$BW$41&gt;$BW$42,$BW$41&gt;$BW$43,$BW$41&gt;$BW$44),1,0)</f>
        <v>0</v>
      </c>
      <c r="CR41" s="418">
        <f t="array" ref="CR41">IF(AND($BT$41:$BT$44=$BT$41,$BU$41&gt;440,$BU$42:$BU$43&lt;440,$BU$44&gt;440,$BV$41:$BV$44=$BV$41,$BW$41&gt;$BW$42,$BW$41&gt;$BW$43,$BW$41&gt;$BW$44),1,0)</f>
        <v>0</v>
      </c>
      <c r="CS41" s="418">
        <f t="array" ref="CS41">IF(AND($BT$41:$BT$44=$BT$41,$BU$41:$BU$42&lt;440,$BU$43:$BU$44&gt;440,$BV$41:$BV$44=$BV$41,$BW$41=$BW$42,$BW$41&gt;$BW$43,$BW$41&gt;$BW$44),1,0)</f>
        <v>0</v>
      </c>
      <c r="CT41" s="418">
        <f t="array" ref="CT41">IF(AND($BT$41:$BT$44=$BT$41,$BU$41:$BU$42&gt;440,$BU$43:$BU$44&lt;440,$BV$41:$BV$44=$BV$41,$BW$41&gt;$BW$42,$BW$42:$BW$44=$BW$42),1,0)</f>
        <v>0</v>
      </c>
      <c r="CU41" s="418">
        <f t="array" ref="CU41">IF(AND($BT$41:$BT$44=$BT$41,$BU$41:$BU$42&lt;440,$BU$43:$BU$44&gt;440,$BV$41:$BV$44=$BV$41,$BW$41:$BW$43=$BW$41,$BW$41&gt;$BW$44),1,0)</f>
        <v>0</v>
      </c>
      <c r="CV41" s="418">
        <f t="array" ref="CV41">IF(AND($BT$41:$BT$44=$BT$41,$BU$41&gt;440,$BU$44&gt;440,$BU$42:$BU$43&lt;440,$BV$41:$BV$44=$BV$41,$BW$41&gt;$BW$42:$BW$44),1,0)</f>
        <v>0</v>
      </c>
      <c r="CW41" s="418"/>
      <c r="CX41" s="418"/>
      <c r="CY41" s="14"/>
      <c r="CZ41" s="14"/>
      <c r="DA41" s="14"/>
      <c r="DB41" s="14"/>
      <c r="DC41" s="14"/>
      <c r="DD41" s="14"/>
      <c r="DE41" s="14"/>
      <c r="DF41" s="14"/>
      <c r="DG41" s="14"/>
      <c r="DH41" s="14"/>
      <c r="DI41" s="14"/>
      <c r="DJ41" s="14"/>
      <c r="DK41" s="14"/>
      <c r="DL41" s="14"/>
      <c r="DM41" s="14"/>
      <c r="DN41" s="475"/>
    </row>
    <row r="42" spans="1:118 12887:12887" x14ac:dyDescent="0.25">
      <c r="A42" s="74"/>
      <c r="B42" s="528"/>
      <c r="C42" s="307">
        <v>43274</v>
      </c>
      <c r="D42" s="308">
        <v>0.83333333333333337</v>
      </c>
      <c r="E42" s="309" t="s">
        <v>101</v>
      </c>
      <c r="F42" s="356" t="s">
        <v>177</v>
      </c>
      <c r="G42" s="234"/>
      <c r="H42" s="56">
        <v>1</v>
      </c>
      <c r="I42" s="56">
        <v>3</v>
      </c>
      <c r="J42" s="234"/>
      <c r="K42" s="380" t="s">
        <v>159</v>
      </c>
      <c r="L42" s="149">
        <f t="shared" si="1"/>
        <v>1</v>
      </c>
      <c r="M42" s="79"/>
      <c r="N42" s="193">
        <v>2</v>
      </c>
      <c r="O42" s="194" t="str">
        <f>VLOOKUP(N42,$AD$41:$AF$44,3,0)</f>
        <v>México</v>
      </c>
      <c r="P42" s="194">
        <f>VLOOKUP(O42,AF41:AO44,2,FALSE)</f>
        <v>6</v>
      </c>
      <c r="Q42" s="194">
        <f>VLOOKUP(O42,AF41:AO44,3,FALSE)</f>
        <v>3</v>
      </c>
      <c r="R42" s="194">
        <f>VLOOKUP(O42,AF41:AO44,4,FALSE)</f>
        <v>2</v>
      </c>
      <c r="S42" s="194">
        <f>VLOOKUP(O42,AF41:AO44,5,FALSE)</f>
        <v>0</v>
      </c>
      <c r="T42" s="194">
        <f>VLOOKUP(O42,AF41:AO44,6,FALSE)</f>
        <v>1</v>
      </c>
      <c r="U42" s="194">
        <f>VLOOKUP(O42,AF41:AO44,7,FALSE)</f>
        <v>7</v>
      </c>
      <c r="V42" s="194">
        <f>VLOOKUP(O42,AF41:AO44,8,FALSE)</f>
        <v>5</v>
      </c>
      <c r="W42" s="195">
        <f>VLOOKUP(O42,AF41:AO44,9,FALSE)</f>
        <v>2</v>
      </c>
      <c r="X42" s="28">
        <f t="shared" ref="X42:X44" si="96">IF(SUM($AH$41:$AH$44)=12,MIN(ABS(BP41-BP42),ABS(BP42-BP43)),100)</f>
        <v>3050200000.0100002</v>
      </c>
      <c r="Y42" s="402" t="str">
        <f t="shared" ref="Y42:Y44" si="97">IF(AND(X42&gt;=0,X42&lt;90),VLOOKUP(N42,$BL$41:$BM$44,2,0),"")</f>
        <v/>
      </c>
      <c r="Z42" s="406"/>
      <c r="AA42" s="29"/>
      <c r="AB42" s="29"/>
      <c r="AC42" s="413">
        <f t="shared" ref="AC42:AC44" si="98">VLOOKUP(O42,$AF$41:$AO$44,10,FALSE)</f>
        <v>6020710999.9799995</v>
      </c>
      <c r="AD42" s="14">
        <f t="shared" ref="AD42:AD44" si="99">RANK(AR42,$AR$41:$AR$44)</f>
        <v>2</v>
      </c>
      <c r="AE42" s="434">
        <f>RANK(AO42,AO41:AO44)</f>
        <v>2</v>
      </c>
      <c r="AF42" s="412" t="s">
        <v>159</v>
      </c>
      <c r="AG42" s="418">
        <f t="shared" ref="AG42:AG44" si="100">AI42*3+AJ42*1+AK42*0</f>
        <v>6</v>
      </c>
      <c r="AH42" s="418">
        <f t="shared" ref="AH42:AH44" si="101">COUNTIFS($F$39:$F$44,AF42,$H$39:$H$44,"&lt;&gt;",$I$39:$I$44,"&lt;&gt;")+COUNTIFS($K$39:$K$44,AF42,$I$39:$I$44,"&lt;&gt;",$H$39:$H$44,"&lt;&gt;")</f>
        <v>3</v>
      </c>
      <c r="AI42" s="418">
        <f t="array" ref="AI42">SUM((F$39:F$44=AF42)*(H$39:H$44&lt;&gt;"")*(I$39:I$44&lt;&gt;"")*(H$39:H$44&gt;I$39:I$44),(K$39:K$44=AF42)*(H$39:H$44&lt;&gt;"")*(I$39:I$44&lt;&gt;"")*(H$39:H$44&lt;I$39:I$44))</f>
        <v>2</v>
      </c>
      <c r="AJ42" s="418">
        <f t="array" ref="AJ42">SUM((F$39:F$44=AF42)*(H$39:H$44&lt;&gt;"")*(I$39:I$44&lt;&gt;"")*(H$39:H$44=I$39:I$44),(K$39:K$44=AF42)*(H$39:H$44&lt;&gt;"")*(I$39:I$44&lt;&gt;"")*(H$39:H$44=I$39:I$44))</f>
        <v>0</v>
      </c>
      <c r="AK42" s="418">
        <f t="array" ref="AK42">SUM((F$39:F$44=AF42)*(I$39:I$44&lt;&gt;"")*(H$39:H$44&lt;&gt;"")*(H$39:H$44&lt;I$39:I$44),(H$39:H$44&lt;&gt;"")*(K$39:K$44=AF42)*(I$39:I$44&lt;&gt;"")*(H$39:H$44&gt;I$39:I$44))</f>
        <v>1</v>
      </c>
      <c r="AL42" s="418">
        <f t="array" ref="AL42">SUMIFS($H$39:$H$44,$F$39:$F$44,AF42,$H$39:$H$44,"&lt;&gt;",$I$39:$I$44,"&lt;&gt;")+SUMIFS($I$39:$I$44,$K$39:$K$44,AF42,$H$39:$H$44,"&lt;&gt;",$I$39:$I$44,"&lt;&gt;")</f>
        <v>7</v>
      </c>
      <c r="AM42" s="418">
        <f t="array" ref="AM42">SUMIFS($H$39:$H$44,$K$39:$K$44,AF42,$H$39:$H$44,"&lt;&gt;",$I$39:$I$44,"&lt;&gt;")+SUMIFS($I$39:$I$44,$F$39:$F$44,AF42,$H$39:$H$44,"&lt;&gt;",$I$39:$I$44,"&lt;&gt;")</f>
        <v>5</v>
      </c>
      <c r="AN42" s="418">
        <f t="shared" ref="AN42:AN44" si="102">AL42-AM42</f>
        <v>2</v>
      </c>
      <c r="AO42" s="418">
        <f>IF(AH42=0,-($AT$13*VLOOKUP(AF42,Tabla3[[ZfP4b()8G6b·$55Ma-t·%fv-ttyZxR-.R*+Fd]:[N!"kvfjM.%&amp;gk5kfmfvv)/%;V$&amp;VW]],2,FALSE)),AG42*$AT$7+AN42*$AT$8+AL42*$AT$9+AX42-($AT$13*VLOOKUP(AF42,Tabla3[[ZfP4b()8G6b·$55Ma-t·%fv-ttyZxR-.R*+Fd]:[N!"kvfjM.%&amp;gk5kfmfvv)/%;V$&amp;VW]],2,FALSE)/100))</f>
        <v>6020710999.9799995</v>
      </c>
      <c r="AP42" s="435">
        <f>AE42</f>
        <v>2</v>
      </c>
      <c r="AQ42" s="14"/>
      <c r="AR42" s="14">
        <f t="shared" ref="AR42:AR44" si="103">IFERROR(AO42-VLOOKUP(AF42,$Y$41:$Z$44,2,0),AO42)</f>
        <v>6020710999.9799995</v>
      </c>
      <c r="AS42" s="14"/>
      <c r="AT42" s="14"/>
      <c r="AU42" s="14"/>
      <c r="AV42" s="438" t="str">
        <f>AF42</f>
        <v>México</v>
      </c>
      <c r="AW42" s="418">
        <f>COUNTIF(AG41:AG44,AG42)</f>
        <v>1</v>
      </c>
      <c r="AX42" s="439">
        <f>(AY42*$AT$12)+(BE42*$AT$11)</f>
        <v>11000</v>
      </c>
      <c r="AY42" s="440">
        <f>RANK(AZ42,AZ41:AZ44,1)</f>
        <v>1</v>
      </c>
      <c r="AZ42" s="440">
        <f>SUM(IF(AND(AG42=AG43,AN42=AN43,AL42=AL43),BC42,0),IF(AND(AG42=AG44,AN42=AN44,AL42=AL44),BD42,0),IF(AND(AG42=AG41,AN42=AN41,AL42=AL41),BA42,0))</f>
        <v>0</v>
      </c>
      <c r="BA42" s="441">
        <f>I39</f>
        <v>1</v>
      </c>
      <c r="BB42" s="442">
        <v>0</v>
      </c>
      <c r="BC42" s="442">
        <f>H44</f>
        <v>3</v>
      </c>
      <c r="BD42" s="443">
        <f>I42</f>
        <v>3</v>
      </c>
      <c r="BE42" s="440">
        <f>RANK(BF42,BF41:BF44,1)</f>
        <v>1</v>
      </c>
      <c r="BF42" s="440">
        <f>SUM(IF(AND(AG42=AG43,AN42=AN43,AL42=AL43),BI42,0),IF(AND(AG42=AG44,AN42=AN44,AL42=AL44),BJ42,0),IF(AND(AG42=AG41,AN42=AN41,AL42=AL41),BG42,0))</f>
        <v>0</v>
      </c>
      <c r="BG42" s="441">
        <f>BA42-BB41</f>
        <v>-2</v>
      </c>
      <c r="BH42" s="442">
        <v>0</v>
      </c>
      <c r="BI42" s="442">
        <f>BC42-BB43</f>
        <v>2</v>
      </c>
      <c r="BJ42" s="443">
        <f>BD42-BB44</f>
        <v>2</v>
      </c>
      <c r="BK42" s="410"/>
      <c r="BL42" s="412">
        <f t="shared" ref="BL42:BL44" si="104">RANK(BN42,$BN$41:$BN$44)</f>
        <v>2</v>
      </c>
      <c r="BM42" s="412" t="s">
        <v>159</v>
      </c>
      <c r="BN42" s="412">
        <f>IF(AH42=0,-($AT$13*VLOOKUP(AF42,Tabla3[[ZfP4b()8G6b·$55Ma-t·%fv-ttyZxR-.R*+Fd]:[N!"kvfjM.%&amp;gk5kfmfvv)/%;V$&amp;VW]],2,FALSE)),AG42*$AT$7+AN42*$AT$8+AL42*$AT$9+AX42-($AT$13*VLOOKUP(AF42,Tabla3[[ZfP4b()8G6b·$55Ma-t·%fv-ttyZxR-.R*+Fd]:[N!"kvfjM.%&amp;gk5kfmfvv)/%;V$&amp;VW]],2,FALSE)/100))</f>
        <v>6020710999.9799995</v>
      </c>
      <c r="BO42" s="412" t="str">
        <f t="shared" ref="BO42:BO44" si="105">VLOOKUP(N42,$AE$41:$AF$44,2,0)</f>
        <v>México</v>
      </c>
      <c r="BP42" s="412">
        <f t="shared" ref="BP42:BP44" si="106">VLOOKUP($BO42,$AF$41:$AO$44,10,FALSE)</f>
        <v>6020710999.9799995</v>
      </c>
      <c r="BQ42" s="410"/>
      <c r="BR42" s="412">
        <v>2</v>
      </c>
      <c r="BS42" s="412" t="str">
        <f t="shared" ref="BS42:BS44" si="107">VLOOKUP(BR42,$AD$41:$AF$44,3,0)</f>
        <v>México</v>
      </c>
      <c r="BT42" s="412">
        <f t="shared" ref="BT42:BT44" si="108">VLOOKUP(BS42,$AF$41:$AO$44,2,FALSE)</f>
        <v>6</v>
      </c>
      <c r="BU42" s="444">
        <f t="shared" ref="BU42:BU44" si="109">IF(SUM($AH$41:$AH$44)=12,MIN(ABS(BP41-BP42),ABS(BP42-BP43)),100)</f>
        <v>3050200000.0100002</v>
      </c>
      <c r="BV42" s="412">
        <f t="shared" ref="BV42:BV44" si="110">VLOOKUP(BS42,$AF$41:$AO$44,9,FALSE)</f>
        <v>2</v>
      </c>
      <c r="BW42" s="412">
        <f t="shared" ref="BW42:BW44" si="111">VLOOKUP(BS42,$AF$41:$AO$44,7,FALSE)</f>
        <v>7</v>
      </c>
      <c r="BX42" s="410">
        <f>IF($BY$41=$CA$40,$DC$5:$DC$8,IF($BY$41=$CB$40,$DD$5:$DD$7,IF(OR($BY$41=$CC$40,$BY$41=$CD$40),$DE$5:$DE$6,IF($BY$41=$CE$40,$DF$5:$DF$7,(IF($BY$41=$CF$40,$DH$5:$DH$6,$DJ$5))))))</f>
        <v>2</v>
      </c>
      <c r="BY42" s="14"/>
      <c r="BZ42" s="14">
        <v>2</v>
      </c>
      <c r="CA42" s="418">
        <f t="array" ref="CA42">IF(AND($BT$41:$BT$44=$BT$42,$BU$41:$BU$44&lt;440,$AN$41:$AN$44=$AN$42,$BW$41:$BW$44=$BW$42),1,0)</f>
        <v>0</v>
      </c>
      <c r="CB42" s="418">
        <f t="array" ref="CB42">IF(AND($BT$41:$BT$43=$BT$42,$BU$41:$BU$43&lt;440,$BT$42&lt;&gt;$BT$44),1,0)</f>
        <v>0</v>
      </c>
      <c r="CC42" s="418">
        <f t="array" ref="CC42">IF(AND($BT$41:$BT$42=$BT$41,$BU$41:$BU$42&lt;440,$BT$41&lt;&gt;$BT$43),1,0)</f>
        <v>0</v>
      </c>
      <c r="CD42" s="418">
        <f t="array" ref="CD42">IF(AND($BT$41:$BT$42=$BT$41,$BU$41:$BU$42&lt;440,$BT$41&lt;&gt;$BT$43),1,0)</f>
        <v>0</v>
      </c>
      <c r="CE42" s="418">
        <f t="array" ref="CE42">IF(AND($BT$42:$BT$44=$BT$42,$BU$42:$BU$44&lt;440,$BT$41&lt;&gt;$BT$42),1,0)</f>
        <v>0</v>
      </c>
      <c r="CF42" s="418">
        <f t="array" ref="CF42">IF(AND($BT$42:$BT$43=$BT$42,$BU$42:$BU$43&lt;440,$BT$42&lt;&gt;$BT$41,$BT$42&lt;&gt;$BT$44),1,0)</f>
        <v>0</v>
      </c>
      <c r="CG42" s="418">
        <f t="array" ref="CG42">IF(AND($BT$42&lt;&gt;$BT$41,$BT$42&lt;&gt;$BT$43),1,0)</f>
        <v>1</v>
      </c>
      <c r="CH42" s="418">
        <f t="array" ref="CH42">IF(AND($BT$42&lt;&gt;$BT$41,$BT$42&lt;&gt;$BT$43),1,0)</f>
        <v>1</v>
      </c>
      <c r="CI42" s="418">
        <f t="array" ref="CI42">IF(AND($BT$41:$BT$44=$BT$41,$BU$41:$BU$44&lt;440,$BV$41:$BV$42=$BV$41,$BV$42&lt;&gt;$BV$43),1,0)</f>
        <v>0</v>
      </c>
      <c r="CJ42" s="418">
        <f t="array" ref="CJ42">IF(AND($BT$41:$BT$44=$BT$41,$BU$41:$BU$44&lt;440,$BV$41:$BV$44=$BV$41,$BW$41=$BW$42,$BW$42&lt;&gt;$BW$43),1,0)</f>
        <v>0</v>
      </c>
      <c r="CK42" s="418">
        <f t="array" ref="CK42">IF(AND($BT$41:$BT$43=$BT$42,$BU$41:$BU$42&lt;440,$BU$43&gt;440),1,0)</f>
        <v>0</v>
      </c>
      <c r="CL42" s="418">
        <f t="array" ref="CL42">IF(AND($BT$42&lt;&gt;$BT$41,$BT$42:$BT$44=$BT$42,$BU$42&gt;440,$BU$43:$BU$44&lt;440),1,0)</f>
        <v>0</v>
      </c>
      <c r="CM42" s="418">
        <f t="array" ref="CM42">IF(AND($BT$42&lt;&gt;$BT$41,$BT$42:$BT$44=$BT$42,$BU$44&gt;440,$BU$42:$BU$43&lt;440),1,0)</f>
        <v>0</v>
      </c>
      <c r="CN42" s="418">
        <f t="array" ref="CN42">IF(AND($BT$42&lt;&gt;$BT$44,$BT$41:$BT$43=$BT$42,$BU$41&gt;440,$BU$42:$BU$43&lt;440),1,0)</f>
        <v>0</v>
      </c>
      <c r="CO42" s="418">
        <f t="array" ref="CO42">IF(AND($BT$41:$BT$44=$BT$42,$BU$42:$BU$44&lt;440,$BU$41&lt;&gt;$BU$42),1,0)</f>
        <v>0</v>
      </c>
      <c r="CP42" s="418">
        <f t="array" ref="CP42">IF(AND($BT$41:$BT$44=$BT$42,$BU$41:$BU$43&lt;440,$BU$42&lt;&gt;$BU$44),1,0)</f>
        <v>0</v>
      </c>
      <c r="CQ42" s="418">
        <f t="array" ref="CQ42">IF(AND($BT$41:$BT$44=$BT$42,$BU$41:$BU$42&gt;440,$BU$43:$BU$44&lt;440,$BV$41:$BV$44=$BV$42,$BW$41&gt;$BW$42,$BW$42&gt;$BW$43,$BW$42&gt;$BW$44),1,0)</f>
        <v>0</v>
      </c>
      <c r="CR42" s="418">
        <f t="array" ref="CR42">IF(AND($BT$41:$BT$44=$BT$42,$BU$41&gt;440,$BU$42:$BU$43&lt;440,$BU$44&gt;440,$BV$41:$BV$44=$BV$42,$BW$41&gt;$BW$42,$BW$42=$BW$43,$BW$42&gt;$BW$44),1,0)</f>
        <v>0</v>
      </c>
      <c r="CS42" s="418">
        <f t="array" ref="CS42">IF(AND($BT$41:$BT$44=$BT$42,$BU$41:$BU$42&lt;440,$BU$43:$BU$44&gt;440,$BV$41:$BV$44=$BV$42,$BW$41=$BW$42,$BW$42&gt;$BW$43,$BW$42&gt;$BW$44),1,0)</f>
        <v>0</v>
      </c>
      <c r="CT42" s="418">
        <f t="array" ref="CT42">IF(AND($BT$41:$BT$44=$BT$42,$BU$41:$BU$42&gt;440,$BU$43:$BU$44&lt;440,$BV$41:$BV$44=$BV$42,$BW$41&gt;$BW$42,$BW$42:$BW$44=$BW$42),1,0)</f>
        <v>0</v>
      </c>
      <c r="CU42" s="418">
        <f t="array" ref="CU42">IF(AND($BT$41:$BT$44=$BT$42,$BU$41:$BU$42&lt;440,$BU$43:$BU$44&gt;440,$BV$41:$BV$44=$BV$42,$BW$41:$BW$43=$BW$42,$BW$42&gt;$BW$44),1,0)</f>
        <v>0</v>
      </c>
      <c r="CV42" s="418">
        <f t="array" ref="CV42">IF(AND($BT$41:$BT$44=$BT$42,$BU$41&gt;440,$BU$44&gt;440,$BU$42:$BU$43&lt;440,$BV$41:$BV$44=$BV$42,$BW$41&gt;$BW$42:$BW$44,$BW$42:$BW$44=$BW$42),1,0)</f>
        <v>0</v>
      </c>
      <c r="CW42" s="418"/>
      <c r="CX42" s="418"/>
      <c r="CY42" s="14"/>
      <c r="CZ42" s="14"/>
      <c r="DA42" s="14"/>
      <c r="DB42" s="14"/>
      <c r="DC42" s="14"/>
      <c r="DD42" s="14"/>
      <c r="DE42" s="14"/>
      <c r="DF42" s="14"/>
      <c r="DG42" s="14"/>
      <c r="DH42" s="14"/>
      <c r="DI42" s="14"/>
      <c r="DJ42" s="14"/>
      <c r="DK42" s="14"/>
      <c r="DL42" s="14"/>
      <c r="DM42" s="14"/>
      <c r="DN42" s="475"/>
    </row>
    <row r="43" spans="1:118 12887:12887" x14ac:dyDescent="0.25">
      <c r="A43" s="74"/>
      <c r="B43" s="528"/>
      <c r="C43" s="307">
        <v>43278</v>
      </c>
      <c r="D43" s="308">
        <v>0.66666666666666663</v>
      </c>
      <c r="E43" s="309" t="s">
        <v>104</v>
      </c>
      <c r="F43" s="356" t="s">
        <v>177</v>
      </c>
      <c r="G43" s="234"/>
      <c r="H43" s="56">
        <v>0</v>
      </c>
      <c r="I43" s="56">
        <v>4</v>
      </c>
      <c r="J43" s="234"/>
      <c r="K43" s="380" t="s">
        <v>148</v>
      </c>
      <c r="L43" s="149">
        <f t="shared" si="1"/>
        <v>1</v>
      </c>
      <c r="M43" s="79"/>
      <c r="N43" s="196">
        <v>3</v>
      </c>
      <c r="O43" s="197" t="str">
        <f>VLOOKUP(N43,$AD$41:$AF$44,3,0)</f>
        <v>Suecia</v>
      </c>
      <c r="P43" s="194">
        <f>VLOOKUP(O43,AF41:AO44,2,FALSE)</f>
        <v>1</v>
      </c>
      <c r="Q43" s="197">
        <f>VLOOKUP(O43,AF41:AO44,3,FALSE)</f>
        <v>3</v>
      </c>
      <c r="R43" s="197">
        <f>VLOOKUP(O43,AF41:AO44,4,FALSE)</f>
        <v>0</v>
      </c>
      <c r="S43" s="197">
        <f>VLOOKUP(O43,AF41:AO44,5,FALSE)</f>
        <v>1</v>
      </c>
      <c r="T43" s="197">
        <f>VLOOKUP(O43,AF41:AO44,6,FALSE)</f>
        <v>2</v>
      </c>
      <c r="U43" s="197">
        <f>VLOOKUP(O43,AF41:AO44,7,FALSE)</f>
        <v>3</v>
      </c>
      <c r="V43" s="197">
        <f>VLOOKUP(O43,AF41:AO44,8,FALSE)</f>
        <v>6</v>
      </c>
      <c r="W43" s="198">
        <f>VLOOKUP(O43,AF41:AO44,9,FALSE)</f>
        <v>-3</v>
      </c>
      <c r="X43" s="28">
        <f t="shared" si="96"/>
        <v>30100000.00999999</v>
      </c>
      <c r="Y43" s="402" t="str">
        <f t="shared" si="97"/>
        <v/>
      </c>
      <c r="Z43" s="406"/>
      <c r="AA43" s="29"/>
      <c r="AB43" s="29"/>
      <c r="AC43" s="413">
        <f t="shared" si="98"/>
        <v>970310999.97000003</v>
      </c>
      <c r="AD43" s="14">
        <f t="shared" si="99"/>
        <v>3</v>
      </c>
      <c r="AE43" s="434">
        <f>RANK(AO43,AO41:AO44)</f>
        <v>3</v>
      </c>
      <c r="AF43" s="412" t="s">
        <v>167</v>
      </c>
      <c r="AG43" s="418">
        <f t="shared" si="100"/>
        <v>1</v>
      </c>
      <c r="AH43" s="418">
        <f t="shared" si="101"/>
        <v>3</v>
      </c>
      <c r="AI43" s="418">
        <f t="array" ref="AI43">SUM((F$39:F$44=AF43)*(H$39:H$44&lt;&gt;"")*(I$39:I$44&lt;&gt;"")*(H$39:H$44&gt;I$39:I$44),(K$39:K$44=AF43)*(H$39:H$44&lt;&gt;"")*(I$39:I$44&lt;&gt;"")*(H$39:H$44&lt;I$39:I$44))</f>
        <v>0</v>
      </c>
      <c r="AJ43" s="418">
        <f t="array" ref="AJ43">SUM((F$39:F$44=AF43)*(H$39:H$44&lt;&gt;"")*(I$39:I$44&lt;&gt;"")*(H$39:H$44=I$39:I$44),(K$39:K$44=AF43)*(H$39:H$44&lt;&gt;"")*(I$39:I$44&lt;&gt;"")*(H$39:H$44=I$39:I$44))</f>
        <v>1</v>
      </c>
      <c r="AK43" s="418">
        <f t="array" ref="AK43">SUM((F$39:F$44=AF43)*(I$39:I$44&lt;&gt;"")*(H$39:H$44&lt;&gt;"")*(H$39:H$44&lt;I$39:I$44),(H$39:H$44&lt;&gt;"")*(K$39:K$44=AF43)*(I$39:I$44&lt;&gt;"")*(H$39:H$44&gt;I$39:I$44))</f>
        <v>2</v>
      </c>
      <c r="AL43" s="418">
        <f t="array" ref="AL43">SUMIFS($H$39:$H$44,$F$39:$F$44,AF43,$H$39:$H$44,"&lt;&gt;",$I$39:$I$44,"&lt;&gt;")+SUMIFS($I$39:$I$44,$K$39:$K$44,AF43,$H$39:$H$44,"&lt;&gt;",$I$39:$I$44,"&lt;&gt;")</f>
        <v>3</v>
      </c>
      <c r="AM43" s="418">
        <f t="array" ref="AM43">SUMIFS($H$39:$H$44,$K$39:$K$44,AF43,$H$39:$H$44,"&lt;&gt;",$I$39:$I$44,"&lt;&gt;")+SUMIFS($I$39:$I$44,$F$39:$F$44,AF43,$H$39:$H$44,"&lt;&gt;",$I$39:$I$44,"&lt;&gt;")</f>
        <v>6</v>
      </c>
      <c r="AN43" s="418">
        <f t="shared" si="102"/>
        <v>-3</v>
      </c>
      <c r="AO43" s="418">
        <f>IF(AH43=0,-($AT$13*VLOOKUP(AF43,Tabla3[[ZfP4b()8G6b·$55Ma-t·%fv-ttyZxR-.R*+Fd]:[N!"kvfjM.%&amp;gk5kfmfvv)/%;V$&amp;VW]],2,FALSE)),AG43*$AT$7+AN43*$AT$8+AL43*$AT$9+AX43-($AT$13*VLOOKUP(AF43,Tabla3[[ZfP4b()8G6b·$55Ma-t·%fv-ttyZxR-.R*+Fd]:[N!"kvfjM.%&amp;gk5kfmfvv)/%;V$&amp;VW]],2,FALSE)/100))</f>
        <v>970310999.97000003</v>
      </c>
      <c r="AP43" s="435">
        <f>AE43</f>
        <v>3</v>
      </c>
      <c r="AQ43" s="14"/>
      <c r="AR43" s="14">
        <f t="shared" si="103"/>
        <v>970310999.97000003</v>
      </c>
      <c r="AS43" s="14"/>
      <c r="AT43" s="14"/>
      <c r="AU43" s="14"/>
      <c r="AV43" s="438" t="str">
        <f>AF43</f>
        <v>Suecia</v>
      </c>
      <c r="AW43" s="418">
        <f>COUNTIF(AG41:AG44,AG43)</f>
        <v>2</v>
      </c>
      <c r="AX43" s="439">
        <f>(AY43*$AT$12)+(BE43*$AT$11)</f>
        <v>11000</v>
      </c>
      <c r="AY43" s="440">
        <f>RANK(AZ43,AZ41:AZ44,1)</f>
        <v>1</v>
      </c>
      <c r="AZ43" s="440">
        <f>SUM(IF(AND(AG43=AG44,AN43=AN44,AL43=AL44),BD43,0),IF(AND(AG43=AG41,AN43=AN41,AL43=AL41),BA43,0),IF(AND(AG43=AG42,AN43=AN42,AL43=AL42),BB43,0))</f>
        <v>0</v>
      </c>
      <c r="BA43" s="441">
        <f>I41</f>
        <v>1</v>
      </c>
      <c r="BB43" s="442">
        <f>I44</f>
        <v>1</v>
      </c>
      <c r="BC43" s="442">
        <v>0</v>
      </c>
      <c r="BD43" s="443">
        <f>H40</f>
        <v>1</v>
      </c>
      <c r="BE43" s="440">
        <f>RANK(BF43,BF41:BF44,1)</f>
        <v>1</v>
      </c>
      <c r="BF43" s="440">
        <f>SUM(IF(AND(AG43=AG44,AN43=AN44,AL43=AL44),BJ43,0),IF(AND(AG43=AG41,AN43=AN41,AL43=AL41),BG43,0),IF(AND(AG43=AG42,AN43=AN42,AL43=AL42),BH43,0))</f>
        <v>0</v>
      </c>
      <c r="BG43" s="441">
        <f>BA43-BC41</f>
        <v>-1</v>
      </c>
      <c r="BH43" s="442">
        <f>BB43-BC42</f>
        <v>-2</v>
      </c>
      <c r="BI43" s="442">
        <v>0</v>
      </c>
      <c r="BJ43" s="443">
        <f>BD43-BC44</f>
        <v>0</v>
      </c>
      <c r="BK43" s="410"/>
      <c r="BL43" s="412">
        <f t="shared" si="104"/>
        <v>3</v>
      </c>
      <c r="BM43" s="412" t="s">
        <v>167</v>
      </c>
      <c r="BN43" s="412">
        <f>IF(AH43=0,-($AT$13*VLOOKUP(AF43,Tabla3[[ZfP4b()8G6b·$55Ma-t·%fv-ttyZxR-.R*+Fd]:[N!"kvfjM.%&amp;gk5kfmfvv)/%;V$&amp;VW]],2,FALSE)),AG43*$AT$7+AN43*$AT$8+AL43*$AT$9+AX43-($AT$13*VLOOKUP(AF43,Tabla3[[ZfP4b()8G6b·$55Ma-t·%fv-ttyZxR-.R*+Fd]:[N!"kvfjM.%&amp;gk5kfmfvv)/%;V$&amp;VW]],2,FALSE)/100))</f>
        <v>970310999.97000003</v>
      </c>
      <c r="BO43" s="412" t="str">
        <f t="shared" si="105"/>
        <v>Suecia</v>
      </c>
      <c r="BP43" s="412">
        <f t="shared" si="106"/>
        <v>970310999.97000003</v>
      </c>
      <c r="BQ43" s="410"/>
      <c r="BR43" s="412">
        <v>3</v>
      </c>
      <c r="BS43" s="412" t="str">
        <f t="shared" si="107"/>
        <v>Suecia</v>
      </c>
      <c r="BT43" s="412">
        <f t="shared" si="108"/>
        <v>1</v>
      </c>
      <c r="BU43" s="444">
        <f t="shared" si="109"/>
        <v>30100000.00999999</v>
      </c>
      <c r="BV43" s="412">
        <f t="shared" si="110"/>
        <v>-3</v>
      </c>
      <c r="BW43" s="412">
        <f t="shared" si="111"/>
        <v>3</v>
      </c>
      <c r="BX43" s="410">
        <f>IF($BY$41=$CA$40,$DC$5:$DC$8,IF($BY$41=$CB$40,$DD$5:$DD$7,IF(OR($BY$41=$CC$40,$BY$41=$CG$40),$DG$5:$DG$6,IF($BY$41=$CE$40,$DF$5:$DF$7,(IF($BY$41=$CF$40,$DH$5:$DH$6,$DK$5))))))</f>
        <v>3</v>
      </c>
      <c r="BY43" s="14"/>
      <c r="BZ43" s="14">
        <v>3</v>
      </c>
      <c r="CA43" s="418">
        <f t="array" ref="CA43">IF(AND($BT$41:$BT$44=$BT$43,$BU$41:$BU$44&lt;440,$AN$41:$AN$44=$AN$43,$BW$41:$BW$44=$BW$43),1,0)</f>
        <v>0</v>
      </c>
      <c r="CB43" s="418">
        <f t="array" ref="CB43">IF(AND($BT$41:$BT$43=$BT$43,$BU$41:$BU$43&lt;440,$BT$43&lt;&gt;$BT$44),1,0)</f>
        <v>0</v>
      </c>
      <c r="CC43" s="418">
        <f t="array" ref="CC43">IF(AND($BT$43:$BT$44=$BT$43,$BU$43:$BU$44&lt;440,$BT$43&lt;&gt;$BT$42),1,0)</f>
        <v>0</v>
      </c>
      <c r="CD43" s="418">
        <f t="array" ref="CD43">IF(OR(AND($BT$43&lt;&gt;$BT$42,$BT$43&lt;&gt;$BT$44),AND($BT$43&lt;&gt;$BT$42,$BT$43=$BT$44,$BU$43&gt;440,$BU$44&gt;440)),1,0)</f>
        <v>1</v>
      </c>
      <c r="CE43" s="418">
        <f t="array" ref="CE43">IF(AND($BT$42:$BT$44=$BT$42,$BU$42:$BU$44&lt;440,$BT$41&lt;&gt;$BT$43),1,0)</f>
        <v>0</v>
      </c>
      <c r="CF43" s="418">
        <f t="array" ref="CF43">IF(AND($BT$42:$BT$43=$BT$43,$BU$42:$BU$43&lt;440,$BT$43&lt;&gt;$BT$41,$BT$43&lt;&gt;$BT$44),1,0)</f>
        <v>0</v>
      </c>
      <c r="CG43" s="418">
        <f t="array" ref="CG43">IF(AND($BT$43:$BT$44=$BT$43,$BU$43:$BU$44&lt;440,$BT$43&lt;&gt;$BT$42),1,0)</f>
        <v>0</v>
      </c>
      <c r="CH43" s="418">
        <f t="array" ref="CH43">IF(AND($BT$43&lt;&gt;$BT$42,$BT$43&lt;&gt;$BT$44),1,0)</f>
        <v>0</v>
      </c>
      <c r="CI43" s="418">
        <f t="array" ref="CI43">IF(AND($BT$41:$BT$44=$BT$41,$BU$41:$BU$44&lt;440,$BV$43:$BV$44=$BV$43,$BV$42&lt;&gt;$BV$43),1,0)</f>
        <v>0</v>
      </c>
      <c r="CJ43" s="418">
        <f t="array" ref="CJ43">IF(AND($BT$41:$BT$44=$BT$41,$BU$41:$BU$44&lt;440,$BV$41:$BV$44=$BV$41,$BW$43=$BW$44,$BW$42&lt;&gt;$BW$43),1,0)</f>
        <v>0</v>
      </c>
      <c r="CK43" s="418">
        <f t="array" ref="CK43">IF(AND($BT$41:$BT$43=$BT$43,$BU$41:$BU$42&lt;440,$BU$43&gt;440),1,0)</f>
        <v>0</v>
      </c>
      <c r="CL43" s="418">
        <f t="array" ref="CL43">IF(AND($BT$42&lt;&gt;$BT$41,$BT$42:$BT$44=$BT$43,$BU$42&gt;440,$BU$43:$BU$44&lt;440),1,0)</f>
        <v>0</v>
      </c>
      <c r="CM43" s="418">
        <f t="array" ref="CM43">IF(AND($BT$42&lt;&gt;$BT$41,$BT$42:$BT$44=$BT$42,$BU$44&gt;440,$BU$42:$BU$43&lt;440),1,0)</f>
        <v>0</v>
      </c>
      <c r="CN43" s="418">
        <f t="array" ref="CN43">IF(AND($BT$43&lt;&gt;$BT$44,$BT$41:$BT$43=$BT$43,$BU$41&gt;440,$BU$42:$BU$43&lt;440),1,0)</f>
        <v>0</v>
      </c>
      <c r="CO43" s="418">
        <f t="array" ref="CO43">IF(AND($BT$41:$BT$44=$BT$42,$BU$42:$BU$44&lt;440,$BU$41&lt;&gt;$BU$43),1,0)</f>
        <v>0</v>
      </c>
      <c r="CP43" s="418">
        <f t="array" ref="CP43">IF(AND($BT$41:$BT$44=$BT$43,$BU$41:$BU$43&lt;440,$BU$43&lt;&gt;$BU$44),1,0)</f>
        <v>0</v>
      </c>
      <c r="CQ43" s="418">
        <f t="array" ref="CQ43">IF(AND($BT$41:$BT$44=$BT$43,$BU$41:$BU$42&gt;440,$BU$43:$BU$44&lt;440,$BV$41:$BV$44=$BV$43,$BW$41&gt;$BW$42,$BW$42&gt;$BW$43,$BW$43=$BW$44),1,0)</f>
        <v>0</v>
      </c>
      <c r="CR43" s="418">
        <f t="array" ref="CR43">IF(AND($BT$41:$BT$44=$BT$43,$BU$41&gt;440,$BU$42:$BU$43&lt;440,$BU$44&gt;440,$BV$41:$BV$44=$BV$43,$BW$41&gt;$BW$42,$BW$42=$BW$43,$BW$43&gt;$BW$44),1,0)</f>
        <v>0</v>
      </c>
      <c r="CS43" s="418">
        <f t="array" ref="CS43">IF(AND($BT$41:$BT$44=$BT$43,$BU$41:$BU$42&lt;440,$BU$43:$BU$44&gt;440,$BV$41:$BV$44=$BV$43,$BW$41=$BW$42,$BW$42&gt;$BW$43,$BW$43&gt;$BW$44),1,0)</f>
        <v>0</v>
      </c>
      <c r="CT43" s="418">
        <f t="array" ref="CT43">IF(AND($BT$41:$BT$44=$BT$43,$BU$41:$BU$42&gt;440,$BU$43:$BU$44&lt;440,$BV$41:$BV$44=$BV$42,$BW$41&gt;$BW$43,$BW$42:$BW$44=$BW$43),1,0)</f>
        <v>0</v>
      </c>
      <c r="CU43" s="418">
        <f t="array" ref="CU43">IF(AND($BT$41:$BT$44=$BT$43,$BU$41:$BU$42&lt;440,$BU$43:$BU$44&gt;440,$BV$41:$BV$44=$BV$43,$BW$41:$BW$43=$BW$43,$BW$43&gt;$BW$44),1,0)</f>
        <v>0</v>
      </c>
      <c r="CV43" s="418">
        <f t="array" ref="CV43">IF(AND($BT$41:$BT$44=$BT$43,$BU$41&gt;440,$BU$44&gt;440,$BU$42:$BU$43&lt;440,$BV$41:$BV$44=$BV$43,$BW$41&gt;$BW$42:$BW$44,$BW$42:$BW$44=$BW$43),1,0)</f>
        <v>0</v>
      </c>
      <c r="CW43" s="418"/>
      <c r="CX43" s="418"/>
      <c r="CY43" s="14"/>
      <c r="CZ43" s="14"/>
      <c r="DA43" s="14"/>
      <c r="DB43" s="14"/>
      <c r="DC43" s="14"/>
      <c r="DD43" s="14"/>
      <c r="DE43" s="14"/>
      <c r="DF43" s="14"/>
      <c r="DG43" s="14"/>
      <c r="DH43" s="14"/>
      <c r="DI43" s="14"/>
      <c r="DJ43" s="14"/>
      <c r="DK43" s="14"/>
      <c r="DL43" s="14"/>
      <c r="DM43" s="14"/>
      <c r="DN43" s="475"/>
    </row>
    <row r="44" spans="1:118 12887:12887" ht="15.75" thickBot="1" x14ac:dyDescent="0.3">
      <c r="A44" s="74"/>
      <c r="B44" s="529"/>
      <c r="C44" s="310">
        <v>43278</v>
      </c>
      <c r="D44" s="311">
        <v>0.66666666666666663</v>
      </c>
      <c r="E44" s="312" t="s">
        <v>100</v>
      </c>
      <c r="F44" s="357" t="s">
        <v>159</v>
      </c>
      <c r="G44" s="235"/>
      <c r="H44" s="56">
        <v>3</v>
      </c>
      <c r="I44" s="56">
        <v>1</v>
      </c>
      <c r="J44" s="235"/>
      <c r="K44" s="381" t="s">
        <v>167</v>
      </c>
      <c r="L44" s="149">
        <f t="shared" si="1"/>
        <v>1</v>
      </c>
      <c r="M44" s="79"/>
      <c r="N44" s="199">
        <v>4</v>
      </c>
      <c r="O44" s="200" t="str">
        <f>VLOOKUP(N44,$AD$41:$AF$44,3,0)</f>
        <v>Rep. de Corea</v>
      </c>
      <c r="P44" s="201">
        <f>VLOOKUP(O44,AF41:AO44,2,FALSE)</f>
        <v>1</v>
      </c>
      <c r="Q44" s="200">
        <f>VLOOKUP(O44,AF41:AO44,3,FALSE)</f>
        <v>3</v>
      </c>
      <c r="R44" s="200">
        <f>VLOOKUP(O44,AF41:AO44,4,FALSE)</f>
        <v>0</v>
      </c>
      <c r="S44" s="200">
        <f>VLOOKUP(O44,AF41:AO44,5,FALSE)</f>
        <v>1</v>
      </c>
      <c r="T44" s="200">
        <f>VLOOKUP(O44,AF41:AO44,6,FALSE)</f>
        <v>2</v>
      </c>
      <c r="U44" s="200">
        <f>VLOOKUP(O44,AF41:AO44,7,FALSE)</f>
        <v>2</v>
      </c>
      <c r="V44" s="200">
        <f>VLOOKUP(O44,AF41:AO44,8,FALSE)</f>
        <v>8</v>
      </c>
      <c r="W44" s="202">
        <f>VLOOKUP(O44,AF41:AO44,9,FALSE)</f>
        <v>-6</v>
      </c>
      <c r="X44" s="28">
        <f t="shared" si="96"/>
        <v>30100000.00999999</v>
      </c>
      <c r="Y44" s="402" t="str">
        <f t="shared" si="97"/>
        <v/>
      </c>
      <c r="Z44" s="406"/>
      <c r="AA44" s="29"/>
      <c r="AB44" s="29"/>
      <c r="AC44" s="413">
        <f t="shared" si="98"/>
        <v>940210999.96000004</v>
      </c>
      <c r="AD44" s="14">
        <f t="shared" si="99"/>
        <v>4</v>
      </c>
      <c r="AE44" s="445">
        <f>RANK(AO44,AO41:AO44)</f>
        <v>4</v>
      </c>
      <c r="AF44" s="446" t="s">
        <v>177</v>
      </c>
      <c r="AG44" s="447">
        <f t="shared" si="100"/>
        <v>1</v>
      </c>
      <c r="AH44" s="447">
        <f t="shared" si="101"/>
        <v>3</v>
      </c>
      <c r="AI44" s="447">
        <f t="array" ref="AI44">SUM((F$39:F$44=AF44)*(H$39:H$44&lt;&gt;"")*(I$39:I$44&lt;&gt;"")*(H$39:H$44&gt;I$39:I$44),(K$39:K$44=AF44)*(H$39:H$44&lt;&gt;"")*(I$39:I$44&lt;&gt;"")*(H$39:H$44&lt;I$39:I$44))</f>
        <v>0</v>
      </c>
      <c r="AJ44" s="447">
        <f t="array" ref="AJ44">SUM((F$39:F$44=AF44)*(H$39:H$44&lt;&gt;"")*(I$39:I$44&lt;&gt;"")*(H$39:H$44=I$39:I$44),(K$39:K$44=AF44)*(H$39:H$44&lt;&gt;"")*(I$39:I$44&lt;&gt;"")*(H$39:H$44=I$39:I$44))</f>
        <v>1</v>
      </c>
      <c r="AK44" s="447">
        <f t="array" ref="AK44">SUM((F$39:F$44=AF44)*(I$39:I$44&lt;&gt;"")*(H$39:H$44&lt;&gt;"")*(H$39:H$44&lt;I$39:I$44),(H$39:H$44&lt;&gt;"")*(K$39:K$44=AF44)*(I$39:I$44&lt;&gt;"")*(H$39:H$44&gt;I$39:I$44))</f>
        <v>2</v>
      </c>
      <c r="AL44" s="447">
        <f t="array" ref="AL44">SUMIFS($H$39:$H$44,$F$39:$F$44,AF44,$H$39:$H$44,"&lt;&gt;",$I$39:$I$44,"&lt;&gt;")+SUMIFS($I$39:$I$44,$K$39:$K$44,AF44,$H$39:$H$44,"&lt;&gt;",$I$39:$I$44,"&lt;&gt;")</f>
        <v>2</v>
      </c>
      <c r="AM44" s="447">
        <f t="array" ref="AM44">SUMIFS($H$39:$H$44,$K$39:$K$44,AF44,$H$39:$H$44,"&lt;&gt;",$I$39:$I$44,"&lt;&gt;")+SUMIFS($I$39:$I$44,$F$39:$F$44,AF44,$H$39:$H$44,"&lt;&gt;",$I$39:$I$44,"&lt;&gt;")</f>
        <v>8</v>
      </c>
      <c r="AN44" s="447">
        <f t="shared" si="102"/>
        <v>-6</v>
      </c>
      <c r="AO44" s="447">
        <f>IF(AH44=0,-($AT$13*VLOOKUP(AF44,Tabla3[[ZfP4b()8G6b·$55Ma-t·%fv-ttyZxR-.R*+Fd]:[N!"kvfjM.%&amp;gk5kfmfvv)/%;V$&amp;VW]],2,FALSE)),AG44*$AT$7+AN44*$AT$8+AL44*$AT$9+AX44-($AT$13*VLOOKUP(AF44,Tabla3[[ZfP4b()8G6b·$55Ma-t·%fv-ttyZxR-.R*+Fd]:[N!"kvfjM.%&amp;gk5kfmfvv)/%;V$&amp;VW]],2,FALSE)/100))</f>
        <v>940210999.96000004</v>
      </c>
      <c r="AP44" s="449">
        <f>AE44</f>
        <v>4</v>
      </c>
      <c r="AQ44" s="14"/>
      <c r="AR44" s="14">
        <f t="shared" si="103"/>
        <v>940210999.96000004</v>
      </c>
      <c r="AS44" s="14"/>
      <c r="AT44" s="14"/>
      <c r="AU44" s="14"/>
      <c r="AV44" s="450" t="str">
        <f>AF44</f>
        <v>Rep. de Corea</v>
      </c>
      <c r="AW44" s="451">
        <f>COUNTIF(AG41:AG44,AG44)</f>
        <v>2</v>
      </c>
      <c r="AX44" s="452">
        <f>(AY44*$AT$12)+(BE44*$AT$11)</f>
        <v>11000</v>
      </c>
      <c r="AY44" s="453">
        <f>RANK(AZ44,AZ41:AZ44,1)</f>
        <v>1</v>
      </c>
      <c r="AZ44" s="453">
        <f>SUM(IF(AND(AG44=AG41,AN44=AN41,AL44=AL41),BA44,0),IF(AND(AG44=AG42,AN44=AN42,AL44=AL42),BB44,0),IF(AND(AG44=AG43,AN44=AN43,AL44=AL43),BC44,0))</f>
        <v>0</v>
      </c>
      <c r="BA44" s="454">
        <f>H43</f>
        <v>0</v>
      </c>
      <c r="BB44" s="455">
        <f>H42</f>
        <v>1</v>
      </c>
      <c r="BC44" s="455">
        <f>I40</f>
        <v>1</v>
      </c>
      <c r="BD44" s="456">
        <v>0</v>
      </c>
      <c r="BE44" s="453">
        <f>RANK(BF44,BF41:BF44,1)</f>
        <v>1</v>
      </c>
      <c r="BF44" s="453">
        <f>SUM(IF(AND(AG44=AG41,AN44=AN41,AL44=AL41),BG44,0),IF(AND(AG44=AG42,AN44=AN42,AL44=AL42),BH44,0),IF(AND(AG44=AG43,AN44=AN43,AL44=AL43),BI44,0))</f>
        <v>0</v>
      </c>
      <c r="BG44" s="454">
        <f>BA44-BD41</f>
        <v>-4</v>
      </c>
      <c r="BH44" s="455">
        <f>BB44-BD42</f>
        <v>-2</v>
      </c>
      <c r="BI44" s="455">
        <f>BC44-BD43</f>
        <v>0</v>
      </c>
      <c r="BJ44" s="456">
        <v>0</v>
      </c>
      <c r="BK44" s="410"/>
      <c r="BL44" s="412">
        <f t="shared" si="104"/>
        <v>4</v>
      </c>
      <c r="BM44" s="412" t="s">
        <v>177</v>
      </c>
      <c r="BN44" s="412">
        <f>IF(AH44=0,-($AT$13*VLOOKUP(AF44,Tabla3[[ZfP4b()8G6b·$55Ma-t·%fv-ttyZxR-.R*+Fd]:[N!"kvfjM.%&amp;gk5kfmfvv)/%;V$&amp;VW]],2,FALSE)),AG44*$AT$7+AN44*$AT$8+AL44*$AT$9+AX44-($AT$13*VLOOKUP(AF44,Tabla3[[ZfP4b()8G6b·$55Ma-t·%fv-ttyZxR-.R*+Fd]:[N!"kvfjM.%&amp;gk5kfmfvv)/%;V$&amp;VW]],2,FALSE)/100))</f>
        <v>940210999.96000004</v>
      </c>
      <c r="BO44" s="412" t="str">
        <f t="shared" si="105"/>
        <v>Rep. de Corea</v>
      </c>
      <c r="BP44" s="412">
        <f t="shared" si="106"/>
        <v>940210999.96000004</v>
      </c>
      <c r="BQ44" s="410"/>
      <c r="BR44" s="412">
        <v>4</v>
      </c>
      <c r="BS44" s="412" t="str">
        <f t="shared" si="107"/>
        <v>Rep. de Corea</v>
      </c>
      <c r="BT44" s="412">
        <f t="shared" si="108"/>
        <v>1</v>
      </c>
      <c r="BU44" s="444">
        <f t="shared" si="109"/>
        <v>30100000.00999999</v>
      </c>
      <c r="BV44" s="412">
        <f t="shared" si="110"/>
        <v>-6</v>
      </c>
      <c r="BW44" s="412">
        <f t="shared" si="111"/>
        <v>2</v>
      </c>
      <c r="BX44" s="410">
        <f>IF($BY$41=$CA$40,$DC$5:$DC$8,IF(OR($BY$41=$CC$40,$BY$41=$CG$40),$DG$5:$DG$6,IF($BY$41=$CE$40,$DF$5:$DF$7,$DL$5)))</f>
        <v>4</v>
      </c>
      <c r="BY44" s="14"/>
      <c r="BZ44" s="14">
        <v>4</v>
      </c>
      <c r="CA44" s="418">
        <f t="array" ref="CA44">IF(AND($BT$41:$BT$44=$BT$44,$BU$41:$BU$44&lt;440,$AN$41:$AN$44=$AN$44,$BW$41:$BW$44=$BW$44),1,0)</f>
        <v>0</v>
      </c>
      <c r="CB44" s="418">
        <f t="array" ref="CB44">IF(AND($BT$41:$BT$43=$BT$41,$BU$41:$BU$43&lt;440,$BU$44&gt;440,$BT$41&lt;&gt;$BT$44),1,0)</f>
        <v>0</v>
      </c>
      <c r="CC44" s="418">
        <f t="array" ref="CC44">IF(AND($BT$43:$BT$44=$BT$43,$BU$43:$BU$44&lt;440,$BT$43&lt;&gt;$BT$42),1,0)</f>
        <v>0</v>
      </c>
      <c r="CD44" s="418">
        <f t="array" ref="CD44">IF(AND($BT$44&lt;&gt;$BT$42,$BT$44&lt;&gt;$BT$41),1,0)</f>
        <v>1</v>
      </c>
      <c r="CE44" s="418">
        <f t="array" ref="CE44">IF(AND($BT$42:$BT$44=$BT$42,$BU$42:$BU$44&lt;440,$BT$41&lt;&gt;$BT$44),1,0)</f>
        <v>0</v>
      </c>
      <c r="CF44" s="418">
        <f t="array" ref="CF44">IF(AND($BT$44&lt;&gt;$BT$42,$BT$44&lt;&gt;$BT$41),1,0)</f>
        <v>1</v>
      </c>
      <c r="CG44" s="418">
        <f t="array" ref="CG44">IF(AND($BT$43:$BT$44=$BT$43,$BU$43:$BU$44&lt;440,$BT$43&lt;&gt;$BT$42),1,0)</f>
        <v>0</v>
      </c>
      <c r="CH44" s="418">
        <f t="array" ref="CH44">IF(AND($BT$44&lt;&gt;$BT$42,$BT$44&lt;&gt;$BT$41),1,0)</f>
        <v>1</v>
      </c>
      <c r="CI44" s="418">
        <f t="array" ref="CI44">IF(AND($BT$41:$BT$44=$BT$41,$BU$41:$BU$44&lt;440,$BV$43:$BV$44=$BV$44,$BV$42&lt;&gt;$BV$44),1,0)</f>
        <v>0</v>
      </c>
      <c r="CJ44" s="418">
        <f t="array" ref="CJ44">IF(AND($BT$41:$BT$44=$BT$41,$BU$41:$BU$44&lt;440,$BV$41:$BV$44=$BV$41,$BW$43=$BW$44,$BW$42&lt;&gt;$BW$43),1,0)</f>
        <v>0</v>
      </c>
      <c r="CK44" s="418">
        <f t="array" ref="CK44">IF(AND($BT$41:$BT$43=$BT$41,$BU$41:$BU$42&lt;440,$BT$43&lt;&gt;$BT$44),1,0)</f>
        <v>0</v>
      </c>
      <c r="CL44" s="418">
        <f t="array" ref="CL44">IF(AND($BT$42&lt;&gt;$BT$41,$BT$42:$BT$44=$BT$43,$BU$42&gt;440,$BU$43:$BU$44&lt;440),1,0)</f>
        <v>0</v>
      </c>
      <c r="CM44" s="418">
        <f t="array" ref="CM44">IF(AND($BT$42&lt;&gt;$BT$41,$BT$42:$BT$44=$BT$42,$BU$44&gt;440,$BU$42:$BU$43&lt;440),1,0)</f>
        <v>0</v>
      </c>
      <c r="CN44" s="418">
        <f t="array" ref="CN44">IF(AND($BT$44&lt;&gt;$BT$42,$BT$44&lt;&gt;$BT$43),1,0)</f>
        <v>0</v>
      </c>
      <c r="CO44" s="418">
        <f t="array" ref="CO44">IF(AND($BT$41:$BT$44=$BT$42,$BU$42:$BU$44&lt;440,$BU$41&lt;&gt;$BU$44),1,0)</f>
        <v>0</v>
      </c>
      <c r="CP44" s="418">
        <f t="array" ref="CP44">IF(AND($BT$41:$BT$44=$BT$41,$BU$41:$BU$43&lt;440,$BU$43&lt;&gt;$BU$44),1,0)</f>
        <v>0</v>
      </c>
      <c r="CQ44" s="418">
        <f t="array" ref="CQ44">IF(AND($BT$41:$BT$44=$BT$44,$BU$41:$BU$42&gt;440,$BU$43:$BU$44&lt;440,$BV$41:$BV$44=$BV$44,$BW$41&gt;$BW$42,$BW$42&gt;$BW$44,$BW$43=$BW$44),1,0)</f>
        <v>0</v>
      </c>
      <c r="CR44" s="418">
        <f t="array" ref="CR44">IF(AND($BT$41:$BT$44=$BT$42,$BU$41&gt;440,$BU$42:$BU$43&lt;440,$BU$44&gt;440,$BV$41:$BV$44=$BV$44,$BW$41&gt;$BW$44,$BW$42=$BW$43,$BW$42&gt;$BW$44),1,0)</f>
        <v>0</v>
      </c>
      <c r="CS44" s="418">
        <f t="array" ref="CS44">IF(AND($BT$41:$BT$44=$BT$44,$BU$41:$BU$42&lt;440,$BU$43:$BU$44&gt;440,$BV$41:$BV$44=$BV$44,$BW$41=$BW$42,$BW$42&gt;$BW$43,$BW$43&gt;$BW$44),1,0)</f>
        <v>0</v>
      </c>
      <c r="CT44" s="418">
        <f t="array" ref="CT44">IF(AND($BT$41:$BT$44=$BT$44,$BU$41:$BU$42&gt;440,$BU$43:$BU$44&lt;440,$BV$41:$BV$44=$BV$44,$BW$41&gt;$BW$44,$BW$42:$BW$44=$BW$44),1,0)</f>
        <v>0</v>
      </c>
      <c r="CU44" s="418">
        <f t="array" ref="CU44">IF(AND($BT$41:$BT$44=$BT$44,$BU$41:$BU$42&lt;440,$BU$43:$BU$44&gt;440,$BV$41:$BV$44=$BV$44,$BW$41:$BW$43=$BW$43,$BW$41:$BW$43&gt;$BW$44),1,0)</f>
        <v>0</v>
      </c>
      <c r="CV44" s="418">
        <f t="array" ref="CV44">IF(AND($BT$41:$BT$44=$BT$44,$BU$41&gt;440,$BU$44&gt;440,$BU$42:$BU$43&lt;440,$BV$41:$BV$44=$BV$44,$BW$41&gt;$BW$42:$BW$44,$BW$42:$BW$44=$BW$44),1,0)</f>
        <v>0</v>
      </c>
      <c r="CW44" s="418"/>
      <c r="CX44" s="418"/>
      <c r="CY44" s="14"/>
      <c r="CZ44" s="14"/>
      <c r="DA44" s="14"/>
      <c r="DB44" s="14"/>
      <c r="DC44" s="14"/>
      <c r="DD44" s="14"/>
      <c r="DE44" s="14"/>
      <c r="DF44" s="14"/>
      <c r="DG44" s="14"/>
      <c r="DH44" s="14"/>
      <c r="DI44" s="14"/>
      <c r="DJ44" s="14"/>
      <c r="DK44" s="14"/>
      <c r="DL44" s="14"/>
      <c r="DM44" s="14"/>
      <c r="DN44" s="475"/>
    </row>
    <row r="45" spans="1:118 12887:12887" ht="7.5" customHeight="1" thickBot="1" x14ac:dyDescent="0.3">
      <c r="A45" s="74"/>
      <c r="B45" s="313"/>
      <c r="C45" s="314"/>
      <c r="D45" s="315"/>
      <c r="E45" s="316"/>
      <c r="F45" s="358"/>
      <c r="G45" s="254"/>
      <c r="H45" s="394"/>
      <c r="I45" s="394"/>
      <c r="J45" s="236"/>
      <c r="K45" s="382"/>
      <c r="L45" s="149"/>
      <c r="M45" s="79"/>
      <c r="N45" s="26"/>
      <c r="O45" s="25"/>
      <c r="P45" s="54"/>
      <c r="Q45" s="26"/>
      <c r="R45" s="26"/>
      <c r="S45" s="26"/>
      <c r="T45" s="26"/>
      <c r="U45" s="26"/>
      <c r="V45" s="26"/>
      <c r="W45" s="26"/>
      <c r="X45" s="28"/>
      <c r="Y45" s="28"/>
      <c r="Z45" s="28"/>
      <c r="AA45" s="28"/>
      <c r="AB45" s="28"/>
      <c r="AC45" s="413"/>
      <c r="AD45" s="14"/>
      <c r="AE45" s="457"/>
      <c r="AF45" s="410"/>
      <c r="AG45" s="457"/>
      <c r="AH45" s="458"/>
      <c r="AI45" s="458"/>
      <c r="AJ45" s="458"/>
      <c r="AK45" s="457"/>
      <c r="AL45" s="457"/>
      <c r="AM45" s="457"/>
      <c r="AN45" s="457"/>
      <c r="AO45" s="458"/>
      <c r="AP45" s="457"/>
      <c r="AQ45" s="14"/>
      <c r="AR45" s="14"/>
      <c r="AS45" s="14"/>
      <c r="AT45" s="14"/>
      <c r="AU45" s="14"/>
      <c r="AV45" s="459"/>
      <c r="AW45" s="457"/>
      <c r="AX45" s="457"/>
      <c r="AY45" s="460"/>
      <c r="AZ45" s="461"/>
      <c r="BA45" s="461"/>
      <c r="BB45" s="461"/>
      <c r="BC45" s="461"/>
      <c r="BD45" s="462"/>
      <c r="BE45" s="460"/>
      <c r="BF45" s="461"/>
      <c r="BG45" s="461"/>
      <c r="BH45" s="461"/>
      <c r="BI45" s="461"/>
      <c r="BJ45" s="462"/>
      <c r="BK45" s="410"/>
      <c r="BL45" s="410"/>
      <c r="BM45" s="410"/>
      <c r="BN45" s="410"/>
      <c r="BO45" s="410"/>
      <c r="BP45" s="410"/>
      <c r="BQ45" s="410"/>
      <c r="BR45" s="410"/>
      <c r="BS45" s="410"/>
      <c r="BT45" s="410"/>
      <c r="BU45" s="468"/>
      <c r="BV45" s="410"/>
      <c r="BW45" s="410"/>
      <c r="BX45" s="410"/>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475"/>
    </row>
    <row r="46" spans="1:118 12887:12887" ht="15.75" customHeight="1" thickBot="1" x14ac:dyDescent="0.3">
      <c r="A46" s="74"/>
      <c r="B46" s="530" t="s">
        <v>8</v>
      </c>
      <c r="C46" s="317">
        <v>43269</v>
      </c>
      <c r="D46" s="318">
        <v>0.70833333333333337</v>
      </c>
      <c r="E46" s="319" t="s">
        <v>207</v>
      </c>
      <c r="F46" s="359" t="s">
        <v>150</v>
      </c>
      <c r="G46" s="255"/>
      <c r="H46" s="483">
        <v>6</v>
      </c>
      <c r="I46" s="483">
        <v>0</v>
      </c>
      <c r="J46" s="237"/>
      <c r="K46" s="383" t="s">
        <v>176</v>
      </c>
      <c r="L46" s="149">
        <f t="shared" ref="L46:L51" si="112">IF(NOT(OR(ISBLANK(H46),ISBLANK(I46))),1,0)</f>
        <v>1</v>
      </c>
      <c r="M46" s="79"/>
      <c r="N46" s="203" t="s">
        <v>105</v>
      </c>
      <c r="O46" s="204"/>
      <c r="P46" s="204"/>
      <c r="Q46" s="204"/>
      <c r="R46" s="204"/>
      <c r="S46" s="204"/>
      <c r="T46" s="204"/>
      <c r="U46" s="204"/>
      <c r="V46" s="204"/>
      <c r="W46" s="205"/>
      <c r="X46" s="28"/>
      <c r="Y46" s="567" t="s">
        <v>218</v>
      </c>
      <c r="Z46" s="567"/>
      <c r="AA46" s="567"/>
      <c r="AB46" s="28"/>
      <c r="AC46" s="413"/>
      <c r="AD46" s="14"/>
      <c r="AE46" s="414" t="s">
        <v>106</v>
      </c>
      <c r="AF46" s="463"/>
      <c r="AG46" s="14"/>
      <c r="AH46" s="457"/>
      <c r="AI46" s="14"/>
      <c r="AJ46" s="457"/>
      <c r="AK46" s="14"/>
      <c r="AL46" s="14"/>
      <c r="AM46" s="14"/>
      <c r="AN46" s="14"/>
      <c r="AO46" s="457"/>
      <c r="AP46" s="415"/>
      <c r="AQ46" s="14"/>
      <c r="AR46" s="14"/>
      <c r="AS46" s="14"/>
      <c r="AT46" s="14"/>
      <c r="AU46" s="14"/>
      <c r="AV46" s="416" t="str">
        <f>CONCATENATE(N46," - GOLAVERAGE")</f>
        <v>Grupo G - GOLAVERAGE</v>
      </c>
      <c r="AW46" s="417"/>
      <c r="AX46" s="417"/>
      <c r="AY46" s="508" t="s">
        <v>49</v>
      </c>
      <c r="AZ46" s="509"/>
      <c r="BA46" s="509"/>
      <c r="BB46" s="509"/>
      <c r="BC46" s="509"/>
      <c r="BD46" s="510"/>
      <c r="BE46" s="508" t="s">
        <v>48</v>
      </c>
      <c r="BF46" s="509"/>
      <c r="BG46" s="509"/>
      <c r="BH46" s="509"/>
      <c r="BI46" s="509"/>
      <c r="BJ46" s="510"/>
      <c r="BK46" s="410"/>
      <c r="BL46" s="410"/>
      <c r="BM46" s="463"/>
      <c r="BN46" s="410"/>
      <c r="BO46" s="410"/>
      <c r="BP46" s="410"/>
      <c r="BQ46" s="410"/>
      <c r="BR46" s="410"/>
      <c r="BS46" s="410"/>
      <c r="BT46" s="410"/>
      <c r="BU46" s="468"/>
      <c r="BV46" s="410"/>
      <c r="BW46" s="410"/>
      <c r="BX46" s="410"/>
      <c r="BY46" s="14"/>
      <c r="BZ46" s="14" t="s">
        <v>216</v>
      </c>
      <c r="CA46" s="418">
        <f>SUM(CA48:CA51)</f>
        <v>0</v>
      </c>
      <c r="CB46" s="418">
        <f t="shared" ref="CB46:CX46" si="113">SUM(CB48:CB51)</f>
        <v>0</v>
      </c>
      <c r="CC46" s="418">
        <f t="shared" si="113"/>
        <v>0</v>
      </c>
      <c r="CD46" s="418">
        <f t="shared" si="113"/>
        <v>2</v>
      </c>
      <c r="CE46" s="418">
        <f t="shared" si="113"/>
        <v>0</v>
      </c>
      <c r="CF46" s="418">
        <f t="shared" si="113"/>
        <v>1</v>
      </c>
      <c r="CG46" s="418">
        <f t="shared" si="113"/>
        <v>0</v>
      </c>
      <c r="CH46" s="418">
        <f t="shared" si="113"/>
        <v>2</v>
      </c>
      <c r="CI46" s="418">
        <f t="shared" si="113"/>
        <v>0</v>
      </c>
      <c r="CJ46" s="418">
        <f t="shared" si="113"/>
        <v>0</v>
      </c>
      <c r="CK46" s="418">
        <f t="shared" si="113"/>
        <v>0</v>
      </c>
      <c r="CL46" s="418">
        <f t="shared" si="113"/>
        <v>0</v>
      </c>
      <c r="CM46" s="418">
        <f t="shared" si="113"/>
        <v>0</v>
      </c>
      <c r="CN46" s="418">
        <f t="shared" si="113"/>
        <v>1</v>
      </c>
      <c r="CO46" s="418">
        <f t="shared" si="113"/>
        <v>0</v>
      </c>
      <c r="CP46" s="418">
        <f t="shared" si="113"/>
        <v>0</v>
      </c>
      <c r="CQ46" s="418">
        <f t="shared" si="113"/>
        <v>0</v>
      </c>
      <c r="CR46" s="418">
        <f t="shared" si="113"/>
        <v>0</v>
      </c>
      <c r="CS46" s="418">
        <f t="shared" si="113"/>
        <v>0</v>
      </c>
      <c r="CT46" s="418">
        <f t="shared" si="113"/>
        <v>0</v>
      </c>
      <c r="CU46" s="418">
        <f t="shared" si="113"/>
        <v>0</v>
      </c>
      <c r="CV46" s="418">
        <f t="shared" si="113"/>
        <v>0</v>
      </c>
      <c r="CW46" s="418">
        <f t="shared" si="113"/>
        <v>0</v>
      </c>
      <c r="CX46" s="418">
        <f t="shared" si="113"/>
        <v>0</v>
      </c>
      <c r="CY46" s="14"/>
      <c r="CZ46" s="14"/>
      <c r="DA46" s="14"/>
      <c r="DB46" s="14"/>
      <c r="DC46" s="14"/>
      <c r="DD46" s="14"/>
      <c r="DE46" s="14"/>
      <c r="DF46" s="14"/>
      <c r="DG46" s="14"/>
      <c r="DH46" s="14"/>
      <c r="DI46" s="14"/>
      <c r="DJ46" s="14"/>
      <c r="DK46" s="14"/>
      <c r="DL46" s="14"/>
      <c r="DM46" s="14"/>
      <c r="DN46" s="475"/>
    </row>
    <row r="47" spans="1:118 12887:12887" x14ac:dyDescent="0.25">
      <c r="A47" s="74"/>
      <c r="B47" s="530"/>
      <c r="C47" s="317">
        <v>43269</v>
      </c>
      <c r="D47" s="318">
        <v>0.83333333333333337</v>
      </c>
      <c r="E47" s="319" t="s">
        <v>221</v>
      </c>
      <c r="F47" s="359" t="s">
        <v>165</v>
      </c>
      <c r="G47" s="255"/>
      <c r="H47" s="484">
        <v>1</v>
      </c>
      <c r="I47" s="484">
        <v>4</v>
      </c>
      <c r="J47" s="237"/>
      <c r="K47" s="384" t="s">
        <v>158</v>
      </c>
      <c r="L47" s="149">
        <f t="shared" si="112"/>
        <v>1</v>
      </c>
      <c r="M47" s="79"/>
      <c r="N47" s="206" t="s">
        <v>26</v>
      </c>
      <c r="O47" s="207" t="s">
        <v>6</v>
      </c>
      <c r="P47" s="208" t="s">
        <v>12</v>
      </c>
      <c r="Q47" s="208" t="s">
        <v>7</v>
      </c>
      <c r="R47" s="208" t="s">
        <v>8</v>
      </c>
      <c r="S47" s="208" t="s">
        <v>4</v>
      </c>
      <c r="T47" s="208" t="s">
        <v>9</v>
      </c>
      <c r="U47" s="208" t="s">
        <v>10</v>
      </c>
      <c r="V47" s="208" t="s">
        <v>11</v>
      </c>
      <c r="W47" s="209" t="s">
        <v>14</v>
      </c>
      <c r="X47" s="403">
        <f>COUNTIF(X48:X51,"&lt;100")</f>
        <v>0</v>
      </c>
      <c r="Y47" s="567"/>
      <c r="Z47" s="567"/>
      <c r="AA47" s="567"/>
      <c r="AB47" s="29"/>
      <c r="AC47" s="413"/>
      <c r="AD47" s="419"/>
      <c r="AE47" s="420" t="s">
        <v>16</v>
      </c>
      <c r="AF47" s="467" t="s">
        <v>6</v>
      </c>
      <c r="AG47" s="421" t="s">
        <v>17</v>
      </c>
      <c r="AH47" s="421" t="s">
        <v>7</v>
      </c>
      <c r="AI47" s="421" t="s">
        <v>8</v>
      </c>
      <c r="AJ47" s="421" t="s">
        <v>4</v>
      </c>
      <c r="AK47" s="421" t="s">
        <v>9</v>
      </c>
      <c r="AL47" s="421" t="s">
        <v>10</v>
      </c>
      <c r="AM47" s="421" t="s">
        <v>11</v>
      </c>
      <c r="AN47" s="421" t="s">
        <v>14</v>
      </c>
      <c r="AO47" s="421" t="s">
        <v>18</v>
      </c>
      <c r="AP47" s="422" t="s">
        <v>16</v>
      </c>
      <c r="AQ47" s="14"/>
      <c r="AR47" s="14"/>
      <c r="AS47" s="14"/>
      <c r="AT47" s="14"/>
      <c r="AU47" s="14"/>
      <c r="AV47" s="425" t="s">
        <v>6</v>
      </c>
      <c r="AW47" s="426" t="s">
        <v>50</v>
      </c>
      <c r="AX47" s="427" t="s">
        <v>53</v>
      </c>
      <c r="AY47" s="428" t="s">
        <v>52</v>
      </c>
      <c r="AZ47" s="426" t="s">
        <v>47</v>
      </c>
      <c r="BA47" s="429" t="str">
        <f>AV48</f>
        <v>Bélgica</v>
      </c>
      <c r="BB47" s="430" t="str">
        <f>AV49</f>
        <v>Panamá</v>
      </c>
      <c r="BC47" s="430" t="str">
        <f>AV50</f>
        <v>Túnez</v>
      </c>
      <c r="BD47" s="431" t="str">
        <f>AV51</f>
        <v>Inglaterra</v>
      </c>
      <c r="BE47" s="426" t="s">
        <v>52</v>
      </c>
      <c r="BF47" s="426" t="s">
        <v>47</v>
      </c>
      <c r="BG47" s="429" t="str">
        <f>BA47</f>
        <v>Bélgica</v>
      </c>
      <c r="BH47" s="430" t="str">
        <f t="shared" ref="BH47" si="114">BB47</f>
        <v>Panamá</v>
      </c>
      <c r="BI47" s="430" t="str">
        <f t="shared" ref="BI47" si="115">BC47</f>
        <v>Túnez</v>
      </c>
      <c r="BJ47" s="431" t="str">
        <f t="shared" ref="BJ47" si="116">BD47</f>
        <v>Inglaterra</v>
      </c>
      <c r="BK47" s="410"/>
      <c r="BL47" s="432"/>
      <c r="BM47" s="432" t="s">
        <v>184</v>
      </c>
      <c r="BN47" s="432"/>
      <c r="BO47" s="432" t="s">
        <v>185</v>
      </c>
      <c r="BP47" s="432"/>
      <c r="BQ47" s="410"/>
      <c r="BR47" s="433"/>
      <c r="BS47" s="433" t="s">
        <v>6</v>
      </c>
      <c r="BT47" s="433" t="s">
        <v>17</v>
      </c>
      <c r="BU47" s="469" t="s">
        <v>204</v>
      </c>
      <c r="BV47" s="433" t="s">
        <v>14</v>
      </c>
      <c r="BW47" s="433" t="s">
        <v>205</v>
      </c>
      <c r="BX47" s="410"/>
      <c r="BY47" s="14"/>
      <c r="BZ47" s="14" t="s">
        <v>217</v>
      </c>
      <c r="CA47" s="418" t="s">
        <v>188</v>
      </c>
      <c r="CB47" s="418" t="s">
        <v>197</v>
      </c>
      <c r="CC47" s="418" t="s">
        <v>198</v>
      </c>
      <c r="CD47" s="418" t="s">
        <v>199</v>
      </c>
      <c r="CE47" s="418" t="s">
        <v>200</v>
      </c>
      <c r="CF47" s="418" t="s">
        <v>201</v>
      </c>
      <c r="CG47" s="418" t="s">
        <v>202</v>
      </c>
      <c r="CH47" s="418" t="s">
        <v>203</v>
      </c>
      <c r="CI47" s="418" t="s">
        <v>198</v>
      </c>
      <c r="CJ47" s="418" t="s">
        <v>198</v>
      </c>
      <c r="CK47" s="418" t="s">
        <v>199</v>
      </c>
      <c r="CL47" s="418" t="s">
        <v>202</v>
      </c>
      <c r="CM47" s="418" t="s">
        <v>201</v>
      </c>
      <c r="CN47" s="418" t="s">
        <v>201</v>
      </c>
      <c r="CO47" s="418" t="s">
        <v>200</v>
      </c>
      <c r="CP47" s="418" t="s">
        <v>197</v>
      </c>
      <c r="CQ47" s="418" t="s">
        <v>202</v>
      </c>
      <c r="CR47" s="418" t="s">
        <v>201</v>
      </c>
      <c r="CS47" s="418" t="s">
        <v>199</v>
      </c>
      <c r="CT47" s="418" t="s">
        <v>202</v>
      </c>
      <c r="CU47" s="418" t="s">
        <v>199</v>
      </c>
      <c r="CV47" s="418" t="s">
        <v>201</v>
      </c>
      <c r="CW47" s="418"/>
      <c r="CX47" s="418"/>
      <c r="CY47" s="14"/>
      <c r="CZ47" s="14"/>
      <c r="DA47" s="14"/>
      <c r="DB47" s="14"/>
      <c r="DC47" s="14"/>
      <c r="DD47" s="14"/>
      <c r="DE47" s="14"/>
      <c r="DF47" s="14"/>
      <c r="DG47" s="14"/>
      <c r="DH47" s="14"/>
      <c r="DI47" s="14"/>
      <c r="DJ47" s="14"/>
      <c r="DK47" s="14"/>
      <c r="DL47" s="14"/>
      <c r="DM47" s="14"/>
      <c r="DN47" s="475"/>
    </row>
    <row r="48" spans="1:118 12887:12887" x14ac:dyDescent="0.25">
      <c r="A48" s="74"/>
      <c r="B48" s="530"/>
      <c r="C48" s="317">
        <v>43274</v>
      </c>
      <c r="D48" s="318">
        <v>0.58333333333333337</v>
      </c>
      <c r="E48" s="319" t="s">
        <v>209</v>
      </c>
      <c r="F48" s="359" t="s">
        <v>150</v>
      </c>
      <c r="G48" s="255"/>
      <c r="H48" s="484">
        <v>4</v>
      </c>
      <c r="I48" s="484">
        <v>1</v>
      </c>
      <c r="J48" s="237"/>
      <c r="K48" s="384" t="s">
        <v>165</v>
      </c>
      <c r="L48" s="149">
        <f t="shared" si="112"/>
        <v>1</v>
      </c>
      <c r="M48" s="79"/>
      <c r="N48" s="48">
        <v>1</v>
      </c>
      <c r="O48" s="47" t="str">
        <f>VLOOKUP(N48,$AD$48:$AF$51,3,0)</f>
        <v>Bélgica</v>
      </c>
      <c r="P48" s="39">
        <f>VLOOKUP(O48,AF48:AO51,2,FALSE)</f>
        <v>7</v>
      </c>
      <c r="Q48" s="39">
        <f>VLOOKUP(O48,AF48:AO51,3,FALSE)</f>
        <v>3</v>
      </c>
      <c r="R48" s="39">
        <f>VLOOKUP(O48,AF48:AO51,4,FALSE)</f>
        <v>2</v>
      </c>
      <c r="S48" s="39">
        <f>VLOOKUP(O48,AF48:AO51,5,FALSE)</f>
        <v>1</v>
      </c>
      <c r="T48" s="39">
        <f>VLOOKUP(O48,AF48:AO51,6,FALSE)</f>
        <v>0</v>
      </c>
      <c r="U48" s="39">
        <f>VLOOKUP(O48,AF48:AO51,7,FALSE)</f>
        <v>13</v>
      </c>
      <c r="V48" s="39">
        <f>VLOOKUP(O48,AF48:AO51,8,FALSE)</f>
        <v>4</v>
      </c>
      <c r="W48" s="49">
        <f>VLOOKUP(O48,AF48:AO51,9,FALSE)</f>
        <v>9</v>
      </c>
      <c r="X48" s="28">
        <f>IF(SUM($AH$48:$AH$51)=12,MIN(ABS(BP47-BP48),ABS(BP48-BP49)),100)</f>
        <v>30300000.029999733</v>
      </c>
      <c r="Y48" s="402" t="str">
        <f>IF(AND(X48&gt;=0,X48&lt;90),VLOOKUP(N48,$BL$48:$BM$51,2,0),"")</f>
        <v/>
      </c>
      <c r="Z48" s="406"/>
      <c r="AA48" s="29"/>
      <c r="AB48" s="29"/>
      <c r="AC48" s="413">
        <f>VLOOKUP(O48,$AF$48:$AO$51,10,FALSE)</f>
        <v>7091310999.9899998</v>
      </c>
      <c r="AD48" s="14">
        <f>RANK(AR48,$AR$48:$AR$51)</f>
        <v>1</v>
      </c>
      <c r="AE48" s="434">
        <f>RANK(AO48,AO48:AO51)</f>
        <v>1</v>
      </c>
      <c r="AF48" s="412" t="s">
        <v>150</v>
      </c>
      <c r="AG48" s="418">
        <f>AI48*3+AJ48*1+AK48*0</f>
        <v>7</v>
      </c>
      <c r="AH48" s="418">
        <f>COUNTIFS($F$46:$F$51,AF48,$H$46:$H$51,"&lt;&gt;",$I$46:$I$51,"&lt;&gt;")+COUNTIFS($K$46:$K$51,AF48,$I$46:$I$51,"&lt;&gt;",$H$46:$H$51,"&lt;&gt;")</f>
        <v>3</v>
      </c>
      <c r="AI48" s="418">
        <f t="array" ref="AI48">SUM((F$46:F$51=AF48)*(H$46:H$51&lt;&gt;"")*(I$46:I$51&lt;&gt;"")*(H$46:H$51&gt;I$46:I$51),(K$46:K$51=AF48)*(H$46:H$51&lt;&gt;"")*(I$46:I$51&lt;&gt;"")*(H$46:H$51&lt;I$46:I$51))</f>
        <v>2</v>
      </c>
      <c r="AJ48" s="418">
        <f t="array" ref="AJ48">SUM((F$46:F$51=AF48)*(H$46:H$51&lt;&gt;"")*(I$46:I$51&lt;&gt;"")*(H$46:H$51=I$46:I$51),(K$46:K$51=AF48)*(I$46:I$51&lt;&gt;"")*(H$46:H$51&lt;&gt;"")*(H$46:H$51=I$46:I$51))</f>
        <v>1</v>
      </c>
      <c r="AK48" s="418">
        <f t="array" ref="AK48">SUM((F$46:F$51=AF48)*(I$46:I$51&lt;&gt;"")*(H$46:H$51&lt;&gt;"")*(H$46:H$51&lt;I$46:I$51),(H$46:H$51&lt;&gt;"")*(K$46:K$51=AF48)*(I$46:I$51&lt;&gt;"")*(H$46:H$51&gt;I$46:I$51))</f>
        <v>0</v>
      </c>
      <c r="AL48" s="418">
        <f t="array" ref="AL48">SUMIFS($H$46:$H$51,$F$46:$F$51,AF48,$H$46:$H$51,"&lt;&gt;",$I$46:$I$51,"&lt;&gt;")+SUMIFS($I$46:$I$51,$K$46:$K$51,AF48,$H$46:$H$51,"&lt;&gt;",$I$46:$I$51,"&lt;&gt;")</f>
        <v>13</v>
      </c>
      <c r="AM48" s="418">
        <f t="array" ref="AM48">SUMIFS($H$46:$H$51,$K$46:$K$51,AF48,$H$46:$H$51,"&lt;&gt;",$I$46:$I$51,"&lt;&gt;")+SUMIFS($I$46:$I$51,$F$46:$F$51,AF48,$H$46:$H$51,"&lt;&gt;",$I$46:$I$51,"&lt;&gt;")</f>
        <v>4</v>
      </c>
      <c r="AN48" s="418">
        <f>AL48-AM48</f>
        <v>9</v>
      </c>
      <c r="AO48" s="418">
        <f>IF(AH48=0,-($AT$13*VLOOKUP(AF48,Tabla3[[ZfP4b()8G6b·$55Ma-t·%fv-ttyZxR-.R*+Fd]:[N!"kvfjM.%&amp;gk5kfmfvv)/%;V$&amp;VW]],2,FALSE)),AG48*$AT$7+AN48*$AT$8+AL48*$AT$9+AX48-($AT$13*VLOOKUP(AF48,Tabla3[[ZfP4b()8G6b·$55Ma-t·%fv-ttyZxR-.R*+Fd]:[N!"kvfjM.%&amp;gk5kfmfvv)/%;V$&amp;VW]],2,FALSE)/100))</f>
        <v>7091310999.9899998</v>
      </c>
      <c r="AP48" s="435">
        <f>AE48</f>
        <v>1</v>
      </c>
      <c r="AQ48" s="14"/>
      <c r="AR48" s="14">
        <f>IFERROR(AO48-VLOOKUP(AF48,$Y$48:$Z$51,2,0),AO48)</f>
        <v>7091310999.9899998</v>
      </c>
      <c r="AS48" s="14"/>
      <c r="AT48" s="14"/>
      <c r="AU48" s="14"/>
      <c r="AV48" s="438" t="str">
        <f>AF48</f>
        <v>Bélgica</v>
      </c>
      <c r="AW48" s="418">
        <f>COUNTIF(AG48:AG51,AG48)</f>
        <v>2</v>
      </c>
      <c r="AX48" s="439">
        <f>(AY48*$AT$12)+(BE48*$AT$11)</f>
        <v>11000</v>
      </c>
      <c r="AY48" s="440">
        <f>RANK(AZ48,AZ48:AZ51,1)</f>
        <v>1</v>
      </c>
      <c r="AZ48" s="440">
        <f>SUM(IF(AND(AG48=AG49,AN48=AN49,AL48=AL49),BB48,0),IF(AND(AG48=AG50,AN48=AN50,AL48=AL50),BC48,0),IF(AND(AG48=AG51,AN48=AN51,AL48=AL51),BD48,0))</f>
        <v>0</v>
      </c>
      <c r="BA48" s="441">
        <v>0</v>
      </c>
      <c r="BB48" s="442">
        <f>H46</f>
        <v>6</v>
      </c>
      <c r="BC48" s="442">
        <f>H48</f>
        <v>4</v>
      </c>
      <c r="BD48" s="443">
        <f>I50</f>
        <v>3</v>
      </c>
      <c r="BE48" s="440">
        <f>RANK(BF48,BF48:BF51,1)</f>
        <v>1</v>
      </c>
      <c r="BF48" s="440">
        <f>SUM(IF(AND(AG48=AG49,AN48=AN49,AL48=AL49),BH48,0),IF(AND(AG48=AG50,AN48=AN50,AL48=AL50),BI48,0),IF(AND(AG48=AG51,AN48=AN51,AL48=AL51),BJ48,0))</f>
        <v>0</v>
      </c>
      <c r="BG48" s="441">
        <v>0</v>
      </c>
      <c r="BH48" s="442">
        <f>BB48-BA49</f>
        <v>6</v>
      </c>
      <c r="BI48" s="442">
        <f>BC48-BA50</f>
        <v>3</v>
      </c>
      <c r="BJ48" s="443">
        <f>BD48-BA51</f>
        <v>0</v>
      </c>
      <c r="BK48" s="410"/>
      <c r="BL48" s="412">
        <f>RANK(BN48,$BN$48:$BN$51)</f>
        <v>1</v>
      </c>
      <c r="BM48" s="412" t="s">
        <v>150</v>
      </c>
      <c r="BN48" s="412">
        <f>IF(AH48=0,-($AT$13*VLOOKUP(AF48,Tabla3[[ZfP4b()8G6b·$55Ma-t·%fv-ttyZxR-.R*+Fd]:[N!"kvfjM.%&amp;gk5kfmfvv)/%;V$&amp;VW]],2,FALSE)),AG48*$AT$7+AN48*$AT$8+AL48*$AT$9+AX48-($AT$13*VLOOKUP(AF48,Tabla3[[ZfP4b()8G6b·$55Ma-t·%fv-ttyZxR-.R*+Fd]:[N!"kvfjM.%&amp;gk5kfmfvv)/%;V$&amp;VW]],2,FALSE)/100))</f>
        <v>7091310999.9899998</v>
      </c>
      <c r="BO48" s="412" t="str">
        <f>VLOOKUP(N48,$AE$48:$AF$51,2,0)</f>
        <v>Bélgica</v>
      </c>
      <c r="BP48" s="412">
        <f>VLOOKUP($BO48,$AF$48:$AO$51,10,FALSE)</f>
        <v>7091310999.9899998</v>
      </c>
      <c r="BQ48" s="410"/>
      <c r="BR48" s="412">
        <v>1</v>
      </c>
      <c r="BS48" s="412" t="str">
        <f>VLOOKUP(BR48,$AD$48:$AF$51,3,0)</f>
        <v>Bélgica</v>
      </c>
      <c r="BT48" s="412">
        <f>VLOOKUP(BS48,$AF$48:$AO$51,2,FALSE)</f>
        <v>7</v>
      </c>
      <c r="BU48" s="444">
        <f>IF(SUM($AH$48:$AH$51)=12,MIN(ABS(BP47-BP48),ABS(BP48-BP49)),100)</f>
        <v>30300000.029999733</v>
      </c>
      <c r="BV48" s="412">
        <f>VLOOKUP(BS48,$AF$48:$AO$51,9,FALSE)</f>
        <v>9</v>
      </c>
      <c r="BW48" s="412">
        <f>VLOOKUP(BS48,$AF$48:$AO$51,7,FALSE)</f>
        <v>13</v>
      </c>
      <c r="BX48" s="410">
        <f>IF($BY$48=$CA$47,$DC$5:$DC$8,IF($BY$48=$CB$47,$DD$5:$DD$7,IF(OR($BY$48=$CC$47,$BY$48=$CD$47),$DE$5:$DE$6,$DI$5)))</f>
        <v>1</v>
      </c>
      <c r="BY48" s="418" t="str">
        <f>IFERROR(HLOOKUP(4,CA46:CX47,2,0),CH47)</f>
        <v>COM_8</v>
      </c>
      <c r="BZ48" s="14">
        <v>1</v>
      </c>
      <c r="CA48" s="418">
        <f t="array" ref="CA48">IF(AND($BT$48:$BT$51=$BT$48,$BU$48:$BU$51&lt;510,$AN$48:$AN$51=$AN$48,$BW$48:$BW$51=$BW$48),1,0)</f>
        <v>0</v>
      </c>
      <c r="CB48" s="418">
        <f t="array" ref="CB48">IF(AND($BT$48:$BT$50=$BT$48,$BU$48:$BU$50&lt;510,$BT$48&lt;&gt;$BT$51),1,0)</f>
        <v>0</v>
      </c>
      <c r="CC48" s="418">
        <f t="array" ref="CC48">IF(AND($BT$48:$BT$49=$BT$48,$BU$48:$BU$49&lt;510,$BT$48&lt;&gt;$BT$50),1,0)</f>
        <v>0</v>
      </c>
      <c r="CD48" s="418">
        <f t="array" ref="CD48">IF(AND($BT$48:$BT$49=$BT$48,$BU$48:$BU$49&lt;510,$BT$48&lt;&gt;$BT$50),1,0)</f>
        <v>0</v>
      </c>
      <c r="CE48" s="418">
        <f t="array" ref="CE48">IF(AND($BT$49:$BT$51=$BT$49,$BU$49:$BU$51&lt;510,$BT$48&lt;&gt;$BT$49),1,0)</f>
        <v>0</v>
      </c>
      <c r="CF48" s="418">
        <f t="array" ref="CF48">IF(AND($BT$48&lt;&gt;$BT$49,$BT$48&lt;&gt;$BT$51),1,0)</f>
        <v>0</v>
      </c>
      <c r="CG48" s="418">
        <f t="array" ref="CG48">IF(AND($BT$48&lt;&gt;$BT$49,$BT$48&lt;&gt;$BT$51),1,0)</f>
        <v>0</v>
      </c>
      <c r="CH48" s="418">
        <f t="array" ref="CH48">IF(AND($BT$48&lt;&gt;$BT$49,$BT$48&lt;&gt;$BT$51),1,0)</f>
        <v>0</v>
      </c>
      <c r="CI48" s="418">
        <f t="array" ref="CI48">IF(AND($BT$48:$BT$51=$BT$48,$BU$48:$BU$51&lt;510,$BV$48:$BV$49=$BV$48,$BV$48&lt;&gt;$BV$50),1,0)</f>
        <v>0</v>
      </c>
      <c r="CJ48" s="418">
        <f t="array" ref="CJ48">IF(AND($BT$48:$BT$51=$BT$48,$BU$48:$BU$51&lt;510,$BV$48:$BV$51=$BV$48,$BW$48=$BW$49,$BW$48&lt;&gt;$BW$50),1,0)</f>
        <v>0</v>
      </c>
      <c r="CK48" s="418">
        <f t="array" ref="CK48">IF(AND($BT$48:$BT$50=$BT$48,$BU$48:$BU$49&lt;510,$BU$50&gt;510),1,0)</f>
        <v>0</v>
      </c>
      <c r="CL48" s="418">
        <f t="array" ref="CL48">IF(AND($BT$48&lt;&gt;$BT$49,$BT$48&lt;&gt;$BT$50),1,0)</f>
        <v>0</v>
      </c>
      <c r="CM48" s="418">
        <f t="array" ref="CM48">IF(AND($BT$48&lt;&gt;$BT$49,$BT$48&lt;&gt;$BT$50),1,0)</f>
        <v>0</v>
      </c>
      <c r="CN48" s="418">
        <f t="array" ref="CN48">IF(AND($BT$48&lt;&gt;$BT$51,$BT$48:$BT$50=$BT$48,$BU$48&gt;510,$BU$49:$BU$50&lt;510),1,0)</f>
        <v>0</v>
      </c>
      <c r="CO48" s="418">
        <f t="array" ref="CO48">IF(AND($BT$48:$BT$51=$BT$48,$BU$49:$BU$51&lt;510,$BU$48&lt;&gt;$BU$49),1,0)</f>
        <v>0</v>
      </c>
      <c r="CP48" s="418">
        <f t="array" ref="CP48">IF(AND($BT$48:$BT$51=$BT$48,$BU$48:$BU$50&lt;510,$BU$48&lt;&gt;$BU$51),1,0)</f>
        <v>0</v>
      </c>
      <c r="CQ48" s="418">
        <f t="array" ref="CQ48">IF(AND($BT$48:$BT$51=$BT$48,$BU$48:$BU$49&gt;510,$BU$50:$BU$51&lt;510,$BV$48:$BV$51=$BV$48,$BW$48&gt;$BW$49,$BW$48&gt;$BW$50,$BW$48&gt;$BW$51),1,0)</f>
        <v>0</v>
      </c>
      <c r="CR48" s="418">
        <f t="array" ref="CR48">IF(AND($BT$48:$BT$51=$BT$48,$BU$48&gt;510,$BU$49:$BU$50&lt;510,$BU$51&gt;510,$BV$48:$BV$51=$BV$48,$BW$48&gt;$BW$49,$BW$48&gt;$BW$50,$BW$48&gt;$BW$51),1,0)</f>
        <v>0</v>
      </c>
      <c r="CS48" s="418">
        <f t="array" ref="CS48">IF(AND($BT$48:$BT$51=$BT$48,$BU$48:$BU$49&lt;510,$BU$50:$BU$51&gt;510,$BV$48:$BV$51=$BV$48,$BW$48=$BW$49,$BW$48&gt;$BW$50,$BW$48&gt;$BW$51),1,0)</f>
        <v>0</v>
      </c>
      <c r="CT48" s="418">
        <f t="array" ref="CT48">IF(AND($BT$48:$BT$51=$BT$48,$BU$48:$BU$49&gt;510,$BU$50:$BU$51&lt;510,$BV$48:$BV$51=$BV$48,$BW$48&gt;$BW$49,$BW$49:$BW$51=$BW$49),1,0)</f>
        <v>0</v>
      </c>
      <c r="CU48" s="418">
        <f t="array" ref="CU48">IF(AND($BT$48:$BT$51=$BT$48,$BU$48:$BU$49&lt;510,$BU$50:$BU$51&gt;510,$BV$48:$BV$51=$BV$48,$BW$48:$BW$50=$BW$48,$BW$48&gt;$BW$51),1,0)</f>
        <v>0</v>
      </c>
      <c r="CV48" s="418">
        <f t="array" ref="CV48">IF(AND($BT$48:$BT$51=$BT$48,$BU$48&gt;510,$BU$51&gt;510,$BU$49:$BU$50&lt;510,$BV$48:$BV$51=$BV$48,$BW$48&gt;$BW$49:$BW$51),1,0)</f>
        <v>0</v>
      </c>
      <c r="CW48" s="418"/>
      <c r="CX48" s="418"/>
      <c r="CY48" s="14"/>
      <c r="CZ48" s="14"/>
      <c r="DA48" s="14"/>
      <c r="DB48" s="14"/>
      <c r="DC48" s="14"/>
      <c r="DD48" s="14"/>
      <c r="DE48" s="14"/>
      <c r="DF48" s="14"/>
      <c r="DG48" s="14"/>
      <c r="DH48" s="14"/>
      <c r="DI48" s="14"/>
      <c r="DJ48" s="14"/>
      <c r="DK48" s="14"/>
      <c r="DL48" s="14"/>
      <c r="DM48" s="14"/>
      <c r="DN48" s="475"/>
    </row>
    <row r="49" spans="1:118" x14ac:dyDescent="0.25">
      <c r="A49" s="74"/>
      <c r="B49" s="530"/>
      <c r="C49" s="317">
        <v>43275</v>
      </c>
      <c r="D49" s="318">
        <v>0.58333333333333337</v>
      </c>
      <c r="E49" s="319" t="s">
        <v>210</v>
      </c>
      <c r="F49" s="359" t="s">
        <v>158</v>
      </c>
      <c r="G49" s="255"/>
      <c r="H49" s="484">
        <v>3</v>
      </c>
      <c r="I49" s="484">
        <v>0</v>
      </c>
      <c r="J49" s="237"/>
      <c r="K49" s="384" t="s">
        <v>176</v>
      </c>
      <c r="L49" s="149">
        <f t="shared" si="112"/>
        <v>1</v>
      </c>
      <c r="M49" s="79"/>
      <c r="N49" s="48">
        <v>2</v>
      </c>
      <c r="O49" s="47" t="str">
        <f>VLOOKUP(N49,$AD$48:$AF$51,3,0)</f>
        <v>Inglaterra</v>
      </c>
      <c r="P49" s="39">
        <f>VLOOKUP(O49,AF48:AO51,2,FALSE)</f>
        <v>7</v>
      </c>
      <c r="Q49" s="39">
        <f>VLOOKUP(O49,AF48:AO51,3,FALSE)</f>
        <v>3</v>
      </c>
      <c r="R49" s="39">
        <f>VLOOKUP(O49,AF48:AO51,4,FALSE)</f>
        <v>2</v>
      </c>
      <c r="S49" s="39">
        <f>VLOOKUP(O49,AF48:AO51,5,FALSE)</f>
        <v>1</v>
      </c>
      <c r="T49" s="39">
        <f>VLOOKUP(O49,AF48:AO51,6,FALSE)</f>
        <v>0</v>
      </c>
      <c r="U49" s="39">
        <f>VLOOKUP(O49,AF48:AO51,7,FALSE)</f>
        <v>10</v>
      </c>
      <c r="V49" s="39">
        <f>VLOOKUP(O49,AF48:AO51,8,FALSE)</f>
        <v>4</v>
      </c>
      <c r="W49" s="49">
        <f>VLOOKUP(O49,AF48:AO51,9,FALSE)</f>
        <v>6</v>
      </c>
      <c r="X49" s="28">
        <f t="shared" ref="X49:X51" si="117">IF(SUM($AH$48:$AH$51)=12,MIN(ABS(BP48-BP49),ABS(BP49-BP50)),100)</f>
        <v>30300000.029999733</v>
      </c>
      <c r="Y49" s="402" t="str">
        <f t="shared" ref="Y49:Y51" si="118">IF(AND(X49&gt;=0,X49&lt;90),VLOOKUP(N49,$BL$48:$BM$51,2,0),"")</f>
        <v/>
      </c>
      <c r="Z49" s="406"/>
      <c r="AA49" s="29"/>
      <c r="AB49" s="29"/>
      <c r="AC49" s="413">
        <f>VLOOKUP(O49,$AF$48:$AO$51,10,FALSE)</f>
        <v>7061010999.96</v>
      </c>
      <c r="AD49" s="14">
        <f t="shared" ref="AD49:AD51" si="119">RANK(AR49,$AR$48:$AR$51)</f>
        <v>4</v>
      </c>
      <c r="AE49" s="434">
        <f>RANK(AO49,AO48:AO51)</f>
        <v>4</v>
      </c>
      <c r="AF49" s="412" t="s">
        <v>176</v>
      </c>
      <c r="AG49" s="418">
        <f t="shared" ref="AG49:AG51" si="120">AI49*3+AJ49*1+AK49*0</f>
        <v>0</v>
      </c>
      <c r="AH49" s="418">
        <f t="shared" ref="AH49:AH51" si="121">COUNTIFS($F$46:$F$51,AF49,$H$46:$H$51,"&lt;&gt;",$I$46:$I$51,"&lt;&gt;")+COUNTIFS($K$46:$K$51,AF49,$I$46:$I$51,"&lt;&gt;",$H$46:$H$51,"&lt;&gt;")</f>
        <v>3</v>
      </c>
      <c r="AI49" s="418">
        <f t="array" ref="AI49">SUM((F$46:F$51=AF49)*(H$46:H$51&lt;&gt;"")*(I$46:I$51&lt;&gt;"")*(H$46:H$51&gt;I$46:I$51),(K$46:K$51=AF49)*(H$46:H$51&lt;&gt;"")*(I$46:I$51&lt;&gt;"")*(H$46:H$51&lt;I$46:I$51))</f>
        <v>0</v>
      </c>
      <c r="AJ49" s="418">
        <f t="array" ref="AJ49">SUM((F$46:F$51=AF49)*(H$46:H$51&lt;&gt;"")*(I$46:I$51&lt;&gt;"")*(H$46:H$51=I$46:I$51),(K$46:K$51=AF49)*(I$46:I$51&lt;&gt;"")*(H$46:H$51&lt;&gt;"")*(H$46:H$51=I$46:I$51))</f>
        <v>0</v>
      </c>
      <c r="AK49" s="418">
        <f t="array" ref="AK49">SUM((F$46:F$51=AF49)*(I$46:I$51&lt;&gt;"")*(H$46:H$51&lt;&gt;"")*(H$46:H$51&lt;I$46:I$51),(H$46:H$51&lt;&gt;"")*(K$46:K$51=AF49)*(I$46:I$51&lt;&gt;"")*(H$46:H$51&gt;I$46:I$51))</f>
        <v>3</v>
      </c>
      <c r="AL49" s="418">
        <f t="array" ref="AL49">SUMIFS($H$46:$H$51,$F$46:$F$51,AF49,$H$46:$H$51,"&lt;&gt;",$I$46:$I$51,"&lt;&gt;")+SUMIFS($I$46:$I$51,$K$46:$K$51,AF49,$H$46:$H$51,"&lt;&gt;",$I$46:$I$51,"&lt;&gt;")</f>
        <v>1</v>
      </c>
      <c r="AM49" s="418">
        <f t="array" ref="AM49">SUMIFS($H$46:$H$51,$K$46:$K$51,AF49,$H$46:$H$51,"&lt;&gt;",$I$46:$I$51,"&lt;&gt;")+SUMIFS($I$46:$I$51,$F$46:$F$51,AF49,$H$46:$H$51,"&lt;&gt;",$I$46:$I$51,"&lt;&gt;")</f>
        <v>11</v>
      </c>
      <c r="AN49" s="418">
        <f t="shared" ref="AN49:AN51" si="122">AL49-AM49</f>
        <v>-10</v>
      </c>
      <c r="AO49" s="418">
        <f>IF(AH49=0,-($AT$13*VLOOKUP(AF49,Tabla3[[ZfP4b()8G6b·$55Ma-t·%fv-ttyZxR-.R*+Fd]:[N!"kvfjM.%&amp;gk5kfmfvv)/%;V$&amp;VW]],2,FALSE)),AG49*$AT$7+AN49*$AT$8+AL49*$AT$9+AX49-($AT$13*VLOOKUP(AF49,Tabla3[[ZfP4b()8G6b·$55Ma-t·%fv-ttyZxR-.R*+Fd]:[N!"kvfjM.%&amp;gk5kfmfvv)/%;V$&amp;VW]],2,FALSE)/100))</f>
        <v>-99889000.019999996</v>
      </c>
      <c r="AP49" s="435">
        <f>AE49</f>
        <v>4</v>
      </c>
      <c r="AQ49" s="14"/>
      <c r="AR49" s="14">
        <f t="shared" ref="AR49:AR51" si="123">IFERROR(AO49-VLOOKUP(AF49,$Y$48:$Z$51,2,0),AO49)</f>
        <v>-99889000.019999996</v>
      </c>
      <c r="AS49" s="14"/>
      <c r="AT49" s="14"/>
      <c r="AU49" s="14"/>
      <c r="AV49" s="438" t="str">
        <f>AF49</f>
        <v>Panamá</v>
      </c>
      <c r="AW49" s="418">
        <f>COUNTIF(AG48:AG51,AG49)</f>
        <v>1</v>
      </c>
      <c r="AX49" s="439">
        <f>(AY49*$AT$12)+(BE49*$AT$11)</f>
        <v>11000</v>
      </c>
      <c r="AY49" s="440">
        <f>RANK(AZ49,AZ48:AZ51,1)</f>
        <v>1</v>
      </c>
      <c r="AZ49" s="440">
        <f>SUM(IF(AND(AG49=AG50,AN49=AN50,AL49=AL50),BC49,0),IF(AND(AG49=AG51,AN49=AN51,AL49=AL51),BD49,0),IF(AND(AG49=AG48,AN49=AN48,AL49=AL48),BA49,0))</f>
        <v>0</v>
      </c>
      <c r="BA49" s="441">
        <f>I46</f>
        <v>0</v>
      </c>
      <c r="BB49" s="442">
        <v>0</v>
      </c>
      <c r="BC49" s="442">
        <f>H51</f>
        <v>1</v>
      </c>
      <c r="BD49" s="443">
        <f>I49</f>
        <v>0</v>
      </c>
      <c r="BE49" s="440">
        <f>RANK(BF49,BF48:BF51,1)</f>
        <v>1</v>
      </c>
      <c r="BF49" s="440">
        <f>SUM(IF(AND(AG49=AG50,AN49=AN50,AL49=AL50),BI49,0),IF(AND(AG49=AG51,AN49=AN51,AL49=AL51),BJ49,0),IF(AND(AG49=AG48,AN49=AN48,AL49=AL48),BG49,0))</f>
        <v>0</v>
      </c>
      <c r="BG49" s="441">
        <f>BA49-BB48</f>
        <v>-6</v>
      </c>
      <c r="BH49" s="442">
        <v>0</v>
      </c>
      <c r="BI49" s="442">
        <f>BC49-BB50</f>
        <v>-1</v>
      </c>
      <c r="BJ49" s="443">
        <f>BD49-BB51</f>
        <v>-3</v>
      </c>
      <c r="BK49" s="410"/>
      <c r="BL49" s="412">
        <f t="shared" ref="BL49:BL51" si="124">RANK(BN49,$BN$48:$BN$51)</f>
        <v>4</v>
      </c>
      <c r="BM49" s="412" t="s">
        <v>176</v>
      </c>
      <c r="BN49" s="412">
        <f>IF(AH49=0,-($AT$13*VLOOKUP(AF49,Tabla3[[ZfP4b()8G6b·$55Ma-t·%fv-ttyZxR-.R*+Fd]:[N!"kvfjM.%&amp;gk5kfmfvv)/%;V$&amp;VW]],2,FALSE)),AG49*$AT$7+AN49*$AT$8+AL49*$AT$9+AX49-($AT$13*VLOOKUP(AF49,Tabla3[[ZfP4b()8G6b·$55Ma-t·%fv-ttyZxR-.R*+Fd]:[N!"kvfjM.%&amp;gk5kfmfvv)/%;V$&amp;VW]],2,FALSE)/100))</f>
        <v>-99889000.019999996</v>
      </c>
      <c r="BO49" s="412" t="str">
        <f t="shared" ref="BO49:BO51" si="125">VLOOKUP(N49,$AE$48:$AF$51,2,0)</f>
        <v>Inglaterra</v>
      </c>
      <c r="BP49" s="412">
        <f t="shared" ref="BP49:BP51" si="126">VLOOKUP($BO49,$AF$48:$AO$51,10,FALSE)</f>
        <v>7061010999.96</v>
      </c>
      <c r="BQ49" s="410"/>
      <c r="BR49" s="412">
        <v>2</v>
      </c>
      <c r="BS49" s="412" t="str">
        <f t="shared" ref="BS49:BS51" si="127">VLOOKUP(BR49,$AD$48:$AF$51,3,0)</f>
        <v>Inglaterra</v>
      </c>
      <c r="BT49" s="412">
        <f t="shared" ref="BT49:BT51" si="128">VLOOKUP(BS49,$AF$48:$AO$51,2,FALSE)</f>
        <v>7</v>
      </c>
      <c r="BU49" s="444">
        <f t="shared" ref="BU49:BU51" si="129">IF(SUM($AH$48:$AH$51)=12,MIN(ABS(BP48-BP49),ABS(BP49-BP50)),100)</f>
        <v>30300000.029999733</v>
      </c>
      <c r="BV49" s="412">
        <f t="shared" ref="BV49:BV51" si="130">VLOOKUP(BS49,$AF$48:$AO$51,9,FALSE)</f>
        <v>6</v>
      </c>
      <c r="BW49" s="412">
        <f t="shared" ref="BW49:BW51" si="131">VLOOKUP(BS49,$AF$48:$AO$51,7,FALSE)</f>
        <v>10</v>
      </c>
      <c r="BX49" s="410">
        <f>IF($BY$48=$CA$47,$DC$5:$DC$8,IF($BY$48=$CB$47,$DD$5:$DD$7,IF(OR($BY$48=$CC$47,$BY$48=$CD$47),$DE$5:$DE$6,IF($BY$48=$CE$47,$DF$5:$DF$7,(IF($BY$48=$CF$47,$DH$5:$DH$6,$DJ$5))))))</f>
        <v>2</v>
      </c>
      <c r="BY49" s="14"/>
      <c r="BZ49" s="14">
        <v>2</v>
      </c>
      <c r="CA49" s="418">
        <f t="array" ref="CA49">IF(AND($BT$48:$BT$51=$BT$49,$BU$48:$BU$51&lt;510,$AN$48:$AN$51=$AN$49,$BW$48:$BW$51=$BW$49),1,0)</f>
        <v>0</v>
      </c>
      <c r="CB49" s="418">
        <f t="array" ref="CB49">IF(AND($BT$48:$BT$50=$BT$49,$BU$48:$BU$50&lt;510,$BT$49&lt;&gt;$BT$51),1,0)</f>
        <v>0</v>
      </c>
      <c r="CC49" s="418">
        <f t="array" ref="CC49">IF(AND($BT$48:$BT$49=$BT$48,$BU$48:$BU$49&lt;510,$BT$48&lt;&gt;$BT$50),1,0)</f>
        <v>0</v>
      </c>
      <c r="CD49" s="418">
        <f t="array" ref="CD49">IF(AND($BT$48:$BT$49=$BT$48,$BU$48:$BU$49&lt;510,$BT$48&lt;&gt;$BT$50),1,0)</f>
        <v>0</v>
      </c>
      <c r="CE49" s="418">
        <f t="array" ref="CE49">IF(AND($BT$49:$BT$51=$BT$49,$BU$49:$BU$51&lt;510,$BT$48&lt;&gt;$BT$49),1,0)</f>
        <v>0</v>
      </c>
      <c r="CF49" s="418">
        <f t="array" ref="CF49">IF(AND($BT$49:$BT$50=$BT$49,$BU$49:$BU$50&lt;510,$BT$49&lt;&gt;$BT$48,$BT$49&lt;&gt;$BT$51),1,0)</f>
        <v>0</v>
      </c>
      <c r="CG49" s="418">
        <f t="array" ref="CG49">IF(AND($BT$49&lt;&gt;$BT$48,$BT$49&lt;&gt;$BT$50),1,0)</f>
        <v>0</v>
      </c>
      <c r="CH49" s="418">
        <f t="array" ref="CH49">IF(AND($BT$49&lt;&gt;$BT$48,$BT$49&lt;&gt;$BT$50),1,0)</f>
        <v>0</v>
      </c>
      <c r="CI49" s="418">
        <f t="array" ref="CI49">IF(AND($BT$48:$BT$51=$BT$48,$BU$48:$BU$51&lt;510,$BV$48:$BV$49=$BV$48,$BV$49&lt;&gt;$BV$50),1,0)</f>
        <v>0</v>
      </c>
      <c r="CJ49" s="418">
        <f t="array" ref="CJ49">IF(AND($BT$48:$BT$51=$BT$48,$BU$48:$BU$51&lt;510,$BV$48:$BV$51=$BV$48,$BW$48=$BW$49,$BW$49&lt;&gt;$BW$50),1,0)</f>
        <v>0</v>
      </c>
      <c r="CK49" s="418">
        <f t="array" ref="CK49">IF(AND($BT$48:$BT$50=$BT$49,$BU$48:$BU$49&lt;510,$BU$50&gt;510),1,0)</f>
        <v>0</v>
      </c>
      <c r="CL49" s="418">
        <f t="array" ref="CL49">IF(AND($BT$49&lt;&gt;$BT$48,$BT$49:$BT$51=$BT$49,$BU$49&gt;510,$BU$50:$BU$51&lt;510),1,0)</f>
        <v>0</v>
      </c>
      <c r="CM49" s="418">
        <f t="array" ref="CM49">IF(AND($BT$49&lt;&gt;$BT$48,$BT$49:$BT$51=$BT$49,$BU$51&gt;510,$BU$49:$BU$50&lt;510),1,0)</f>
        <v>0</v>
      </c>
      <c r="CN49" s="418">
        <f t="array" ref="CN49">IF(AND($BT$49&lt;&gt;$BT$51,$BT$48:$BT$50=$BT$49,$BU$48&gt;510,$BU$49:$BU$50&lt;510),1,0)</f>
        <v>0</v>
      </c>
      <c r="CO49" s="418">
        <f t="array" ref="CO49">IF(AND($BT$48:$BT$51=$BT$49,$BU$49:$BU$51&lt;510,$BU$48&lt;&gt;$BU$49),1,0)</f>
        <v>0</v>
      </c>
      <c r="CP49" s="418">
        <f t="array" ref="CP49">IF(AND($BT$48:$BT$51=$BT$49,$BU$48:$BU$50&lt;510,$BU$49&lt;&gt;$BU$51),1,0)</f>
        <v>0</v>
      </c>
      <c r="CQ49" s="418">
        <f t="array" ref="CQ49">IF(AND($BT$48:$BT$51=$BT$49,$BU$48:$BU$49&gt;510,$BU$50:$BU$51&lt;510,$BV$48:$BV$51=$BV$49,$BW$48&gt;$BW$49,$BW$49&gt;$BW$50,$BW$49&gt;$BW$51),1,0)</f>
        <v>0</v>
      </c>
      <c r="CR49" s="418">
        <f t="array" ref="CR49">IF(AND($BT$48:$BT$51=$BT$49,$BU$48&gt;510,$BU$49:$BU$50&lt;510,$BU$51&gt;510,$BV$48:$BV$51=$BV$49,$BW$48&gt;$BW$49,$BW$49=$BW$50,$BW$49&gt;$BW$51),1,0)</f>
        <v>0</v>
      </c>
      <c r="CS49" s="418">
        <f t="array" ref="CS49">IF(AND($BT$48:$BT$51=$BT$49,$BU$48:$BU$49&lt;510,$BU$50:$BU$51&gt;510,$BV$48:$BV$51=$BV$49,$BW$48=$BW$49,$BW$49&gt;$BW$50,$BW$49&gt;$BW$51),1,0)</f>
        <v>0</v>
      </c>
      <c r="CT49" s="418">
        <f t="array" ref="CT49">IF(AND($BT$48:$BT$51=$BT$49,$BU$48:$BU$49&gt;510,$BU$50:$BU$51&lt;510,$BV$48:$BV$51=$BV$49,$BW$48&gt;$BW$49,$BW$49:$BW$51=$BW$49),1,0)</f>
        <v>0</v>
      </c>
      <c r="CU49" s="418">
        <f t="array" ref="CU49">IF(AND($BT$48:$BT$51=$BT$49,$BU$48:$BU$49&lt;510,$BU$50:$BU$51&gt;510,$BV$48:$BV$51=$BV$49,$BW$48:$BW$50=$BW$49,$BW$49&gt;$BW$51),1,0)</f>
        <v>0</v>
      </c>
      <c r="CV49" s="418">
        <f t="array" ref="CV49">IF(AND($BT$48:$BT$51=$BT$49,$BU$48&gt;510,$BU$51&gt;510,$BU$49:$BU$50&lt;510,$BV$48:$BV$51=$BV$49,$BW$48&gt;$BW$49:$BW$51,$BW$49:$BW$51=$BW$49),1,0)</f>
        <v>0</v>
      </c>
      <c r="CW49" s="418"/>
      <c r="CX49" s="418"/>
      <c r="CY49" s="14"/>
      <c r="CZ49" s="14"/>
      <c r="DA49" s="14"/>
      <c r="DB49" s="14"/>
      <c r="DC49" s="14"/>
      <c r="DD49" s="14"/>
      <c r="DE49" s="14"/>
      <c r="DF49" s="14"/>
      <c r="DG49" s="14"/>
      <c r="DH49" s="14"/>
      <c r="DI49" s="14"/>
      <c r="DJ49" s="14"/>
      <c r="DK49" s="14"/>
      <c r="DL49" s="14"/>
      <c r="DM49" s="14"/>
      <c r="DN49" s="475"/>
    </row>
    <row r="50" spans="1:118" x14ac:dyDescent="0.25">
      <c r="A50" s="74"/>
      <c r="B50" s="530"/>
      <c r="C50" s="317">
        <v>43279</v>
      </c>
      <c r="D50" s="318">
        <v>0.83333333333333337</v>
      </c>
      <c r="E50" s="319" t="s">
        <v>208</v>
      </c>
      <c r="F50" s="359" t="s">
        <v>158</v>
      </c>
      <c r="G50" s="255"/>
      <c r="H50" s="484">
        <v>3</v>
      </c>
      <c r="I50" s="484">
        <v>3</v>
      </c>
      <c r="J50" s="237"/>
      <c r="K50" s="384" t="s">
        <v>150</v>
      </c>
      <c r="L50" s="149">
        <f t="shared" si="112"/>
        <v>1</v>
      </c>
      <c r="M50" s="79"/>
      <c r="N50" s="40">
        <v>3</v>
      </c>
      <c r="O50" s="38" t="str">
        <f>VLOOKUP(N50,$AD$48:$AF$51,3,0)</f>
        <v>Túnez</v>
      </c>
      <c r="P50" s="39">
        <f>VLOOKUP(O50,AF48:AO51,2,FALSE)</f>
        <v>3</v>
      </c>
      <c r="Q50" s="37">
        <f>VLOOKUP(O50,AF48:AO51,3,FALSE)</f>
        <v>3</v>
      </c>
      <c r="R50" s="37">
        <f>VLOOKUP(O50,AF48:AO51,4,FALSE)</f>
        <v>1</v>
      </c>
      <c r="S50" s="37">
        <f>VLOOKUP(O50,AF48:AO51,5,FALSE)</f>
        <v>0</v>
      </c>
      <c r="T50" s="37">
        <f>VLOOKUP(O50,AF48:AO51,6,FALSE)</f>
        <v>2</v>
      </c>
      <c r="U50" s="37">
        <f>VLOOKUP(O50,AF48:AO51,7,FALSE)</f>
        <v>4</v>
      </c>
      <c r="V50" s="37">
        <f>VLOOKUP(O50,AF48:AO51,8,FALSE)</f>
        <v>9</v>
      </c>
      <c r="W50" s="45">
        <f>VLOOKUP(O50,AF48:AO51,9,FALSE)</f>
        <v>-5</v>
      </c>
      <c r="X50" s="28">
        <f t="shared" si="117"/>
        <v>3050299999.9899998</v>
      </c>
      <c r="Y50" s="402" t="str">
        <f t="shared" si="118"/>
        <v/>
      </c>
      <c r="Z50" s="406"/>
      <c r="AA50" s="29"/>
      <c r="AB50" s="29"/>
      <c r="AC50" s="413">
        <f>VLOOKUP(O50,$AF$48:$AO$51,10,FALSE)</f>
        <v>2950410999.9699998</v>
      </c>
      <c r="AD50" s="14">
        <f t="shared" si="119"/>
        <v>3</v>
      </c>
      <c r="AE50" s="434">
        <f>RANK(AO50,AO48:AO51)</f>
        <v>3</v>
      </c>
      <c r="AF50" s="412" t="s">
        <v>165</v>
      </c>
      <c r="AG50" s="418">
        <f t="shared" si="120"/>
        <v>3</v>
      </c>
      <c r="AH50" s="418">
        <f t="shared" si="121"/>
        <v>3</v>
      </c>
      <c r="AI50" s="418">
        <f t="array" ref="AI50">SUM((F$46:F$51=AF50)*(H$46:H$51&lt;&gt;"")*(I$46:I$51&lt;&gt;"")*(H$46:H$51&gt;I$46:I$51),(K$46:K$51=AF50)*(H$46:H$51&lt;&gt;"")*(I$46:I$51&lt;&gt;"")*(H$46:H$51&lt;I$46:I$51))</f>
        <v>1</v>
      </c>
      <c r="AJ50" s="418">
        <f t="array" ref="AJ50">SUM((F$46:F$51=AF50)*(H$46:H$51&lt;&gt;"")*(I$46:I$51&lt;&gt;"")*(H$46:H$51=I$46:I$51),(K$46:K$51=AF50)*(I$46:I$51&lt;&gt;"")*(H$46:H$51&lt;&gt;"")*(H$46:H$51=I$46:I$51))</f>
        <v>0</v>
      </c>
      <c r="AK50" s="418">
        <f t="array" ref="AK50">SUM((F$46:F$51=AF50)*(I$46:I$51&lt;&gt;"")*(H$46:H$51&lt;&gt;"")*(H$46:H$51&lt;I$46:I$51),(H$46:H$51&lt;&gt;"")*(K$46:K$51=AF50)*(I$46:I$51&lt;&gt;"")*(H$46:H$51&gt;I$46:I$51))</f>
        <v>2</v>
      </c>
      <c r="AL50" s="418">
        <f t="array" ref="AL50">SUMIFS($H$46:$H$51,$F$46:$F$51,AF50,$H$46:$H$51,"&lt;&gt;",$I$46:$I$51,"&lt;&gt;")+SUMIFS($I$46:$I$51,$K$46:$K$51,AF50,$H$46:$H$51,"&lt;&gt;",$I$46:$I$51,"&lt;&gt;")</f>
        <v>4</v>
      </c>
      <c r="AM50" s="418">
        <f t="array" ref="AM50">SUMIFS($H$46:$H$51,$K$46:$K$51,AF50,$H$46:$H$51,"&lt;&gt;",$I$46:$I$51,"&lt;&gt;")+SUMIFS($I$46:$I$51,$F$46:$F$51,AF50,$H$46:$H$51,"&lt;&gt;",$I$46:$I$51,"&lt;&gt;")</f>
        <v>9</v>
      </c>
      <c r="AN50" s="418">
        <f t="shared" si="122"/>
        <v>-5</v>
      </c>
      <c r="AO50" s="418">
        <f>IF(AH50=0,-($AT$13*VLOOKUP(AF50,Tabla3[[ZfP4b()8G6b·$55Ma-t·%fv-ttyZxR-.R*+Fd]:[N!"kvfjM.%&amp;gk5kfmfvv)/%;V$&amp;VW]],2,FALSE)),AG50*$AT$7+AN50*$AT$8+AL50*$AT$9+AX50-($AT$13*VLOOKUP(AF50,Tabla3[[ZfP4b()8G6b·$55Ma-t·%fv-ttyZxR-.R*+Fd]:[N!"kvfjM.%&amp;gk5kfmfvv)/%;V$&amp;VW]],2,FALSE)/100))</f>
        <v>2950410999.9699998</v>
      </c>
      <c r="AP50" s="435">
        <f>AE50</f>
        <v>3</v>
      </c>
      <c r="AQ50" s="14"/>
      <c r="AR50" s="14">
        <f t="shared" si="123"/>
        <v>2950410999.9699998</v>
      </c>
      <c r="AS50" s="14"/>
      <c r="AT50" s="14"/>
      <c r="AU50" s="14"/>
      <c r="AV50" s="438" t="str">
        <f>AF50</f>
        <v>Túnez</v>
      </c>
      <c r="AW50" s="418">
        <f>COUNTIF(AG48:AG51,AG50)</f>
        <v>1</v>
      </c>
      <c r="AX50" s="439">
        <f>(AY50*$AT$12)+(BE50*$AT$11)</f>
        <v>11000</v>
      </c>
      <c r="AY50" s="440">
        <f>RANK(AZ50,AZ48:AZ51,1)</f>
        <v>1</v>
      </c>
      <c r="AZ50" s="440">
        <f>SUM(IF(AND(AG50=AG51,AN50=AN51,AL50=AL51),BD50,0),IF(AND(AG50=AG48,AN50=AN48,AL50=AL48),BA50,0),IF(AND(AG50=AG49,AN50=AN49,AL50=AL49),BB50,0))</f>
        <v>0</v>
      </c>
      <c r="BA50" s="441">
        <f>I48</f>
        <v>1</v>
      </c>
      <c r="BB50" s="442">
        <f>I51</f>
        <v>2</v>
      </c>
      <c r="BC50" s="442">
        <v>0</v>
      </c>
      <c r="BD50" s="443">
        <f>H47</f>
        <v>1</v>
      </c>
      <c r="BE50" s="440">
        <f>RANK(BF50,BF48:BF51,1)</f>
        <v>1</v>
      </c>
      <c r="BF50" s="440">
        <f>SUM(IF(AND(AG50=AG51,AN50=AN51,AL50=AL51),BJ50,0),IF(AND(AG50=AG48,AN50=AN48,AL50=AL48),BG50,0),IF(AND(AG50=AG49,AN50=AN49,AL50=AL49),BH50,0))</f>
        <v>0</v>
      </c>
      <c r="BG50" s="441">
        <f>BA50-BC48</f>
        <v>-3</v>
      </c>
      <c r="BH50" s="442">
        <f>BB50-BC49</f>
        <v>1</v>
      </c>
      <c r="BI50" s="442">
        <v>0</v>
      </c>
      <c r="BJ50" s="443">
        <f>BD50-BC51</f>
        <v>-3</v>
      </c>
      <c r="BK50" s="410"/>
      <c r="BL50" s="412">
        <f t="shared" si="124"/>
        <v>3</v>
      </c>
      <c r="BM50" s="412" t="s">
        <v>165</v>
      </c>
      <c r="BN50" s="412">
        <f>IF(AH50=0,-($AT$13*VLOOKUP(AF50,Tabla3[[ZfP4b()8G6b·$55Ma-t·%fv-ttyZxR-.R*+Fd]:[N!"kvfjM.%&amp;gk5kfmfvv)/%;V$&amp;VW]],2,FALSE)),AG50*$AT$7+AN50*$AT$8+AL50*$AT$9+AX50-($AT$13*VLOOKUP(AF50,Tabla3[[ZfP4b()8G6b·$55Ma-t·%fv-ttyZxR-.R*+Fd]:[N!"kvfjM.%&amp;gk5kfmfvv)/%;V$&amp;VW]],2,FALSE)/100))</f>
        <v>2950410999.9699998</v>
      </c>
      <c r="BO50" s="412" t="str">
        <f t="shared" si="125"/>
        <v>Túnez</v>
      </c>
      <c r="BP50" s="412">
        <f t="shared" si="126"/>
        <v>2950410999.9699998</v>
      </c>
      <c r="BQ50" s="410"/>
      <c r="BR50" s="412">
        <v>3</v>
      </c>
      <c r="BS50" s="412" t="str">
        <f t="shared" si="127"/>
        <v>Túnez</v>
      </c>
      <c r="BT50" s="412">
        <f t="shared" si="128"/>
        <v>3</v>
      </c>
      <c r="BU50" s="444">
        <f t="shared" si="129"/>
        <v>3050299999.9899998</v>
      </c>
      <c r="BV50" s="412">
        <f t="shared" si="130"/>
        <v>-5</v>
      </c>
      <c r="BW50" s="412">
        <f t="shared" si="131"/>
        <v>4</v>
      </c>
      <c r="BX50" s="410">
        <f>IF($BY$48=$CA$47,$DC$5:$DC$8,IF($BY$48=$CB$47,$DD$5:$DD$7,IF(OR($BY$48=$CC$47,$BY$48=$CG$47),$DG$5:$DG$6,IF($BY$48=$CE$47,$DF$5:$DF$7,(IF($BY$48=$CF$47,$DH$5:$DH$6,$DK$5))))))</f>
        <v>3</v>
      </c>
      <c r="BY50" s="14"/>
      <c r="BZ50" s="14">
        <v>3</v>
      </c>
      <c r="CA50" s="418">
        <f t="array" ref="CA50">IF(AND($BT$48:$BT$51=$BT$50,$BU$48:$BU$51&lt;510,$AN$48:$AN$51=$AN$50,$BW$48:$BW$51=$BW$50),1,0)</f>
        <v>0</v>
      </c>
      <c r="CB50" s="418">
        <f t="array" ref="CB50">IF(AND($BT$48:$BT$50=$BT$50,$BU$48:$BU$50&lt;510,$BT$50&lt;&gt;$BT$51),1,0)</f>
        <v>0</v>
      </c>
      <c r="CC50" s="418">
        <f t="array" ref="CC50">IF(AND($BT$50:$BT$51=$BT$50,$BU$50:$BU$51&lt;510,$BT$50&lt;&gt;$BT$49),1,0)</f>
        <v>0</v>
      </c>
      <c r="CD50" s="418">
        <f t="array" ref="CD50">IF(OR(AND($BT$50&lt;&gt;$BT$49,$BT$50&lt;&gt;$BT$51),AND($BT$50&lt;&gt;$BT$49,$BT$50=$BT$51,$BU$50&gt;510,$BU$51&gt;510)),1,0)</f>
        <v>1</v>
      </c>
      <c r="CE50" s="418">
        <f t="array" ref="CE50">IF(AND($BT$49:$BT$51=$BT$49,$BU$49:$BU$51&lt;510,$BT$48&lt;&gt;$BT$50),1,0)</f>
        <v>0</v>
      </c>
      <c r="CF50" s="418">
        <f t="array" ref="CF50">IF(AND($BT$49:$BT$50=$BT$50,$BU$49:$BU$50&lt;510,$BT$50&lt;&gt;$BT$48,$BT$50&lt;&gt;$BT$51),1,0)</f>
        <v>0</v>
      </c>
      <c r="CG50" s="418">
        <f t="array" ref="CG50">IF(AND($BT$50:$BT$51=$BT$50,$BU$50:$BU$51&lt;510,$BT$50&lt;&gt;$BT$49),1,0)</f>
        <v>0</v>
      </c>
      <c r="CH50" s="418">
        <f t="array" ref="CH50">IF(AND($BT$50&lt;&gt;$BT$49,$BT$50&lt;&gt;$BT$51),1,0)</f>
        <v>1</v>
      </c>
      <c r="CI50" s="418">
        <f t="array" ref="CI50">IF(AND($BT$48:$BT$51=$BT$48,$BU$48:$BU$51&lt;510,$BV$50:$BV$51=$BV$50,$BV$49&lt;&gt;$BV$50),1,0)</f>
        <v>0</v>
      </c>
      <c r="CJ50" s="418">
        <f t="array" ref="CJ50">IF(AND($BT$48:$BT$51=$BT$48,$BU$48:$BU$51&lt;510,$BV$48:$BV$51=$BV$48,$BW$50=$BW$51,$BW$49&lt;&gt;$BW$50),1,0)</f>
        <v>0</v>
      </c>
      <c r="CK50" s="418">
        <f t="array" ref="CK50">IF(AND($BT$48:$BT$50=$BT$50,$BU$48:$BU$49&lt;510,$BU$50&gt;510),1,0)</f>
        <v>0</v>
      </c>
      <c r="CL50" s="418">
        <f t="array" ref="CL50">IF(AND($BT$49&lt;&gt;$BT$48,$BT$49:$BT$51=$BT$50,$BU$49&gt;510,$BU$50:$BU$51&lt;510),1,0)</f>
        <v>0</v>
      </c>
      <c r="CM50" s="418">
        <f t="array" ref="CM50">IF(AND($BT$49&lt;&gt;$BT$48,$BT$49:$BT$51=$BT$49,$BU$51&gt;510,$BU$49:$BU$50&lt;510),1,0)</f>
        <v>0</v>
      </c>
      <c r="CN50" s="418">
        <f t="array" ref="CN50">IF(AND($BT$50&lt;&gt;$BT$51,$BT$48:$BT$50=$BT$50,$BU$48&gt;510,$BU$49:$BU$50&lt;510),1,0)</f>
        <v>0</v>
      </c>
      <c r="CO50" s="418">
        <f t="array" ref="CO50">IF(AND($BT$48:$BT$51=$BT$49,$BU$49:$BU$51&lt;510,$BU$48&lt;&gt;$BU$50),1,0)</f>
        <v>0</v>
      </c>
      <c r="CP50" s="418">
        <f t="array" ref="CP50">IF(AND($BT$48:$BT$51=$BT$50,$BU$48:$BU$50&lt;510,$BU$50&lt;&gt;$BU$51),1,0)</f>
        <v>0</v>
      </c>
      <c r="CQ50" s="418">
        <f t="array" ref="CQ50">IF(AND($BT$48:$BT$51=$BT$50,$BU$48:$BU$49&gt;510,$BU$50:$BU$51&lt;510,$BV$48:$BV$51=$BV$50,$BW$48&gt;$BW$49,$BW$49&gt;$BW$50,$BW$50=$BW$51),1,0)</f>
        <v>0</v>
      </c>
      <c r="CR50" s="418">
        <f t="array" ref="CR50">IF(AND($BT$48:$BT$51=$BT$50,$BU$48&gt;510,$BU$49:$BU$50&lt;510,$BU$51&gt;510,$BV$48:$BV$51=$BV$50,$BW$48&gt;$BW$49,$BW$49=$BW$50,$BW$50&gt;$BW$51),1,0)</f>
        <v>0</v>
      </c>
      <c r="CS50" s="418">
        <f t="array" ref="CS50">IF(AND($BT$48:$BT$51=$BT$50,$BU$48:$BU$49&lt;510,$BU$50:$BU$51&gt;510,$BV$48:$BV$51=$BV$50,$BW$48=$BW$49,$BW$49&gt;$BW$50,$BW$50&gt;$BW$51),1,0)</f>
        <v>0</v>
      </c>
      <c r="CT50" s="418">
        <f t="array" ref="CT50">IF(AND($BT$48:$BT$51=$BT$50,$BU$48:$BU$49&gt;510,$BU$50:$BU$51&lt;510,$BV$48:$BV$51=$BV$49,$BW$48&gt;$BW$50,$BW$49:$BW$51=$BW$50),1,0)</f>
        <v>0</v>
      </c>
      <c r="CU50" s="418">
        <f t="array" ref="CU50">IF(AND($BT$48:$BT$51=$BT$50,$BU$48:$BU$49&lt;510,$BU$50:$BU$51&gt;510,$BV$48:$BV$51=$BV$50,$BW$48:$BW$50=$BW$50,$BW$50&gt;$BW$51),1,0)</f>
        <v>0</v>
      </c>
      <c r="CV50" s="418">
        <f t="array" ref="CV50">IF(AND($BT$48:$BT$51=$BT$50,$BU$48&gt;510,$BU$51&gt;510,$BU$49:$BU$50&lt;510,$BV$48:$BV$51=$BV$50,$BW$48&gt;$BW$49:$BW$51,$BW$49:$BW$51=$BW$50),1,0)</f>
        <v>0</v>
      </c>
      <c r="CW50" s="418"/>
      <c r="CX50" s="418"/>
      <c r="CY50" s="14"/>
      <c r="CZ50" s="14"/>
      <c r="DA50" s="14"/>
      <c r="DB50" s="14"/>
      <c r="DC50" s="14"/>
      <c r="DD50" s="14"/>
      <c r="DE50" s="14"/>
      <c r="DF50" s="14"/>
      <c r="DG50" s="14"/>
      <c r="DH50" s="14"/>
      <c r="DI50" s="14"/>
      <c r="DJ50" s="14"/>
      <c r="DK50" s="14"/>
      <c r="DL50" s="14"/>
      <c r="DM50" s="14"/>
      <c r="DN50" s="475"/>
    </row>
    <row r="51" spans="1:118" ht="15.75" thickBot="1" x14ac:dyDescent="0.3">
      <c r="A51" s="74"/>
      <c r="B51" s="531"/>
      <c r="C51" s="320">
        <v>43279</v>
      </c>
      <c r="D51" s="321">
        <v>0.83333333333333337</v>
      </c>
      <c r="E51" s="322" t="s">
        <v>103</v>
      </c>
      <c r="F51" s="360" t="s">
        <v>176</v>
      </c>
      <c r="G51" s="256"/>
      <c r="H51" s="484">
        <v>1</v>
      </c>
      <c r="I51" s="484">
        <v>2</v>
      </c>
      <c r="J51" s="238"/>
      <c r="K51" s="385" t="s">
        <v>165</v>
      </c>
      <c r="L51" s="149">
        <f t="shared" si="112"/>
        <v>1</v>
      </c>
      <c r="M51" s="79"/>
      <c r="N51" s="41">
        <v>4</v>
      </c>
      <c r="O51" s="42" t="str">
        <f>VLOOKUP(N51,$AD$48:$AF$51,3,0)</f>
        <v>Panamá</v>
      </c>
      <c r="P51" s="43">
        <f>VLOOKUP(O51,AF48:AO51,2,FALSE)</f>
        <v>0</v>
      </c>
      <c r="Q51" s="44">
        <f>VLOOKUP(O51,AF48:AO51,3,FALSE)</f>
        <v>3</v>
      </c>
      <c r="R51" s="44">
        <f>VLOOKUP(O51,AF48:AO51,4,FALSE)</f>
        <v>0</v>
      </c>
      <c r="S51" s="44">
        <f>VLOOKUP(O51,AF48:AO51,5,FALSE)</f>
        <v>0</v>
      </c>
      <c r="T51" s="44">
        <f>VLOOKUP(O51,AF48:AO51,6,FALSE)</f>
        <v>3</v>
      </c>
      <c r="U51" s="44">
        <f>VLOOKUP(O51,AF48:AO51,7,FALSE)</f>
        <v>1</v>
      </c>
      <c r="V51" s="44">
        <f>VLOOKUP(O51,AF48:AO51,8,FALSE)</f>
        <v>11</v>
      </c>
      <c r="W51" s="46">
        <f>VLOOKUP(O51,AF48:AO51,9,FALSE)</f>
        <v>-10</v>
      </c>
      <c r="X51" s="28">
        <f t="shared" si="117"/>
        <v>99889000.019999996</v>
      </c>
      <c r="Y51" s="402" t="str">
        <f t="shared" si="118"/>
        <v/>
      </c>
      <c r="Z51" s="406"/>
      <c r="AA51" s="29"/>
      <c r="AB51" s="29"/>
      <c r="AC51" s="413">
        <f>VLOOKUP(O51,$AF$48:$AO$51,10,FALSE)</f>
        <v>-99889000.019999996</v>
      </c>
      <c r="AD51" s="14">
        <f t="shared" si="119"/>
        <v>2</v>
      </c>
      <c r="AE51" s="445">
        <f>RANK(AO51,AO48:AO51)</f>
        <v>2</v>
      </c>
      <c r="AF51" s="446" t="s">
        <v>158</v>
      </c>
      <c r="AG51" s="447">
        <f t="shared" si="120"/>
        <v>7</v>
      </c>
      <c r="AH51" s="447">
        <f t="shared" si="121"/>
        <v>3</v>
      </c>
      <c r="AI51" s="447">
        <f t="array" ref="AI51">SUM((F$46:F$51=AF51)*(H$46:H$51&lt;&gt;"")*(I$46:I$51&lt;&gt;"")*(H$46:H$51&gt;I$46:I$51),(K$46:K$51=AF51)*(H$46:H$51&lt;&gt;"")*(I$46:I$51&lt;&gt;"")*(H$46:H$51&lt;I$46:I$51))</f>
        <v>2</v>
      </c>
      <c r="AJ51" s="447">
        <f t="array" ref="AJ51">SUM((F$46:F$51=AF51)*(H$46:H$51&lt;&gt;"")*(I$46:I$51&lt;&gt;"")*(H$46:H$51=I$46:I$51),(K$46:K$51=AF51)*(I$46:I$51&lt;&gt;"")*(H$46:H$51&lt;&gt;"")*(H$46:H$51=I$46:I$51))</f>
        <v>1</v>
      </c>
      <c r="AK51" s="447">
        <f t="array" ref="AK51">SUM((F$46:F$51=AF51)*(I$46:I$51&lt;&gt;"")*(H$46:H$51&lt;&gt;"")*(H$46:H$51&lt;I$46:I$51),(H$46:H$51&lt;&gt;"")*(K$46:K$51=AF51)*(I$46:I$51&lt;&gt;"")*(H$46:H$51&gt;I$46:I$51))</f>
        <v>0</v>
      </c>
      <c r="AL51" s="448">
        <f t="array" ref="AL51">SUMIFS($H$46:$H$51,$F$46:$F$51,AF51,$H$46:$H$51,"&lt;&gt;",$I$46:$I$51,"&lt;&gt;")+SUMIFS($I$46:$I$51,$K$46:$K$51,AF51,$H$46:$H$51,"&lt;&gt;",$I$46:$I$51,"&lt;&gt;")</f>
        <v>10</v>
      </c>
      <c r="AM51" s="447">
        <f t="array" ref="AM51">SUMIFS($H$46:$H$51,$K$46:$K$51,AF51,$H$46:$H$51,"&lt;&gt;",$I$46:$I$51,"&lt;&gt;")+SUMIFS($I$46:$I$51,$F$46:$F$51,AF51,$H$46:$H$51,"&lt;&gt;",$I$46:$I$51,"&lt;&gt;")</f>
        <v>4</v>
      </c>
      <c r="AN51" s="447">
        <f t="shared" si="122"/>
        <v>6</v>
      </c>
      <c r="AO51" s="447">
        <f>IF(AH51=0,-($AT$13*VLOOKUP(AF51,Tabla3[[ZfP4b()8G6b·$55Ma-t·%fv-ttyZxR-.R*+Fd]:[N!"kvfjM.%&amp;gk5kfmfvv)/%;V$&amp;VW]],2,FALSE)),AG51*$AT$7+AN51*$AT$8+AL51*$AT$9+AX51-($AT$13*VLOOKUP(AF51,Tabla3[[ZfP4b()8G6b·$55Ma-t·%fv-ttyZxR-.R*+Fd]:[N!"kvfjM.%&amp;gk5kfmfvv)/%;V$&amp;VW]],2,FALSE)/100))</f>
        <v>7061010999.96</v>
      </c>
      <c r="AP51" s="449">
        <f>AE51</f>
        <v>2</v>
      </c>
      <c r="AQ51" s="14"/>
      <c r="AR51" s="14">
        <f t="shared" si="123"/>
        <v>7061010999.96</v>
      </c>
      <c r="AS51" s="14"/>
      <c r="AT51" s="14"/>
      <c r="AU51" s="14"/>
      <c r="AV51" s="450" t="str">
        <f>AF51</f>
        <v>Inglaterra</v>
      </c>
      <c r="AW51" s="451">
        <f>COUNTIF(AG48:AG51,AG51)</f>
        <v>2</v>
      </c>
      <c r="AX51" s="452">
        <f>(AY51*$AT$12)+(BE51*$AT$11)</f>
        <v>11000</v>
      </c>
      <c r="AY51" s="453">
        <f>RANK(AZ51,AZ48:AZ51,1)</f>
        <v>1</v>
      </c>
      <c r="AZ51" s="453">
        <f>SUM(IF(AND(AG51=AG48,AN51=AN48,AL51=AL48),BA51,0),IF(AND(AG51=AG49,AN51=AN49,AL51=AL49),BB51,0),IF(AND(AG51=AG50,AN51=AN50,AL51=AL50),BC51,0))</f>
        <v>0</v>
      </c>
      <c r="BA51" s="454">
        <f>H50</f>
        <v>3</v>
      </c>
      <c r="BB51" s="455">
        <f>H49</f>
        <v>3</v>
      </c>
      <c r="BC51" s="455">
        <f>I47</f>
        <v>4</v>
      </c>
      <c r="BD51" s="456">
        <v>0</v>
      </c>
      <c r="BE51" s="453">
        <f>RANK(BF51,BF48:BF51,1)</f>
        <v>1</v>
      </c>
      <c r="BF51" s="453">
        <f>SUM(IF(AND(AG51=AG48,AN51=AN48,AL51=AL48),BG51,0),IF(AND(AG51=AG49,AN51=AN49,AL51=AL49),BH51,0),IF(AND(AG51=AG50,AN51=AN50,AL51=AL50),BI51,0))</f>
        <v>0</v>
      </c>
      <c r="BG51" s="454">
        <f>BA51-BD48</f>
        <v>0</v>
      </c>
      <c r="BH51" s="455">
        <f>BB51-BD49</f>
        <v>3</v>
      </c>
      <c r="BI51" s="455">
        <f>BC51-BD50</f>
        <v>3</v>
      </c>
      <c r="BJ51" s="456">
        <v>0</v>
      </c>
      <c r="BK51" s="410"/>
      <c r="BL51" s="412">
        <f t="shared" si="124"/>
        <v>2</v>
      </c>
      <c r="BM51" s="412" t="s">
        <v>158</v>
      </c>
      <c r="BN51" s="412">
        <f>IF(AH51=0,-($AT$13*VLOOKUP(AF51,Tabla3[[ZfP4b()8G6b·$55Ma-t·%fv-ttyZxR-.R*+Fd]:[N!"kvfjM.%&amp;gk5kfmfvv)/%;V$&amp;VW]],2,FALSE)),AG51*$AT$7+AN51*$AT$8+AL51*$AT$9+AX51-($AT$13*VLOOKUP(AF51,Tabla3[[ZfP4b()8G6b·$55Ma-t·%fv-ttyZxR-.R*+Fd]:[N!"kvfjM.%&amp;gk5kfmfvv)/%;V$&amp;VW]],2,FALSE)/100))</f>
        <v>7061010999.96</v>
      </c>
      <c r="BO51" s="412" t="str">
        <f t="shared" si="125"/>
        <v>Panamá</v>
      </c>
      <c r="BP51" s="412">
        <f t="shared" si="126"/>
        <v>-99889000.019999996</v>
      </c>
      <c r="BQ51" s="410"/>
      <c r="BR51" s="412">
        <v>4</v>
      </c>
      <c r="BS51" s="412" t="str">
        <f t="shared" si="127"/>
        <v>Panamá</v>
      </c>
      <c r="BT51" s="412">
        <f t="shared" si="128"/>
        <v>0</v>
      </c>
      <c r="BU51" s="444">
        <f t="shared" si="129"/>
        <v>99889000.019999996</v>
      </c>
      <c r="BV51" s="412">
        <f t="shared" si="130"/>
        <v>-10</v>
      </c>
      <c r="BW51" s="412">
        <f t="shared" si="131"/>
        <v>1</v>
      </c>
      <c r="BX51" s="410">
        <f>IF($BY$48=$CA$47,$DC$5:$DC$8,IF(OR($BY$48=$CC$47,$BY$48=$CG$47),$DG$5:$DG$6,IF($BY$48=$CE$47,$DF$5:$DF$7,$DL$5)))</f>
        <v>4</v>
      </c>
      <c r="BY51" s="14"/>
      <c r="BZ51" s="14">
        <v>4</v>
      </c>
      <c r="CA51" s="418">
        <f t="array" ref="CA51">IF(AND($BT$48:$BT$51=$BT$51,$BU$48:$BU$51&lt;510,$AN$48:$AN$51=$AN$51,$BW$48:$BW$51=$BW$51),1,0)</f>
        <v>0</v>
      </c>
      <c r="CB51" s="418">
        <f t="array" ref="CB51">IF(AND($BT$48:$BT$50=$BT$48,$BU$48:$BU$50&lt;510,$BU$51&gt;510,$BT$48&lt;&gt;$BT$51),1,0)</f>
        <v>0</v>
      </c>
      <c r="CC51" s="418">
        <f t="array" ref="CC51">IF(AND($BT$50:$BT$51=$BT$50,$BU$50:$BU$51&lt;510,$BT$50&lt;&gt;$BT$49),1,0)</f>
        <v>0</v>
      </c>
      <c r="CD51" s="418">
        <f t="array" ref="CD51">IF(AND($BT$51&lt;&gt;$BT$49,$BT$51&lt;&gt;$BT$48),1,0)</f>
        <v>1</v>
      </c>
      <c r="CE51" s="418">
        <f t="array" ref="CE51">IF(AND($BT$49:$BT$51=$BT$49,$BU$49:$BU$51&lt;510,$BT$48&lt;&gt;$BT$51),1,0)</f>
        <v>0</v>
      </c>
      <c r="CF51" s="418">
        <f t="array" ref="CF51">IF(AND($BT$51&lt;&gt;$BT$49,$BT$51&lt;&gt;$BT$48),1,0)</f>
        <v>1</v>
      </c>
      <c r="CG51" s="418">
        <f t="array" ref="CG51">IF(AND($BT$50:$BT$51=$BT$50,$BU$50:$BU$51&lt;510,$BT$50&lt;&gt;$BT$49),1,0)</f>
        <v>0</v>
      </c>
      <c r="CH51" s="418">
        <f t="array" ref="CH51">IF(AND($BT$51&lt;&gt;$BT$49,$BT$51&lt;&gt;$BT$48),1,0)</f>
        <v>1</v>
      </c>
      <c r="CI51" s="418">
        <f t="array" ref="CI51">IF(AND($BT$48:$BT$51=$BT$48,$BU$48:$BU$51&lt;510,$BV$50:$BV$51=$BV$51,$BV$49&lt;&gt;$BV$51),1,0)</f>
        <v>0</v>
      </c>
      <c r="CJ51" s="418">
        <f t="array" ref="CJ51">IF(AND($BT$48:$BT$51=$BT$48,$BU$48:$BU$51&lt;510,$BV$48:$BV$51=$BV$48,$BW$50=$BW$51,$BW$49&lt;&gt;$BW$50),1,0)</f>
        <v>0</v>
      </c>
      <c r="CK51" s="418">
        <f t="array" ref="CK51">IF(AND($BT$48:$BT$50=$BT$48,$BU$48:$BU$49&lt;510,$BT$50&lt;&gt;$BT$51),1,0)</f>
        <v>0</v>
      </c>
      <c r="CL51" s="418">
        <f t="array" ref="CL51">IF(AND($BT$49&lt;&gt;$BT$48,$BT$49:$BT$51=$BT$50,$BU$49&gt;510,$BU$50:$BU$51&lt;510),1,0)</f>
        <v>0</v>
      </c>
      <c r="CM51" s="418">
        <f t="array" ref="CM51">IF(AND($BT$49&lt;&gt;$BT$48,$BT$49:$BT$51=$BT$49,$BU$51&gt;510,$BU$49:$BU$50&lt;510),1,0)</f>
        <v>0</v>
      </c>
      <c r="CN51" s="418">
        <f t="array" ref="CN51">IF(AND($BT$51&lt;&gt;$BT$49,$BT$51&lt;&gt;$BT$50),1,0)</f>
        <v>1</v>
      </c>
      <c r="CO51" s="418">
        <f t="array" ref="CO51">IF(AND($BT$48:$BT$51=$BT$49,$BU$49:$BU$51&lt;510,$BU$48&lt;&gt;$BU$51),1,0)</f>
        <v>0</v>
      </c>
      <c r="CP51" s="418">
        <f t="array" ref="CP51">IF(AND($BT$48:$BT$51=$BT$48,$BU$48:$BU$50&lt;510,$BU$50&lt;&gt;$BU$51),1,0)</f>
        <v>0</v>
      </c>
      <c r="CQ51" s="418">
        <f t="array" ref="CQ51">IF(AND($BT$48:$BT$51=$BT$51,$BU$48:$BU$49&gt;510,$BU$50:$BU$51&lt;510,$BV$48:$BV$51=$BV$51,$BW$48&gt;$BW$49,$BW$49&gt;$BW$51,$BW$50=$BW$51),1,0)</f>
        <v>0</v>
      </c>
      <c r="CR51" s="418">
        <f t="array" ref="CR51">IF(AND($BT$48:$BT$51=$BT$49,$BU$48&gt;510,$BU$49:$BU$50&lt;510,$BU$51&gt;510,$BV$48:$BV$51=$BV$51,$BW$48&gt;$BW$51,$BW$49=$BW$50,$BW$49&gt;$BW$51),1,0)</f>
        <v>0</v>
      </c>
      <c r="CS51" s="418">
        <f t="array" ref="CS51">IF(AND($BT$48:$BT$51=$BT$51,$BU$48:$BU$49&lt;510,$BU$50:$BU$51&gt;510,$BV$48:$BV$51=$BV$51,$BW$48=$BW$49,$BW$49&gt;$BW$50,$BW$50&gt;$BW$51),1,0)</f>
        <v>0</v>
      </c>
      <c r="CT51" s="418">
        <f t="array" ref="CT51">IF(AND($BT$48:$BT$51=$BT$51,$BU$48:$BU$49&gt;510,$BU$50:$BU$51&lt;510,$BV$48:$BV$51=$BV$51,$BW$48&gt;$BW$51,$BW$49:$BW$51=$BW$51),1,0)</f>
        <v>0</v>
      </c>
      <c r="CU51" s="418">
        <f t="array" ref="CU51">IF(AND($BT$48:$BT$51=$BT$51,$BU$48:$BU$49&lt;510,$BU$50:$BU$51&gt;510,$BV$48:$BV$51=$BV$51,$BW$48:$BW$50=$BW$50,$BW$48:$BW$50&gt;$BW$51),1,0)</f>
        <v>0</v>
      </c>
      <c r="CV51" s="418">
        <f t="array" ref="CV51">IF(AND($BT$48:$BT$51=$BT$51,$BU$48&gt;510,$BU$51&gt;510,$BU$49:$BU$50&lt;510,$BV$48:$BV$51=$BV$51,$BW$48&gt;$BW$49:$BW$51,$BW$49:$BW$51=$BW$51),1,0)</f>
        <v>0</v>
      </c>
      <c r="CW51" s="418"/>
      <c r="CX51" s="418"/>
      <c r="CY51" s="14"/>
      <c r="CZ51" s="14"/>
      <c r="DA51" s="14"/>
      <c r="DB51" s="14"/>
      <c r="DC51" s="14"/>
      <c r="DD51" s="14"/>
      <c r="DE51" s="14"/>
      <c r="DF51" s="14"/>
      <c r="DG51" s="14"/>
      <c r="DH51" s="14"/>
      <c r="DI51" s="14"/>
      <c r="DJ51" s="14"/>
      <c r="DK51" s="14"/>
      <c r="DL51" s="14"/>
      <c r="DM51" s="14"/>
      <c r="DN51" s="475"/>
    </row>
    <row r="52" spans="1:118" ht="7.5" customHeight="1" thickBot="1" x14ac:dyDescent="0.3">
      <c r="A52" s="74"/>
      <c r="B52" s="75"/>
      <c r="C52" s="266"/>
      <c r="D52" s="267"/>
      <c r="E52" s="76"/>
      <c r="F52" s="78"/>
      <c r="G52" s="79"/>
      <c r="H52" s="80"/>
      <c r="I52" s="80"/>
      <c r="J52" s="81"/>
      <c r="K52" s="82"/>
      <c r="L52" s="149"/>
      <c r="M52" s="79"/>
      <c r="N52" s="26"/>
      <c r="O52" s="25"/>
      <c r="P52" s="54"/>
      <c r="Q52" s="26"/>
      <c r="R52" s="26"/>
      <c r="S52" s="26"/>
      <c r="T52" s="26"/>
      <c r="U52" s="26"/>
      <c r="V52" s="26"/>
      <c r="W52" s="26"/>
      <c r="X52" s="28"/>
      <c r="Y52" s="28"/>
      <c r="Z52" s="28"/>
      <c r="AA52" s="28"/>
      <c r="AB52" s="28"/>
      <c r="AC52" s="413"/>
      <c r="AD52" s="14"/>
      <c r="AE52" s="457"/>
      <c r="AF52" s="410"/>
      <c r="AG52" s="457"/>
      <c r="AH52" s="457"/>
      <c r="AI52" s="457"/>
      <c r="AJ52" s="457"/>
      <c r="AK52" s="457"/>
      <c r="AL52" s="458"/>
      <c r="AM52" s="457"/>
      <c r="AN52" s="457"/>
      <c r="AO52" s="457"/>
      <c r="AP52" s="457"/>
      <c r="AQ52" s="14"/>
      <c r="AR52" s="14"/>
      <c r="AS52" s="14"/>
      <c r="AT52" s="14"/>
      <c r="AU52" s="14"/>
      <c r="AV52" s="459"/>
      <c r="AW52" s="457"/>
      <c r="AX52" s="457"/>
      <c r="AY52" s="460"/>
      <c r="AZ52" s="461"/>
      <c r="BA52" s="461"/>
      <c r="BB52" s="461"/>
      <c r="BC52" s="461"/>
      <c r="BD52" s="462"/>
      <c r="BE52" s="460"/>
      <c r="BF52" s="461"/>
      <c r="BG52" s="461"/>
      <c r="BH52" s="461"/>
      <c r="BI52" s="461"/>
      <c r="BJ52" s="462"/>
      <c r="BK52" s="410"/>
      <c r="BL52" s="410"/>
      <c r="BM52" s="410"/>
      <c r="BN52" s="410"/>
      <c r="BO52" s="410"/>
      <c r="BP52" s="410"/>
      <c r="BQ52" s="410"/>
      <c r="BR52" s="410"/>
      <c r="BS52" s="410"/>
      <c r="BT52" s="410"/>
      <c r="BU52" s="468"/>
      <c r="BV52" s="410"/>
      <c r="BW52" s="410"/>
      <c r="BX52" s="410"/>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475"/>
    </row>
    <row r="53" spans="1:118" ht="15.75" customHeight="1" thickBot="1" x14ac:dyDescent="0.3">
      <c r="A53" s="74"/>
      <c r="B53" s="532" t="s">
        <v>107</v>
      </c>
      <c r="C53" s="323">
        <v>43270</v>
      </c>
      <c r="D53" s="324">
        <v>0.58333333333333337</v>
      </c>
      <c r="E53" s="325" t="s">
        <v>209</v>
      </c>
      <c r="F53" s="361" t="s">
        <v>149</v>
      </c>
      <c r="G53" s="239"/>
      <c r="H53" s="485">
        <v>2</v>
      </c>
      <c r="I53" s="485">
        <v>0</v>
      </c>
      <c r="J53" s="239"/>
      <c r="K53" s="386" t="s">
        <v>164</v>
      </c>
      <c r="L53" s="149">
        <f t="shared" ref="L53:L58" si="132">IF(NOT(OR(ISBLANK(H53),ISBLANK(I53))),1,0)</f>
        <v>1</v>
      </c>
      <c r="M53" s="79"/>
      <c r="N53" s="210" t="s">
        <v>108</v>
      </c>
      <c r="O53" s="211"/>
      <c r="P53" s="211"/>
      <c r="Q53" s="211"/>
      <c r="R53" s="211"/>
      <c r="S53" s="211"/>
      <c r="T53" s="211"/>
      <c r="U53" s="211"/>
      <c r="V53" s="211"/>
      <c r="W53" s="212"/>
      <c r="X53" s="29"/>
      <c r="Y53" s="567" t="s">
        <v>218</v>
      </c>
      <c r="Z53" s="567"/>
      <c r="AA53" s="567"/>
      <c r="AB53" s="29"/>
      <c r="AC53" s="413"/>
      <c r="AD53" s="14"/>
      <c r="AE53" s="414" t="s">
        <v>109</v>
      </c>
      <c r="AF53" s="463"/>
      <c r="AG53" s="14"/>
      <c r="AH53" s="14"/>
      <c r="AI53" s="14"/>
      <c r="AJ53" s="464"/>
      <c r="AK53" s="14"/>
      <c r="AL53" s="14"/>
      <c r="AM53" s="14"/>
      <c r="AN53" s="14"/>
      <c r="AO53" s="14"/>
      <c r="AP53" s="415"/>
      <c r="AQ53" s="14"/>
      <c r="AR53" s="14"/>
      <c r="AS53" s="14"/>
      <c r="AT53" s="14"/>
      <c r="AU53" s="14"/>
      <c r="AV53" s="416" t="str">
        <f>CONCATENATE(N53," - GOLAVERAGE")</f>
        <v>Grupo H - GOLAVERAGE</v>
      </c>
      <c r="AW53" s="417"/>
      <c r="AX53" s="417"/>
      <c r="AY53" s="508" t="s">
        <v>49</v>
      </c>
      <c r="AZ53" s="509"/>
      <c r="BA53" s="509"/>
      <c r="BB53" s="509"/>
      <c r="BC53" s="509"/>
      <c r="BD53" s="510"/>
      <c r="BE53" s="508" t="s">
        <v>48</v>
      </c>
      <c r="BF53" s="509"/>
      <c r="BG53" s="509"/>
      <c r="BH53" s="509"/>
      <c r="BI53" s="509"/>
      <c r="BJ53" s="510"/>
      <c r="BK53" s="410"/>
      <c r="BL53" s="410"/>
      <c r="BM53" s="463"/>
      <c r="BN53" s="410"/>
      <c r="BO53" s="410"/>
      <c r="BP53" s="410"/>
      <c r="BQ53" s="410"/>
      <c r="BR53" s="410"/>
      <c r="BS53" s="410"/>
      <c r="BT53" s="410"/>
      <c r="BU53" s="468"/>
      <c r="BV53" s="410"/>
      <c r="BW53" s="410"/>
      <c r="BX53" s="410"/>
      <c r="BY53" s="14"/>
      <c r="BZ53" s="14" t="s">
        <v>216</v>
      </c>
      <c r="CA53" s="418">
        <f>SUM(CA55:CA58)</f>
        <v>0</v>
      </c>
      <c r="CB53" s="418">
        <f t="shared" ref="CB53:CX53" si="133">SUM(CB55:CB58)</f>
        <v>0</v>
      </c>
      <c r="CC53" s="418">
        <f t="shared" si="133"/>
        <v>0</v>
      </c>
      <c r="CD53" s="418">
        <f t="shared" si="133"/>
        <v>2</v>
      </c>
      <c r="CE53" s="418">
        <f t="shared" si="133"/>
        <v>0</v>
      </c>
      <c r="CF53" s="418">
        <f t="shared" si="133"/>
        <v>2</v>
      </c>
      <c r="CG53" s="418">
        <f t="shared" si="133"/>
        <v>2</v>
      </c>
      <c r="CH53" s="418">
        <f t="shared" si="133"/>
        <v>4</v>
      </c>
      <c r="CI53" s="418">
        <f t="shared" si="133"/>
        <v>0</v>
      </c>
      <c r="CJ53" s="418">
        <f t="shared" si="133"/>
        <v>0</v>
      </c>
      <c r="CK53" s="418">
        <f t="shared" si="133"/>
        <v>0</v>
      </c>
      <c r="CL53" s="418">
        <f t="shared" si="133"/>
        <v>1</v>
      </c>
      <c r="CM53" s="418">
        <f t="shared" si="133"/>
        <v>1</v>
      </c>
      <c r="CN53" s="418">
        <f t="shared" si="133"/>
        <v>1</v>
      </c>
      <c r="CO53" s="418">
        <f t="shared" si="133"/>
        <v>0</v>
      </c>
      <c r="CP53" s="418">
        <f t="shared" si="133"/>
        <v>0</v>
      </c>
      <c r="CQ53" s="418">
        <f t="shared" si="133"/>
        <v>0</v>
      </c>
      <c r="CR53" s="418">
        <f t="shared" si="133"/>
        <v>0</v>
      </c>
      <c r="CS53" s="418">
        <f t="shared" si="133"/>
        <v>0</v>
      </c>
      <c r="CT53" s="418">
        <f t="shared" si="133"/>
        <v>0</v>
      </c>
      <c r="CU53" s="418">
        <f t="shared" si="133"/>
        <v>0</v>
      </c>
      <c r="CV53" s="418">
        <f t="shared" si="133"/>
        <v>0</v>
      </c>
      <c r="CW53" s="418">
        <f t="shared" si="133"/>
        <v>0</v>
      </c>
      <c r="CX53" s="418">
        <f t="shared" si="133"/>
        <v>0</v>
      </c>
      <c r="CY53" s="14"/>
      <c r="CZ53" s="14"/>
      <c r="DA53" s="14"/>
      <c r="DB53" s="14"/>
      <c r="DC53" s="14"/>
      <c r="DD53" s="14"/>
      <c r="DE53" s="14"/>
      <c r="DF53" s="14"/>
      <c r="DG53" s="14"/>
      <c r="DH53" s="14"/>
      <c r="DI53" s="14"/>
      <c r="DJ53" s="14"/>
      <c r="DK53" s="14"/>
      <c r="DL53" s="14"/>
      <c r="DM53" s="14"/>
      <c r="DN53" s="475"/>
    </row>
    <row r="54" spans="1:118" x14ac:dyDescent="0.25">
      <c r="A54" s="74"/>
      <c r="B54" s="533"/>
      <c r="C54" s="326">
        <v>43270</v>
      </c>
      <c r="D54" s="327">
        <v>0.70833333333333337</v>
      </c>
      <c r="E54" s="328" t="s">
        <v>103</v>
      </c>
      <c r="F54" s="362" t="s">
        <v>160</v>
      </c>
      <c r="G54" s="240"/>
      <c r="H54" s="485">
        <v>2</v>
      </c>
      <c r="I54" s="485">
        <v>1</v>
      </c>
      <c r="J54" s="240"/>
      <c r="K54" s="387" t="s">
        <v>174</v>
      </c>
      <c r="L54" s="149">
        <f t="shared" si="132"/>
        <v>1</v>
      </c>
      <c r="M54" s="79"/>
      <c r="N54" s="213" t="s">
        <v>26</v>
      </c>
      <c r="O54" s="214" t="s">
        <v>6</v>
      </c>
      <c r="P54" s="215" t="s">
        <v>12</v>
      </c>
      <c r="Q54" s="215" t="s">
        <v>7</v>
      </c>
      <c r="R54" s="215" t="s">
        <v>8</v>
      </c>
      <c r="S54" s="215" t="s">
        <v>4</v>
      </c>
      <c r="T54" s="215" t="s">
        <v>9</v>
      </c>
      <c r="U54" s="215" t="s">
        <v>10</v>
      </c>
      <c r="V54" s="215" t="s">
        <v>11</v>
      </c>
      <c r="W54" s="216" t="s">
        <v>14</v>
      </c>
      <c r="X54" s="403">
        <f>COUNTIF(X55:X58,"&lt;100")</f>
        <v>0</v>
      </c>
      <c r="Y54" s="567"/>
      <c r="Z54" s="567"/>
      <c r="AA54" s="567"/>
      <c r="AB54" s="29"/>
      <c r="AC54" s="413"/>
      <c r="AD54" s="419"/>
      <c r="AE54" s="420" t="s">
        <v>16</v>
      </c>
      <c r="AF54" s="467" t="s">
        <v>6</v>
      </c>
      <c r="AG54" s="421" t="s">
        <v>17</v>
      </c>
      <c r="AH54" s="421" t="s">
        <v>7</v>
      </c>
      <c r="AI54" s="421" t="s">
        <v>8</v>
      </c>
      <c r="AJ54" s="421" t="s">
        <v>4</v>
      </c>
      <c r="AK54" s="421" t="s">
        <v>9</v>
      </c>
      <c r="AL54" s="421" t="s">
        <v>10</v>
      </c>
      <c r="AM54" s="421" t="s">
        <v>11</v>
      </c>
      <c r="AN54" s="421" t="s">
        <v>14</v>
      </c>
      <c r="AO54" s="421" t="s">
        <v>18</v>
      </c>
      <c r="AP54" s="422" t="s">
        <v>16</v>
      </c>
      <c r="AQ54" s="14"/>
      <c r="AR54" s="14"/>
      <c r="AS54" s="14"/>
      <c r="AT54" s="14"/>
      <c r="AU54" s="14"/>
      <c r="AV54" s="425" t="s">
        <v>6</v>
      </c>
      <c r="AW54" s="426" t="s">
        <v>50</v>
      </c>
      <c r="AX54" s="427" t="s">
        <v>53</v>
      </c>
      <c r="AY54" s="428" t="s">
        <v>52</v>
      </c>
      <c r="AZ54" s="426" t="s">
        <v>47</v>
      </c>
      <c r="BA54" s="429" t="str">
        <f>AV55</f>
        <v>Polonia</v>
      </c>
      <c r="BB54" s="430" t="str">
        <f>AV56</f>
        <v>Senegal</v>
      </c>
      <c r="BC54" s="430" t="str">
        <f>AV57</f>
        <v>Colombia</v>
      </c>
      <c r="BD54" s="431" t="str">
        <f>AV58</f>
        <v>Japón</v>
      </c>
      <c r="BE54" s="426" t="s">
        <v>52</v>
      </c>
      <c r="BF54" s="426" t="s">
        <v>47</v>
      </c>
      <c r="BG54" s="429" t="str">
        <f>BA54</f>
        <v>Polonia</v>
      </c>
      <c r="BH54" s="430" t="str">
        <f t="shared" ref="BH54" si="134">BB54</f>
        <v>Senegal</v>
      </c>
      <c r="BI54" s="430" t="str">
        <f t="shared" ref="BI54" si="135">BC54</f>
        <v>Colombia</v>
      </c>
      <c r="BJ54" s="431" t="str">
        <f t="shared" ref="BJ54" si="136">BD54</f>
        <v>Japón</v>
      </c>
      <c r="BK54" s="410"/>
      <c r="BL54" s="432"/>
      <c r="BM54" s="432" t="s">
        <v>184</v>
      </c>
      <c r="BN54" s="432"/>
      <c r="BO54" s="432" t="s">
        <v>185</v>
      </c>
      <c r="BP54" s="432"/>
      <c r="BQ54" s="410"/>
      <c r="BR54" s="433"/>
      <c r="BS54" s="433" t="s">
        <v>6</v>
      </c>
      <c r="BT54" s="433" t="s">
        <v>17</v>
      </c>
      <c r="BU54" s="469" t="s">
        <v>204</v>
      </c>
      <c r="BV54" s="433" t="s">
        <v>14</v>
      </c>
      <c r="BW54" s="433" t="s">
        <v>205</v>
      </c>
      <c r="BX54" s="410"/>
      <c r="BY54" s="14"/>
      <c r="BZ54" s="14" t="s">
        <v>217</v>
      </c>
      <c r="CA54" s="418" t="s">
        <v>188</v>
      </c>
      <c r="CB54" s="418" t="s">
        <v>197</v>
      </c>
      <c r="CC54" s="418" t="s">
        <v>198</v>
      </c>
      <c r="CD54" s="418" t="s">
        <v>199</v>
      </c>
      <c r="CE54" s="418" t="s">
        <v>200</v>
      </c>
      <c r="CF54" s="418" t="s">
        <v>201</v>
      </c>
      <c r="CG54" s="418" t="s">
        <v>202</v>
      </c>
      <c r="CH54" s="418" t="s">
        <v>203</v>
      </c>
      <c r="CI54" s="418" t="s">
        <v>198</v>
      </c>
      <c r="CJ54" s="418" t="s">
        <v>198</v>
      </c>
      <c r="CK54" s="418" t="s">
        <v>199</v>
      </c>
      <c r="CL54" s="418" t="s">
        <v>202</v>
      </c>
      <c r="CM54" s="418" t="s">
        <v>201</v>
      </c>
      <c r="CN54" s="418" t="s">
        <v>201</v>
      </c>
      <c r="CO54" s="418" t="s">
        <v>200</v>
      </c>
      <c r="CP54" s="418" t="s">
        <v>197</v>
      </c>
      <c r="CQ54" s="418" t="s">
        <v>202</v>
      </c>
      <c r="CR54" s="418" t="s">
        <v>201</v>
      </c>
      <c r="CS54" s="418" t="s">
        <v>199</v>
      </c>
      <c r="CT54" s="418" t="s">
        <v>202</v>
      </c>
      <c r="CU54" s="418" t="s">
        <v>199</v>
      </c>
      <c r="CV54" s="418" t="s">
        <v>201</v>
      </c>
      <c r="CW54" s="418"/>
      <c r="CX54" s="418"/>
      <c r="CY54" s="14"/>
      <c r="CZ54" s="14"/>
      <c r="DA54" s="14"/>
      <c r="DB54" s="14"/>
      <c r="DC54" s="14"/>
      <c r="DD54" s="14"/>
      <c r="DE54" s="14"/>
      <c r="DF54" s="14"/>
      <c r="DG54" s="14"/>
      <c r="DH54" s="14"/>
      <c r="DI54" s="14"/>
      <c r="DJ54" s="14"/>
      <c r="DK54" s="14"/>
      <c r="DL54" s="14"/>
      <c r="DM54" s="14"/>
      <c r="DN54" s="475"/>
    </row>
    <row r="55" spans="1:118" x14ac:dyDescent="0.25">
      <c r="A55" s="74"/>
      <c r="B55" s="533"/>
      <c r="C55" s="326">
        <v>43275</v>
      </c>
      <c r="D55" s="327">
        <v>0.83333333333333337</v>
      </c>
      <c r="E55" s="328" t="s">
        <v>104</v>
      </c>
      <c r="F55" s="362" t="s">
        <v>149</v>
      </c>
      <c r="G55" s="240"/>
      <c r="H55" s="485">
        <v>2</v>
      </c>
      <c r="I55" s="485">
        <v>2</v>
      </c>
      <c r="J55" s="240"/>
      <c r="K55" s="387" t="s">
        <v>160</v>
      </c>
      <c r="L55" s="149">
        <f t="shared" si="132"/>
        <v>1</v>
      </c>
      <c r="M55" s="79"/>
      <c r="N55" s="48">
        <v>1</v>
      </c>
      <c r="O55" s="47" t="str">
        <f>VLOOKUP(N55,$AD$55:$AF$58,3,0)</f>
        <v>Colombia</v>
      </c>
      <c r="P55" s="39">
        <f>VLOOKUP(O55,AF55:AO58,2,FALSE)</f>
        <v>7</v>
      </c>
      <c r="Q55" s="39">
        <f>VLOOKUP(O55,AF55:AO58,3,FALSE)</f>
        <v>3</v>
      </c>
      <c r="R55" s="39">
        <f>VLOOKUP(O55,AF55:AO58,4,FALSE)</f>
        <v>2</v>
      </c>
      <c r="S55" s="39">
        <f>VLOOKUP(O55,AF55:AO58,5,FALSE)</f>
        <v>1</v>
      </c>
      <c r="T55" s="39">
        <f>VLOOKUP(O55,AF55:AO58,6,FALSE)</f>
        <v>0</v>
      </c>
      <c r="U55" s="39">
        <f>VLOOKUP(O55,AF55:AO58,7,FALSE)</f>
        <v>6</v>
      </c>
      <c r="V55" s="39">
        <f>VLOOKUP(O55,AF55:AO58,8,FALSE)</f>
        <v>4</v>
      </c>
      <c r="W55" s="49">
        <f>VLOOKUP(O55,AF55:AO58,9,FALSE)</f>
        <v>2</v>
      </c>
      <c r="X55" s="28">
        <f>IF(SUM($AH$55:$AH$58)=12,MIN(ABS(BP54-BP55),ABS(BP55-BP56)),100)</f>
        <v>2000099999.9800005</v>
      </c>
      <c r="Y55" s="402" t="str">
        <f>IF(AND(X55&gt;=0,X55&lt;90),VLOOKUP(N55,$BL$55:$BM$58,2,0),"")</f>
        <v/>
      </c>
      <c r="Z55" s="406"/>
      <c r="AA55" s="29"/>
      <c r="AB55" s="29"/>
      <c r="AC55" s="413">
        <f>VLOOKUP(O55,$AF$55:$AO$58,10,FALSE)</f>
        <v>7020610999.9700003</v>
      </c>
      <c r="AD55" s="14">
        <f>RANK(AR55,$AR$55:$AR$58)</f>
        <v>2</v>
      </c>
      <c r="AE55" s="434">
        <f>RANK(AO55,AO55:AO58)</f>
        <v>2</v>
      </c>
      <c r="AF55" s="412" t="s">
        <v>149</v>
      </c>
      <c r="AG55" s="418">
        <f>AI55*3+AJ55*1+AK55*0</f>
        <v>5</v>
      </c>
      <c r="AH55" s="418">
        <f>COUNTIFS($F$53:$F$58,AF55,$H$53:$H$58,"&lt;&gt;",$I$53:$I$58,"&lt;&gt;")+COUNTIFS($K$53:$K$58,AF55,$I$53:$I$58,"&lt;&gt;",$H$53:$H$58,"&lt;&gt;")</f>
        <v>3</v>
      </c>
      <c r="AI55" s="418">
        <f t="array" ref="AI55">SUM((F$53:F$58=AF55)*(H$53:H$58&lt;&gt;"")*(I$53:I$58&lt;&gt;"")*(H$53:H$58&gt;I$53:I$58),(K$53:K$58=AF55)*(H$53:H$58&lt;&gt;"")*(I$53:I$58&lt;&gt;"")*(H$53:H$58&lt;I$53:I$58))</f>
        <v>1</v>
      </c>
      <c r="AJ55" s="418">
        <f t="array" ref="AJ55">SUM((F$53:F$58=AF55)*(H$53:H$58&lt;&gt;"")*(I$53:I$58&lt;&gt;"")*(H$53:H$58=I$53:I$58),(K$53:K$58=AF55)*(H$53:H$58&lt;&gt;"")*(I$53:I$58&lt;&gt;"")*(H$53:H$58=I$53:I$58))</f>
        <v>2</v>
      </c>
      <c r="AK55" s="418">
        <f t="array" ref="AK55">SUM((F$53:F$58=AF55)*(I$53:I$58&lt;&gt;"")*(H$53:H$58&lt;&gt;"")*(H$53:H$58&lt;I$53:I$58),(H$53:H$58&lt;&gt;"")*(K$53:K$58=AF55)*(I$53:I$58&lt;&gt;"")*(H$53:H$58&gt;I$53:I$58))</f>
        <v>0</v>
      </c>
      <c r="AL55" s="418">
        <f t="array" ref="AL55">SUMIFS($H$53:$H$58,$F$53:$F$58,AF55,$H$53:$H$58,"&lt;&gt;",$I$53:$I$58,"&lt;&gt;")+SUMIFS($I$53:$I$58,$K$53:$K$58,AF55,$H$53:$H$58,"&lt;&gt;",$I$53:$I$58,"&lt;&gt;")</f>
        <v>5</v>
      </c>
      <c r="AM55" s="418">
        <f t="array" ref="AM55">SUMIFS($H$53:$H$58,$K$53:$K$58,AF55,$H$53:$H$58,"&lt;&gt;",$I$53:$I$58,"&lt;&gt;")+SUMIFS($I$53:$I$58,$F$53:$F$58,AF55,$H$53:$H$58,"&lt;&gt;",$I$53:$I$58,"&lt;&gt;")</f>
        <v>3</v>
      </c>
      <c r="AN55" s="418">
        <f>AL55-AM55</f>
        <v>2</v>
      </c>
      <c r="AO55" s="418">
        <f>IF(AH55=0,-($AT$13*VLOOKUP(AF55,Tabla3[[ZfP4b()8G6b·$55Ma-t·%fv-ttyZxR-.R*+Fd]:[N!"kvfjM.%&amp;gk5kfmfvv)/%;V$&amp;VW]],2,FALSE)),AG55*$AT$7+AN55*$AT$8+AL55*$AT$9+AX55-($AT$13*VLOOKUP(AF55,Tabla3[[ZfP4b()8G6b·$55Ma-t·%fv-ttyZxR-.R*+Fd]:[N!"kvfjM.%&amp;gk5kfmfvv)/%;V$&amp;VW]],2,FALSE)/100))</f>
        <v>5020510999.9899998</v>
      </c>
      <c r="AP55" s="435">
        <f>AE55</f>
        <v>2</v>
      </c>
      <c r="AQ55" s="14"/>
      <c r="AR55" s="14">
        <f>IFERROR(AO55-VLOOKUP(AF55,$Y$55:$Z$58,2,0),AO55)</f>
        <v>5020510999.9899998</v>
      </c>
      <c r="AS55" s="14"/>
      <c r="AT55" s="14"/>
      <c r="AU55" s="14"/>
      <c r="AV55" s="438" t="str">
        <f>AF55</f>
        <v>Polonia</v>
      </c>
      <c r="AW55" s="418">
        <f>COUNTIF(AG55:AG58,AG55)</f>
        <v>1</v>
      </c>
      <c r="AX55" s="439">
        <f>(AY55*$AT$12)+(BE55*$AT$11)</f>
        <v>11000</v>
      </c>
      <c r="AY55" s="440">
        <f>RANK(AZ55,AZ55:AZ58,1)</f>
        <v>1</v>
      </c>
      <c r="AZ55" s="440">
        <f>SUM(IF(AND(AG55=AG56,AN55=AN56,AL55=AL56),BB55,0),IF(AND(AG55=AG57,AN55=AN57,AL55=AL57),BC55,0),IF(AND(AG55=AG58,AN55=AN58,AL55,AL58),BD55,0))</f>
        <v>0</v>
      </c>
      <c r="BA55" s="441">
        <v>0</v>
      </c>
      <c r="BB55" s="442">
        <f>H53</f>
        <v>2</v>
      </c>
      <c r="BC55" s="442">
        <f>H55</f>
        <v>2</v>
      </c>
      <c r="BD55" s="443">
        <f>I57</f>
        <v>1</v>
      </c>
      <c r="BE55" s="440">
        <f>RANK(BF55,BF55:BF58,1)</f>
        <v>1</v>
      </c>
      <c r="BF55" s="440">
        <f>SUM(IF(AND(AG55=AG56,AN55=AN56,AL55=AL56),BH55,0),IF(AND(AG55=AG57,AN55=AN57,AL55=AL57),BI55,0),IF(AND(AG55=AG58,AN55=AN58,AL55=AL58),BJ55,0))</f>
        <v>0</v>
      </c>
      <c r="BG55" s="441">
        <v>0</v>
      </c>
      <c r="BH55" s="442">
        <f>BB55-BA56</f>
        <v>2</v>
      </c>
      <c r="BI55" s="442">
        <f>BC55-BA57</f>
        <v>0</v>
      </c>
      <c r="BJ55" s="443">
        <f>BD55-BA58</f>
        <v>0</v>
      </c>
      <c r="BK55" s="410"/>
      <c r="BL55" s="412">
        <f>RANK(BN55,$BN$55:$BN$58)</f>
        <v>2</v>
      </c>
      <c r="BM55" s="412" t="s">
        <v>149</v>
      </c>
      <c r="BN55" s="412">
        <f>IF(AH55=0,-($AT$13*VLOOKUP(AF55,Tabla3[[ZfP4b()8G6b·$55Ma-t·%fv-ttyZxR-.R*+Fd]:[N!"kvfjM.%&amp;gk5kfmfvv)/%;V$&amp;VW]],2,FALSE)),AG55*$AT$7+AN55*$AT$8+AL55*$AT$9+AX55-($AT$13*VLOOKUP(AF55,Tabla3[[ZfP4b()8G6b·$55Ma-t·%fv-ttyZxR-.R*+Fd]:[N!"kvfjM.%&amp;gk5kfmfvv)/%;V$&amp;VW]],2,FALSE)/100))</f>
        <v>5020510999.9899998</v>
      </c>
      <c r="BO55" s="412" t="str">
        <f>VLOOKUP(N55,$AE$55:$AF$58,2,0)</f>
        <v>Colombia</v>
      </c>
      <c r="BP55" s="412">
        <f>VLOOKUP($BO55,$AF$55:$AO$58,10,FALSE)</f>
        <v>7020610999.9700003</v>
      </c>
      <c r="BQ55" s="410"/>
      <c r="BR55" s="412">
        <v>1</v>
      </c>
      <c r="BS55" s="412" t="str">
        <f>VLOOKUP(BR55,$AD$55:$AF$58,3,0)</f>
        <v>Colombia</v>
      </c>
      <c r="BT55" s="412">
        <f>VLOOKUP(BS55,$AF$55:$AO$58,2,FALSE)</f>
        <v>7</v>
      </c>
      <c r="BU55" s="444">
        <f>IF(SUM($AH$55:$AH$58)=12,MIN(ABS(BP54-BP55),ABS(BP55-BP56)),100)</f>
        <v>2000099999.9800005</v>
      </c>
      <c r="BV55" s="412">
        <f>VLOOKUP(BS55,$AF$55:$AO$58,9,FALSE)</f>
        <v>2</v>
      </c>
      <c r="BW55" s="412">
        <f>VLOOKUP(BS55,$AF$55:$AO$58,7,FALSE)</f>
        <v>6</v>
      </c>
      <c r="BX55" s="410">
        <f>IF($BY$55=$CA$54,$DC$5:$DC$8,IF($BY$55=$CB$54,$DD$5:$DD$7,IF(OR($BY$55=$CC$54,$BY$55=$CD$54),$DE$5:$DE$6,$DI$5)))</f>
        <v>1</v>
      </c>
      <c r="BY55" s="418" t="str">
        <f>IFERROR(HLOOKUP(4,CA53:CX54,2,0),CH54)</f>
        <v>COM_8</v>
      </c>
      <c r="BZ55" s="14">
        <v>1</v>
      </c>
      <c r="CA55" s="418">
        <f t="array" ref="CA55">IF(AND($BT$55:$BT$58=$BT$55,$BU$55:$BU$58&lt;580,$AN$55:$AN$58=$AN$55,$BW$55:$BW$58=$BW$55),1,0)</f>
        <v>0</v>
      </c>
      <c r="CB55" s="418">
        <f t="array" ref="CB55">IF(AND($BT$55:$BT$57=$BT$55,$BU$55:$BU$57&lt;580,$BT$55&lt;&gt;$BT$58),1,0)</f>
        <v>0</v>
      </c>
      <c r="CC55" s="418">
        <f t="array" ref="CC55">IF(AND($BT$55:$BT$56=$BT$55,$BU$55:$BU$56&lt;580,$BT$55&lt;&gt;$BT$57),1,0)</f>
        <v>0</v>
      </c>
      <c r="CD55" s="418">
        <f t="array" ref="CD55">IF(AND($BT$55:$BT$56=$BT$55,$BU$55:$BU$56&lt;580,$BT$55&lt;&gt;$BT$57),1,0)</f>
        <v>0</v>
      </c>
      <c r="CE55" s="418">
        <f t="array" ref="CE55">IF(AND($BT$56:$BT$58=$BT$56,$BU$56:$BU$58&lt;580,$BT$55&lt;&gt;$BT$56),1,0)</f>
        <v>0</v>
      </c>
      <c r="CF55" s="418">
        <f t="array" ref="CF55">IF(AND($BT$55&lt;&gt;$BT$56,$BT$55&lt;&gt;$BT$58),1,0)</f>
        <v>1</v>
      </c>
      <c r="CG55" s="418">
        <f t="array" ref="CG55">IF(AND($BT$55&lt;&gt;$BT$56,$BT$55&lt;&gt;$BT$58),1,0)</f>
        <v>1</v>
      </c>
      <c r="CH55" s="418">
        <f t="array" ref="CH55">IF(AND($BT$55&lt;&gt;$BT$56,$BT$55&lt;&gt;$BT$58),1,0)</f>
        <v>1</v>
      </c>
      <c r="CI55" s="418">
        <f t="array" ref="CI55">IF(AND($BT$55:$BT$58=$BT$55,$BU$55:$BU$58&lt;580,$BV$55:$BV$56=$BV$55,$BV$55&lt;&gt;$BV$57),1,0)</f>
        <v>0</v>
      </c>
      <c r="CJ55" s="418">
        <f t="array" ref="CJ55">IF(AND($BT$55:$BT$58=$BT$55,$BU$55:$BU$58&lt;580,$BV$55:$BV$58=$BV$55,$BW$55=$BW$56,$BW$55&lt;&gt;$BW$57),1,0)</f>
        <v>0</v>
      </c>
      <c r="CK55" s="418">
        <f t="array" ref="CK55">IF(AND($BT$55:$BT$57=$BT$55,$BU$55:$BU$56&lt;580,$BU$57&gt;580),1,0)</f>
        <v>0</v>
      </c>
      <c r="CL55" s="418">
        <f t="array" ref="CL55">IF(AND($BT$55&lt;&gt;$BT$56,$BT$55&lt;&gt;$BT$57),1,0)</f>
        <v>1</v>
      </c>
      <c r="CM55" s="418">
        <f t="array" ref="CM55">IF(AND($BT$55&lt;&gt;$BT$56,$BT$55&lt;&gt;$BT$57),1,0)</f>
        <v>1</v>
      </c>
      <c r="CN55" s="418">
        <f t="array" ref="CN55">IF(AND($BT$55&lt;&gt;$BT$58,$BT$55:$BT$57=$BT$55,$BU$55&gt;580,$BU$56:$BU$57&lt;580),1,0)</f>
        <v>0</v>
      </c>
      <c r="CO55" s="418">
        <f t="array" ref="CO55">IF(AND($BT$55:$BT$58=$BT$55,$BU$56:$BU$58&lt;580,$BU$55&lt;&gt;$BU$56),1,0)</f>
        <v>0</v>
      </c>
      <c r="CP55" s="418">
        <f t="array" ref="CP55">IF(AND($BT$55:$BT$58=$BT$55,$BU$55:$BU$57&lt;580,$BU$55&lt;&gt;$BU$58),1,0)</f>
        <v>0</v>
      </c>
      <c r="CQ55" s="418">
        <f t="array" ref="CQ55">IF(AND($BT$55:$BT$58=$BT$55,$BU$55:$BU$56&gt;580,$BU$57:$BU$58&lt;580,$BV$55:$BV$58=$BV$55,$BW$55&gt;$BW$56,$BW$55&gt;$BW$57,$BW$55&gt;$BW$58),1,0)</f>
        <v>0</v>
      </c>
      <c r="CR55" s="418">
        <f t="array" ref="CR55">IF(AND($BT$55:$BT$58=$BT$55,$BU$55&gt;580,$BU$56:$BU$57&lt;580,$BU$58&gt;580,$BV$55:$BV$58=$BV$55,$BW$55&gt;$BW$56,$BW$55&gt;$BW$57,$BW$55&gt;$BW$58),1,0)</f>
        <v>0</v>
      </c>
      <c r="CS55" s="418">
        <f t="array" ref="CS55">IF(AND($BT$55:$BT$58=$BT$55,$BU$55:$BU$56&lt;580,$BU$57:$BU$58&gt;580,$BV$55:$BV$58=$BV$55,$BW$55=$BW$56,$BW$55&gt;$BW$57,$BW$55&gt;$BW$58),1,0)</f>
        <v>0</v>
      </c>
      <c r="CT55" s="418">
        <f t="array" ref="CT55">IF(AND($BT$55:$BT$58=$BT$55,$BU$55:$BU$56&gt;580,$BU$57:$BU$58&lt;580,$BV$55:$BV$58=$BV$55,$BW$55&gt;$BW$56,$BW$56:$BW$58=$BW$56),1,0)</f>
        <v>0</v>
      </c>
      <c r="CU55" s="418">
        <f t="array" ref="CU55">IF(AND($BT$55:$BT$58=$BT$55,$BU$55:$BU$56&lt;580,$BU$57:$BU$58&gt;580,$BV$55:$BV$58=$BV$55,$BW$55:$BW$57=$BW$55,$BW$55&gt;$BW$58),1,0)</f>
        <v>0</v>
      </c>
      <c r="CV55" s="418">
        <f t="array" ref="CV55">IF(AND($BT$55:$BT$58=$BT$55,$BU$55&gt;580,$BU$58&gt;580,$BU$56:$BU$57&lt;580,$BV$55:$BV$58=$BV$55,$BW$55&gt;$BW$56:$BW$58),1,0)</f>
        <v>0</v>
      </c>
      <c r="CW55" s="418"/>
      <c r="CX55" s="418"/>
      <c r="CY55" s="14"/>
      <c r="CZ55" s="14"/>
      <c r="DA55" s="14"/>
      <c r="DB55" s="14"/>
      <c r="DC55" s="14"/>
      <c r="DD55" s="14"/>
      <c r="DE55" s="14"/>
      <c r="DF55" s="14"/>
      <c r="DG55" s="14"/>
      <c r="DH55" s="14"/>
      <c r="DI55" s="14"/>
      <c r="DJ55" s="14"/>
      <c r="DK55" s="14"/>
      <c r="DL55" s="14"/>
      <c r="DM55" s="14"/>
      <c r="DN55" s="475"/>
    </row>
    <row r="56" spans="1:118" x14ac:dyDescent="0.25">
      <c r="A56" s="74"/>
      <c r="B56" s="533"/>
      <c r="C56" s="326">
        <v>43275</v>
      </c>
      <c r="D56" s="327">
        <v>0.70833333333333337</v>
      </c>
      <c r="E56" s="328" t="s">
        <v>100</v>
      </c>
      <c r="F56" s="362" t="s">
        <v>174</v>
      </c>
      <c r="G56" s="240"/>
      <c r="H56" s="485">
        <v>3</v>
      </c>
      <c r="I56" s="485">
        <v>1</v>
      </c>
      <c r="J56" s="240"/>
      <c r="K56" s="387" t="s">
        <v>164</v>
      </c>
      <c r="L56" s="149">
        <f t="shared" si="132"/>
        <v>1</v>
      </c>
      <c r="M56" s="79"/>
      <c r="N56" s="48">
        <v>2</v>
      </c>
      <c r="O56" s="47" t="str">
        <f>VLOOKUP(N56,$AD$55:$AF$58,3,0)</f>
        <v>Polonia</v>
      </c>
      <c r="P56" s="39">
        <f>VLOOKUP(O56,AF55:AO58,2,FALSE)</f>
        <v>5</v>
      </c>
      <c r="Q56" s="39">
        <f>VLOOKUP(O56,AF55:AO58,3,FALSE)</f>
        <v>3</v>
      </c>
      <c r="R56" s="39">
        <f>VLOOKUP(O56,AF55:AO58,4,FALSE)</f>
        <v>1</v>
      </c>
      <c r="S56" s="39">
        <f>VLOOKUP(O56,AF55:AO58,5,FALSE)</f>
        <v>2</v>
      </c>
      <c r="T56" s="39">
        <f>VLOOKUP(O56,AF55:AO58,6,FALSE)</f>
        <v>0</v>
      </c>
      <c r="U56" s="39">
        <f>VLOOKUP(O56,AF55:AO58,7,FALSE)</f>
        <v>5</v>
      </c>
      <c r="V56" s="39">
        <f>VLOOKUP(O56,AF55:AO58,8,FALSE)</f>
        <v>3</v>
      </c>
      <c r="W56" s="49">
        <f>VLOOKUP(O56,AF55:AO58,9,FALSE)</f>
        <v>2</v>
      </c>
      <c r="X56" s="28">
        <f t="shared" ref="X56:X58" si="137">IF(SUM($AH$55:$AH$58)=12,MIN(ABS(BP55-BP56),ABS(BP56-BP57)),100)</f>
        <v>1010000000.0299997</v>
      </c>
      <c r="Y56" s="402" t="str">
        <f t="shared" ref="Y56:Y58" si="138">IF(AND(X56&gt;=0,X56&lt;90),VLOOKUP(N56,$BL$55:$BM$58,2,0),"")</f>
        <v/>
      </c>
      <c r="Z56" s="406"/>
      <c r="AA56" s="29"/>
      <c r="AB56" s="29"/>
      <c r="AC56" s="413">
        <f>VLOOKUP(O56,$AF$55:$AO$58,10,FALSE)</f>
        <v>5020510999.9899998</v>
      </c>
      <c r="AD56" s="14">
        <f t="shared" ref="AD56:AD58" si="139">RANK(AR56,$AR$55:$AR$58)</f>
        <v>4</v>
      </c>
      <c r="AE56" s="434">
        <f>RANK(AO56,AO55:AO58)</f>
        <v>4</v>
      </c>
      <c r="AF56" s="412" t="s">
        <v>164</v>
      </c>
      <c r="AG56" s="418">
        <f t="shared" ref="AG56:AG58" si="140">AI56*3+AJ56*1+AK56*0</f>
        <v>0</v>
      </c>
      <c r="AH56" s="418">
        <f t="shared" ref="AH56:AH58" si="141">COUNTIFS($F$53:$F$58,AF56,$H$53:$H$58,"&lt;&gt;",$I$53:$I$58,"&lt;&gt;")+COUNTIFS($K$53:$K$58,AF56,$I$53:$I$58,"&lt;&gt;",$H$53:$H$58,"&lt;&gt;")</f>
        <v>3</v>
      </c>
      <c r="AI56" s="418">
        <f t="array" ref="AI56">SUM((F$53:F$58=AF56)*(H$53:H$58&lt;&gt;"")*(I$53:I$58&lt;&gt;"")*(H$53:H$58&gt;I$53:I$58),(K$53:K$58=AF56)*(H$53:H$58&lt;&gt;"")*(I$53:I$58&lt;&gt;"")*(H$53:H$58&lt;I$53:I$58))</f>
        <v>0</v>
      </c>
      <c r="AJ56" s="418">
        <f t="array" ref="AJ56">SUM((F$53:F$58=AF56)*(H$53:H$58&lt;&gt;"")*(I$53:I$58&lt;&gt;"")*(H$53:H$58=I$53:I$58),(K$53:K$58=AF56)*(H$53:H$58&lt;&gt;"")*(I$53:I$58&lt;&gt;"")*(H$53:H$58=I$53:I$58))</f>
        <v>0</v>
      </c>
      <c r="AK56" s="418">
        <f t="array" ref="AK56">SUM((F$53:F$58=AF56)*(I$53:I$58&lt;&gt;"")*(H$53:H$58&lt;&gt;"")*(H$53:H$58&lt;I$53:I$58),(H$53:H$58&lt;&gt;"")*(K$53:K$58=AF56)*(I$53:I$58&lt;&gt;"")*(H$53:H$58&gt;I$53:I$58))</f>
        <v>3</v>
      </c>
      <c r="AL56" s="418">
        <f t="array" ref="AL56">SUMIFS($H$53:$H$58,$F$53:$F$58,AF56,$H$53:$H$58,"&lt;&gt;",$I$53:$I$58,"&lt;&gt;")+SUMIFS($I$53:$I$58,$K$53:$K$58,AF56,$H$53:$H$58,"&lt;&gt;",$I$53:$I$58,"&lt;&gt;")</f>
        <v>2</v>
      </c>
      <c r="AM56" s="418">
        <f t="array" ref="AM56">SUMIFS($H$53:$H$58,$K$53:$K$58,AF56,$H$53:$H$58,"&lt;&gt;",$I$53:$I$58,"&lt;&gt;")+SUMIFS($I$53:$I$58,$F$53:$F$58,AF56,$H$53:$H$58,"&lt;&gt;",$I$53:$I$58,"&lt;&gt;")</f>
        <v>7</v>
      </c>
      <c r="AN56" s="418">
        <f t="shared" ref="AN56:AN58" si="142">AL56-AM56</f>
        <v>-5</v>
      </c>
      <c r="AO56" s="418">
        <f>IF(AH56=0,-($AT$13*VLOOKUP(AF56,Tabla3[[ZfP4b()8G6b·$55Ma-t·%fv-ttyZxR-.R*+Fd]:[N!"kvfjM.%&amp;gk5kfmfvv)/%;V$&amp;VW]],2,FALSE)),AG56*$AT$7+AN56*$AT$8+AL56*$AT$9+AX56-($AT$13*VLOOKUP(AF56,Tabla3[[ZfP4b()8G6b·$55Ma-t·%fv-ttyZxR-.R*+Fd]:[N!"kvfjM.%&amp;gk5kfmfvv)/%;V$&amp;VW]],2,FALSE)/100))</f>
        <v>-49789000.020000003</v>
      </c>
      <c r="AP56" s="435">
        <f>AE56</f>
        <v>4</v>
      </c>
      <c r="AQ56" s="14"/>
      <c r="AR56" s="14">
        <f t="shared" ref="AR56:AR58" si="143">IFERROR(AO56-VLOOKUP(AF56,$Y$55:$Z$58,2,0),AO56)</f>
        <v>-49789000.020000003</v>
      </c>
      <c r="AS56" s="14"/>
      <c r="AT56" s="14"/>
      <c r="AU56" s="14"/>
      <c r="AV56" s="438" t="str">
        <f t="shared" ref="AV56:AV58" si="144">AF56</f>
        <v>Senegal</v>
      </c>
      <c r="AW56" s="418">
        <f>COUNTIF(AG55:AG58,AG56)</f>
        <v>1</v>
      </c>
      <c r="AX56" s="439">
        <f>(AY56*$AT$12)+(BE56*$AT$11)</f>
        <v>11000</v>
      </c>
      <c r="AY56" s="440">
        <f>RANK(AZ56,AZ55:AZ58,1)</f>
        <v>1</v>
      </c>
      <c r="AZ56" s="440">
        <f>SUM(IF(AND(AG56=AG57,AN56=AN57,AL56=AL57),BC56,0),IF(AND(AG56=AG58,AN56=AN58,AL56=AL58),BD56,0),IF(AND(AG56=AG55,AN55=AN58,AL55=AL58),BA56,0))</f>
        <v>0</v>
      </c>
      <c r="BA56" s="441">
        <f>I53</f>
        <v>0</v>
      </c>
      <c r="BB56" s="442">
        <v>0</v>
      </c>
      <c r="BC56" s="442">
        <f>H58</f>
        <v>1</v>
      </c>
      <c r="BD56" s="443">
        <f>I56</f>
        <v>1</v>
      </c>
      <c r="BE56" s="440">
        <f>RANK(BF56,BF55:BF58,1)</f>
        <v>1</v>
      </c>
      <c r="BF56" s="440">
        <f>SUM(IF(AND(AG56=AG57,AN56=AN57,AL56=AL57),BI56,0),IF(AND(AG56=AG58,AN56=AN58,AL56=AL58),BJ56,0),IF(AND(AG56=AG55,AN56=AN55,AL56=AL55),BG56,0))</f>
        <v>0</v>
      </c>
      <c r="BG56" s="441">
        <f>BA56-BB55</f>
        <v>-2</v>
      </c>
      <c r="BH56" s="442">
        <v>0</v>
      </c>
      <c r="BI56" s="442">
        <f>BC56-BB57</f>
        <v>-1</v>
      </c>
      <c r="BJ56" s="443">
        <f>BD56-BB58</f>
        <v>-2</v>
      </c>
      <c r="BK56" s="410"/>
      <c r="BL56" s="412">
        <f t="shared" ref="BL56:BL58" si="145">RANK(BN56,$BN$55:$BN$58)</f>
        <v>4</v>
      </c>
      <c r="BM56" s="412" t="s">
        <v>164</v>
      </c>
      <c r="BN56" s="412">
        <f>IF(AH56=0,-($AT$13*VLOOKUP(AF56,Tabla3[[ZfP4b()8G6b·$55Ma-t·%fv-ttyZxR-.R*+Fd]:[N!"kvfjM.%&amp;gk5kfmfvv)/%;V$&amp;VW]],2,FALSE)),AG56*$AT$7+AN56*$AT$8+AL56*$AT$9+AX56-($AT$13*VLOOKUP(AF56,Tabla3[[ZfP4b()8G6b·$55Ma-t·%fv-ttyZxR-.R*+Fd]:[N!"kvfjM.%&amp;gk5kfmfvv)/%;V$&amp;VW]],2,FALSE)/100))</f>
        <v>-49789000.020000003</v>
      </c>
      <c r="BO56" s="412" t="str">
        <f t="shared" ref="BO56:BO58" si="146">VLOOKUP(N56,$AE$55:$AF$58,2,0)</f>
        <v>Polonia</v>
      </c>
      <c r="BP56" s="412">
        <f t="shared" ref="BP56:BP58" si="147">VLOOKUP($BO56,$AF$55:$AO$58,10,FALSE)</f>
        <v>5020510999.9899998</v>
      </c>
      <c r="BQ56" s="410"/>
      <c r="BR56" s="412">
        <v>2</v>
      </c>
      <c r="BS56" s="412" t="str">
        <f t="shared" ref="BS56:BS58" si="148">VLOOKUP(BR56,$AD$55:$AF$58,3,0)</f>
        <v>Polonia</v>
      </c>
      <c r="BT56" s="412">
        <f t="shared" ref="BT56:BT58" si="149">VLOOKUP(BS56,$AF$55:$AO$58,2,FALSE)</f>
        <v>5</v>
      </c>
      <c r="BU56" s="444">
        <f t="shared" ref="BU56:BU58" si="150">IF(SUM($AH$55:$AH$58)=12,MIN(ABS(BP55-BP56),ABS(BP56-BP57)),100)</f>
        <v>1010000000.0299997</v>
      </c>
      <c r="BV56" s="412">
        <f t="shared" ref="BV56:BV58" si="151">VLOOKUP(BS56,$AF$55:$AO$58,9,FALSE)</f>
        <v>2</v>
      </c>
      <c r="BW56" s="412">
        <f t="shared" ref="BW56:BW58" si="152">VLOOKUP(BS56,$AF$55:$AO$58,7,FALSE)</f>
        <v>5</v>
      </c>
      <c r="BX56" s="410">
        <f>IF($BY$55=$CA$54,$DC$5:$DC$8,IF($BY$55=$CB$54,$DD$5:$DD$7,IF(OR($BY$55=$CC$54,$BY$55=$CD$54),$DE$5:$DE$6,IF($BY$55=$CE$54,$DF$5:$DF$7,(IF($BY$55=$CF$54,$DH$5:$DH$6,$DJ$5))))))</f>
        <v>2</v>
      </c>
      <c r="BY56" s="14"/>
      <c r="BZ56" s="14">
        <v>2</v>
      </c>
      <c r="CA56" s="418">
        <f t="array" ref="CA56">IF(AND($BT$55:$BT$58=$BT$56,$BU$55:$BU$58&lt;580,$AN$55:$AN$58=$AN$56,$BW$55:$BW$58=$BW$56),1,0)</f>
        <v>0</v>
      </c>
      <c r="CB56" s="418">
        <f t="array" ref="CB56">IF(AND($BT$55:$BT$57=$BT$56,$BU$55:$BU$57&lt;580,$BT$56&lt;&gt;$BT$58),1,0)</f>
        <v>0</v>
      </c>
      <c r="CC56" s="418">
        <f t="array" ref="CC56">IF(AND($BT$55:$BT$56=$BT$55,$BU$55:$BU$56&lt;580,$BT$55&lt;&gt;$BT$57),1,0)</f>
        <v>0</v>
      </c>
      <c r="CD56" s="418">
        <f t="array" ref="CD56">IF(AND($BT$55:$BT$56=$BT$55,$BU$55:$BU$56&lt;580,$BT$55&lt;&gt;$BT$57),1,0)</f>
        <v>0</v>
      </c>
      <c r="CE56" s="418">
        <f t="array" ref="CE56">IF(AND($BT$56:$BT$58=$BT$56,$BU$56:$BU$58&lt;580,$BT$55&lt;&gt;$BT$56),1,0)</f>
        <v>0</v>
      </c>
      <c r="CF56" s="418">
        <f t="array" ref="CF56">IF(AND($BT$56:$BT$57=$BT$56,$BU$56:$BU$57&lt;580,$BT$56&lt;&gt;$BT$55,$BT$56&lt;&gt;$BT$58),1,0)</f>
        <v>0</v>
      </c>
      <c r="CG56" s="418">
        <f t="array" ref="CG56">IF(AND($BT$56&lt;&gt;$BT$55,$BT$56&lt;&gt;$BT$57),1,0)</f>
        <v>1</v>
      </c>
      <c r="CH56" s="418">
        <f t="array" ref="CH56">IF(AND($BT$56&lt;&gt;$BT$55,$BT$56&lt;&gt;$BT$57),1,0)</f>
        <v>1</v>
      </c>
      <c r="CI56" s="418">
        <f t="array" ref="CI56">IF(AND($BT$55:$BT$58=$BT$55,$BU$55:$BU$58&lt;580,$BV$55:$BV$56=$BV$55,$BV$56&lt;&gt;$BV$57),1,0)</f>
        <v>0</v>
      </c>
      <c r="CJ56" s="418">
        <f t="array" ref="CJ56">IF(AND($BT$55:$BT$58=$BT$55,$BU$55:$BU$58&lt;580,$BV$55:$BV$58=$BV$55,$BW$55=$BW$56,$BW$56&lt;&gt;$BW$57),1,0)</f>
        <v>0</v>
      </c>
      <c r="CK56" s="418">
        <f t="array" ref="CK56">IF(AND($BT$55:$BT$57=$BT$56,$BU$55:$BU$56&lt;580,$BU$57&gt;580),1,0)</f>
        <v>0</v>
      </c>
      <c r="CL56" s="418">
        <f t="array" ref="CL56">IF(AND($BT$56&lt;&gt;$BT$55,$BT$56:$BT$58=$BT$56,$BU$56&gt;580,$BU$57:$BU$58&lt;580),1,0)</f>
        <v>0</v>
      </c>
      <c r="CM56" s="418">
        <f t="array" ref="CM56">IF(AND($BT$56&lt;&gt;$BT$55,$BT$56:$BT$58=$BT$56,$BU$58&gt;580,$BU$56:$BU$57&lt;580),1,0)</f>
        <v>0</v>
      </c>
      <c r="CN56" s="418">
        <f t="array" ref="CN56">IF(AND($BT$56&lt;&gt;$BT$58,$BT$55:$BT$57=$BT$56,$BU$55&gt;580,$BU$56:$BU$57&lt;580),1,0)</f>
        <v>0</v>
      </c>
      <c r="CO56" s="418">
        <f t="array" ref="CO56">IF(AND($BT$55:$BT$58=$BT$56,$BU$56:$BU$58&lt;580,$BU$55&lt;&gt;$BU$56),1,0)</f>
        <v>0</v>
      </c>
      <c r="CP56" s="418">
        <f t="array" ref="CP56">IF(AND($BT$55:$BT$58=$BT$56,$BU$55:$BU$57&lt;580,$BU$56&lt;&gt;$BU$58),1,0)</f>
        <v>0</v>
      </c>
      <c r="CQ56" s="418">
        <f t="array" ref="CQ56">IF(AND($BT$55:$BT$58=$BT$56,$BU$55:$BU$56&gt;580,$BU$57:$BU$58&lt;580,$BV$55:$BV$58=$BV$56,$BW$55&gt;$BW$56,$BW$56&gt;$BW$57,$BW$56&gt;$BW$58),1,0)</f>
        <v>0</v>
      </c>
      <c r="CR56" s="418">
        <f t="array" ref="CR56">IF(AND($BT$55:$BT$58=$BT$56,$BU$55&gt;580,$BU$56:$BU$57&lt;580,$BU$58&gt;580,$BV$55:$BV$58=$BV$56,$BW$55&gt;$BW$56,$BW$56=$BW$57,$BW$56&gt;$BW$58),1,0)</f>
        <v>0</v>
      </c>
      <c r="CS56" s="418">
        <f t="array" ref="CS56">IF(AND($BT$55:$BT$58=$BT$56,$BU$55:$BU$56&lt;580,$BU$57:$BU$58&gt;580,$BV$55:$BV$58=$BV$56,$BW$55=$BW$56,$BW$56&gt;$BW$57,$BW$56&gt;$BW$58),1,0)</f>
        <v>0</v>
      </c>
      <c r="CT56" s="418">
        <f t="array" ref="CT56">IF(AND($BT$55:$BT$58=$BT$56,$BU$55:$BU$56&gt;580,$BU$57:$BU$58&lt;580,$BV$55:$BV$58=$BV$56,$BW$55&gt;$BW$56,$BW$56:$BW$58=$BW$56),1,0)</f>
        <v>0</v>
      </c>
      <c r="CU56" s="418">
        <f t="array" ref="CU56">IF(AND($BT$55:$BT$58=$BT$56,$BU$55:$BU$56&lt;580,$BU$57:$BU$58&gt;580,$BV$55:$BV$58=$BV$56,$BW$55:$BW$57=$BW$56,$BW$56&gt;$BW$58),1,0)</f>
        <v>0</v>
      </c>
      <c r="CV56" s="418">
        <f t="array" ref="CV56">IF(AND($BT$55:$BT$58=$BT$56,$BU$55&gt;580,$BU$58&gt;580,$BU$56:$BU$57&lt;580,$BV$55:$BV$58=$BV$56,$BW$55&gt;$BW$56:$BW$58,$BW$56:$BW$58=$BW$56),1,0)</f>
        <v>0</v>
      </c>
      <c r="CW56" s="418"/>
      <c r="CX56" s="418"/>
      <c r="CY56" s="14"/>
      <c r="CZ56" s="14"/>
      <c r="DA56" s="14"/>
      <c r="DB56" s="14"/>
      <c r="DC56" s="14"/>
      <c r="DD56" s="14"/>
      <c r="DE56" s="14"/>
      <c r="DF56" s="14"/>
      <c r="DG56" s="14"/>
      <c r="DH56" s="14"/>
      <c r="DI56" s="14"/>
      <c r="DJ56" s="14"/>
      <c r="DK56" s="14"/>
      <c r="DL56" s="14"/>
      <c r="DM56" s="14"/>
      <c r="DN56" s="475"/>
    </row>
    <row r="57" spans="1:118" x14ac:dyDescent="0.25">
      <c r="A57" s="74"/>
      <c r="B57" s="533"/>
      <c r="C57" s="326">
        <v>43279</v>
      </c>
      <c r="D57" s="327">
        <v>0.66666666666666663</v>
      </c>
      <c r="E57" s="328" t="s">
        <v>221</v>
      </c>
      <c r="F57" s="362" t="s">
        <v>174</v>
      </c>
      <c r="G57" s="240"/>
      <c r="H57" s="485">
        <v>1</v>
      </c>
      <c r="I57" s="485">
        <v>1</v>
      </c>
      <c r="J57" s="240"/>
      <c r="K57" s="387" t="s">
        <v>149</v>
      </c>
      <c r="L57" s="149">
        <f t="shared" si="132"/>
        <v>1</v>
      </c>
      <c r="M57" s="79"/>
      <c r="N57" s="40">
        <v>3</v>
      </c>
      <c r="O57" s="38" t="str">
        <f>VLOOKUP(N57,$AD$55:$AF$58,3,0)</f>
        <v>Japón</v>
      </c>
      <c r="P57" s="39">
        <f>VLOOKUP(O57,AF55:AO58,2,FALSE)</f>
        <v>4</v>
      </c>
      <c r="Q57" s="37">
        <f>VLOOKUP(O57,AF55:AO58,3,FALSE)</f>
        <v>3</v>
      </c>
      <c r="R57" s="37">
        <f>VLOOKUP(O57,AF55:AO58,4,FALSE)</f>
        <v>1</v>
      </c>
      <c r="S57" s="37">
        <f>VLOOKUP(O57,AF55:AO58,5,FALSE)</f>
        <v>1</v>
      </c>
      <c r="T57" s="37">
        <f>VLOOKUP(O57,AF55:AO58,6,FALSE)</f>
        <v>1</v>
      </c>
      <c r="U57" s="37">
        <f>VLOOKUP(O57,AF55:AO58,7,FALSE)</f>
        <v>5</v>
      </c>
      <c r="V57" s="37">
        <f>VLOOKUP(O57,AF55:AO58,8,FALSE)</f>
        <v>4</v>
      </c>
      <c r="W57" s="45">
        <f>VLOOKUP(O57,AF55:AO58,9,FALSE)</f>
        <v>1</v>
      </c>
      <c r="X57" s="28">
        <f t="shared" si="137"/>
        <v>1010000000.0299997</v>
      </c>
      <c r="Y57" s="402" t="str">
        <f t="shared" si="138"/>
        <v/>
      </c>
      <c r="Z57" s="406"/>
      <c r="AA57" s="29"/>
      <c r="AB57" s="29"/>
      <c r="AC57" s="413">
        <f>VLOOKUP(O57,$AF$55:$AO$58,10,FALSE)</f>
        <v>4010510999.96</v>
      </c>
      <c r="AD57" s="14">
        <f t="shared" si="139"/>
        <v>1</v>
      </c>
      <c r="AE57" s="434">
        <f>RANK(AO57,AO55:AO58)</f>
        <v>1</v>
      </c>
      <c r="AF57" s="412" t="s">
        <v>160</v>
      </c>
      <c r="AG57" s="418">
        <f t="shared" si="140"/>
        <v>7</v>
      </c>
      <c r="AH57" s="418">
        <f t="shared" si="141"/>
        <v>3</v>
      </c>
      <c r="AI57" s="418">
        <f t="array" ref="AI57">SUM((F$53:F$58=AF57)*(H$53:H$58&lt;&gt;"")*(I$53:I$58&lt;&gt;"")*(H$53:H$58&gt;I$53:I$58),(K$53:K$58=AF57)*(H$53:H$58&lt;&gt;"")*(I$53:I$58&lt;&gt;"")*(H$53:H$58&lt;I$53:I$58))</f>
        <v>2</v>
      </c>
      <c r="AJ57" s="418">
        <f t="array" ref="AJ57">SUM((F$53:F$58=AF57)*(H$53:H$58&lt;&gt;"")*(I$53:I$58&lt;&gt;"")*(H$53:H$58=I$53:I$58),(K$53:K$58=AF57)*(H$53:H$58&lt;&gt;"")*(I$53:I$58&lt;&gt;"")*(H$53:H$58=I$53:I$58))</f>
        <v>1</v>
      </c>
      <c r="AK57" s="418">
        <f t="array" ref="AK57">SUM((F$53:F$58=AF57)*(I$53:I$58&lt;&gt;"")*(H$53:H$58&lt;&gt;"")*(H$53:H$58&lt;I$53:I$58),(H$53:H$58&lt;&gt;"")*(K$53:K$58=AF57)*(I$53:I$58&lt;&gt;"")*(H$53:H$58&gt;I$53:I$58))</f>
        <v>0</v>
      </c>
      <c r="AL57" s="418">
        <f t="array" ref="AL57">SUMIFS($H$53:$H$58,$F$53:$F$58,AF57,$H$53:$H$58,"&lt;&gt;",$I$53:$I$58,"&lt;&gt;")+SUMIFS($I$53:$I$58,$K$53:$K$58,AF57,$H$53:$H$58,"&lt;&gt;",$I$53:$I$58,"&lt;&gt;")</f>
        <v>6</v>
      </c>
      <c r="AM57" s="418">
        <f t="array" ref="AM57">SUMIFS($H$53:$H$58,$K$53:$K$58,AF57,$H$53:$H$58,"&lt;&gt;",$I$53:$I$58,"&lt;&gt;")+SUMIFS($I$53:$I$58,$F$53:$F$58,AF57,$H$53:$H$58,"&lt;&gt;",$I$53:$I$58,"&lt;&gt;")</f>
        <v>4</v>
      </c>
      <c r="AN57" s="418">
        <f t="shared" si="142"/>
        <v>2</v>
      </c>
      <c r="AO57" s="418">
        <f>IF(AH57=0,-($AT$13*VLOOKUP(AF57,Tabla3[[ZfP4b()8G6b·$55Ma-t·%fv-ttyZxR-.R*+Fd]:[N!"kvfjM.%&amp;gk5kfmfvv)/%;V$&amp;VW]],2,FALSE)),AG57*$AT$7+AN57*$AT$8+AL57*$AT$9+AX57-($AT$13*VLOOKUP(AF57,Tabla3[[ZfP4b()8G6b·$55Ma-t·%fv-ttyZxR-.R*+Fd]:[N!"kvfjM.%&amp;gk5kfmfvv)/%;V$&amp;VW]],2,FALSE)/100))</f>
        <v>7020610999.9700003</v>
      </c>
      <c r="AP57" s="435">
        <f>AE57</f>
        <v>1</v>
      </c>
      <c r="AQ57" s="14"/>
      <c r="AR57" s="14">
        <f t="shared" si="143"/>
        <v>7020610999.9700003</v>
      </c>
      <c r="AS57" s="14"/>
      <c r="AT57" s="14"/>
      <c r="AU57" s="14"/>
      <c r="AV57" s="438" t="str">
        <f t="shared" si="144"/>
        <v>Colombia</v>
      </c>
      <c r="AW57" s="418">
        <f>COUNTIF(AG55:AG58,AG57)</f>
        <v>1</v>
      </c>
      <c r="AX57" s="439">
        <f>(AY57*$AT$12)+(BE57*$AT$11)</f>
        <v>11000</v>
      </c>
      <c r="AY57" s="440">
        <f>RANK(AZ57,AZ55:AZ58,1)</f>
        <v>1</v>
      </c>
      <c r="AZ57" s="440">
        <f>SUM(IF(AND(AG57=AG58,AN57=AN58,AL57=AL58),BD57,0),IF(AND(AG57=AG55,AN57=AN55,AL57=AL55),BA57,0),IF(AND(AG57=AG56,AN57=AN56,AL57=AL56),BB57,0))</f>
        <v>0</v>
      </c>
      <c r="BA57" s="441">
        <f>I55</f>
        <v>2</v>
      </c>
      <c r="BB57" s="442">
        <f>I58</f>
        <v>2</v>
      </c>
      <c r="BC57" s="442">
        <v>0</v>
      </c>
      <c r="BD57" s="443">
        <f>H54</f>
        <v>2</v>
      </c>
      <c r="BE57" s="440">
        <f>RANK(BF57,BF55:BF58,1)</f>
        <v>1</v>
      </c>
      <c r="BF57" s="440">
        <f>SUM(IF(AND(AG57=AG58,AN57=AN58,AL57=AL58),BJ57,0),IF(AND(AG57=AG55,AN57=AN55,AL57=AL55),BG57,0),IF(AND(AG57=AG56,AN57=AN56,AL57=AL56),BH57,0))</f>
        <v>0</v>
      </c>
      <c r="BG57" s="441">
        <f>BA57-BC55</f>
        <v>0</v>
      </c>
      <c r="BH57" s="442">
        <f>BB57-BC56</f>
        <v>1</v>
      </c>
      <c r="BI57" s="442">
        <v>0</v>
      </c>
      <c r="BJ57" s="443">
        <f>BD57-BC58</f>
        <v>1</v>
      </c>
      <c r="BK57" s="410"/>
      <c r="BL57" s="412">
        <f t="shared" si="145"/>
        <v>1</v>
      </c>
      <c r="BM57" s="412" t="s">
        <v>160</v>
      </c>
      <c r="BN57" s="412">
        <f>IF(AH57=0,-($AT$13*VLOOKUP(AF57,Tabla3[[ZfP4b()8G6b·$55Ma-t·%fv-ttyZxR-.R*+Fd]:[N!"kvfjM.%&amp;gk5kfmfvv)/%;V$&amp;VW]],2,FALSE)),AG57*$AT$7+AN57*$AT$8+AL57*$AT$9+AX57-($AT$13*VLOOKUP(AF57,Tabla3[[ZfP4b()8G6b·$55Ma-t·%fv-ttyZxR-.R*+Fd]:[N!"kvfjM.%&amp;gk5kfmfvv)/%;V$&amp;VW]],2,FALSE)/100))</f>
        <v>7020610999.9700003</v>
      </c>
      <c r="BO57" s="412" t="str">
        <f t="shared" si="146"/>
        <v>Japón</v>
      </c>
      <c r="BP57" s="412">
        <f t="shared" si="147"/>
        <v>4010510999.96</v>
      </c>
      <c r="BQ57" s="410"/>
      <c r="BR57" s="412">
        <v>3</v>
      </c>
      <c r="BS57" s="412" t="str">
        <f t="shared" si="148"/>
        <v>Japón</v>
      </c>
      <c r="BT57" s="412">
        <f t="shared" si="149"/>
        <v>4</v>
      </c>
      <c r="BU57" s="444">
        <f t="shared" si="150"/>
        <v>1010000000.0299997</v>
      </c>
      <c r="BV57" s="412">
        <f t="shared" si="151"/>
        <v>1</v>
      </c>
      <c r="BW57" s="412">
        <f t="shared" si="152"/>
        <v>5</v>
      </c>
      <c r="BX57" s="410">
        <f>IF($BY$55=$CA$54,$DC$5:$DC$8,IF($BY$55=$CB$54,$DD$5:$DD$7,IF(OR($BY$55=$CC$54,$BY$55=$CG$54),$DG$5:$DG$6,IF($BY$55=$CE$54,$DF$5:$DF$7,(IF($BY$55=$CF$54,$DH$5:$DH$6,$DK$5))))))</f>
        <v>3</v>
      </c>
      <c r="BY57" s="14"/>
      <c r="BZ57" s="14">
        <v>3</v>
      </c>
      <c r="CA57" s="418">
        <f t="array" ref="CA57">IF(AND($BT$55:$BT$58=$BT$57,$BU$55:$BU$58&lt;580,$AN$55:$AN$58=$AN$57,$BW$55:$BW$58=$BW$57),1,0)</f>
        <v>0</v>
      </c>
      <c r="CB57" s="418">
        <f t="array" ref="CB57">IF(AND($BT$55:$BT$57=$BT$57,$BU$55:$BU$57&lt;580,$BT$57&lt;&gt;$BT$58),1,0)</f>
        <v>0</v>
      </c>
      <c r="CC57" s="418">
        <f t="array" ref="CC57">IF(AND($BT$57:$BT$58=$BT$57,$BU$57:$BU$58&lt;580,$BT$57&lt;&gt;$BT$56),1,0)</f>
        <v>0</v>
      </c>
      <c r="CD57" s="418">
        <f t="array" ref="CD57">IF(OR(AND($BT$57&lt;&gt;$BT$56,$BT$57&lt;&gt;$BT$58),AND($BT$57&lt;&gt;$BT$56,$BT$57=$BT$58,$BU$57&gt;580,$BU$58&gt;580)),1,0)</f>
        <v>1</v>
      </c>
      <c r="CE57" s="418">
        <f t="array" ref="CE57">IF(AND($BT$56:$BT$58=$BT$56,$BU$56:$BU$58&lt;580,$BT$55&lt;&gt;$BT$57),1,0)</f>
        <v>0</v>
      </c>
      <c r="CF57" s="418">
        <f t="array" ref="CF57">IF(AND($BT$56:$BT$57=$BT$57,$BU$56:$BU$57&lt;580,$BT$57&lt;&gt;$BT$55,$BT$57&lt;&gt;$BT$58),1,0)</f>
        <v>0</v>
      </c>
      <c r="CG57" s="418">
        <f t="array" ref="CG57">IF(AND($BT$57:$BT$58=$BT$57,$BU$57:$BU$58&lt;580,$BT$57&lt;&gt;$BT$56),1,0)</f>
        <v>0</v>
      </c>
      <c r="CH57" s="418">
        <f t="array" ref="CH57">IF(AND($BT$57&lt;&gt;$BT$56,$BT$57&lt;&gt;$BT$58),1,0)</f>
        <v>1</v>
      </c>
      <c r="CI57" s="418">
        <f t="array" ref="CI57">IF(AND($BT$55:$BT$58=$BT$55,$BU$55:$BU$58&lt;580,$BV$57:$BV$58=$BV$57,$BV$56&lt;&gt;$BV$57),1,0)</f>
        <v>0</v>
      </c>
      <c r="CJ57" s="418">
        <f t="array" ref="CJ57">IF(AND($BT$55:$BT$58=$BT$55,$BU$55:$BU$58&lt;580,$BV$55:$BV$58=$BV$55,$BW$57=$BW$58,$BW$56&lt;&gt;$BW$57),1,0)</f>
        <v>0</v>
      </c>
      <c r="CK57" s="418">
        <f t="array" ref="CK57">IF(AND($BT$55:$BT$57=$BT$57,$BU$55:$BU$56&lt;580,$BU$57&gt;580),1,0)</f>
        <v>0</v>
      </c>
      <c r="CL57" s="418">
        <f t="array" ref="CL57">IF(AND($BT$56&lt;&gt;$BT$55,$BT$56:$BT$58=$BT$57,$BU$56&gt;580,$BU$57:$BU$58&lt;580),1,0)</f>
        <v>0</v>
      </c>
      <c r="CM57" s="418">
        <f t="array" ref="CM57">IF(AND($BT$56&lt;&gt;$BT$55,$BT$56:$BT$58=$BT$56,$BU$58&gt;580,$BU$56:$BU$57&lt;580),1,0)</f>
        <v>0</v>
      </c>
      <c r="CN57" s="418">
        <f t="array" ref="CN57">IF(AND($BT$57&lt;&gt;$BT$58,$BT$55:$BT$57=$BT$57,$BU$55&gt;580,$BU$56:$BU$57&lt;580),1,0)</f>
        <v>0</v>
      </c>
      <c r="CO57" s="418">
        <f t="array" ref="CO57">IF(AND($BT$55:$BT$58=$BT$56,$BU$56:$BU$58&lt;580,$BU$55&lt;&gt;$BU$57),1,0)</f>
        <v>0</v>
      </c>
      <c r="CP57" s="418">
        <f t="array" ref="CP57">IF(AND($BT$55:$BT$58=$BT$57,$BU$55:$BU$57&lt;580,$BU$57&lt;&gt;$BU$58),1,0)</f>
        <v>0</v>
      </c>
      <c r="CQ57" s="418">
        <f t="array" ref="CQ57">IF(AND($BT$55:$BT$58=$BT$57,$BU$55:$BU$56&gt;580,$BU$57:$BU$58&lt;580,$BV$55:$BV$58=$BV$57,$BW$55&gt;$BW$56,$BW$56&gt;$BW$57,$BW$57=$BW$58),1,0)</f>
        <v>0</v>
      </c>
      <c r="CR57" s="418">
        <f t="array" ref="CR57">IF(AND($BT$55:$BT$58=$BT$57,$BU$55&gt;580,$BU$56:$BU$57&lt;580,$BU$58&gt;580,$BV$55:$BV$58=$BV$57,$BW$55&gt;$BW$56,$BW$56=$BW$57,$BW$57&gt;$BW$58),1,0)</f>
        <v>0</v>
      </c>
      <c r="CS57" s="418">
        <f t="array" ref="CS57">IF(AND($BT$55:$BT$58=$BT$57,$BU$55:$BU$56&lt;580,$BU$57:$BU$58&gt;580,$BV$55:$BV$58=$BV$57,$BW$55=$BW$56,$BW$56&gt;$BW$57,$BW$57&gt;$BW$58),1,0)</f>
        <v>0</v>
      </c>
      <c r="CT57" s="418">
        <f t="array" ref="CT57">IF(AND($BT$55:$BT$58=$BT$57,$BU$55:$BU$56&gt;580,$BU$57:$BU$58&lt;580,$BV$55:$BV$58=$BV$56,$BW$55&gt;$BW$57,$BW$56:$BW$58=$BW$57),1,0)</f>
        <v>0</v>
      </c>
      <c r="CU57" s="418">
        <f t="array" ref="CU57">IF(AND($BT$55:$BT$58=$BT$57,$BU$55:$BU$56&lt;580,$BU$57:$BU$58&gt;580,$BV$55:$BV$58=$BV$57,$BW$55:$BW$57=$BW$57,$BW$57&gt;$BW$58),1,0)</f>
        <v>0</v>
      </c>
      <c r="CV57" s="418">
        <f t="array" ref="CV57">IF(AND($BT$55:$BT$58=$BT$57,$BU$55&gt;580,$BU$58&gt;580,$BU$56:$BU$57&lt;580,$BV$55:$BV$58=$BV$57,$BW$55&gt;$BW$56:$BW$58,$BW$56:$BW$58=$BW$57),1,0)</f>
        <v>0</v>
      </c>
      <c r="CW57" s="418"/>
      <c r="CX57" s="418"/>
      <c r="CY57" s="14"/>
      <c r="CZ57" s="14"/>
      <c r="DA57" s="14"/>
      <c r="DB57" s="14"/>
      <c r="DC57" s="14"/>
      <c r="DD57" s="14"/>
      <c r="DE57" s="14"/>
      <c r="DF57" s="14"/>
      <c r="DG57" s="14"/>
      <c r="DH57" s="14"/>
      <c r="DI57" s="14"/>
      <c r="DJ57" s="14"/>
      <c r="DK57" s="14"/>
      <c r="DL57" s="14"/>
      <c r="DM57" s="14"/>
      <c r="DN57" s="475"/>
    </row>
    <row r="58" spans="1:118" ht="15.75" thickBot="1" x14ac:dyDescent="0.3">
      <c r="A58" s="74"/>
      <c r="B58" s="534"/>
      <c r="C58" s="329">
        <v>43279</v>
      </c>
      <c r="D58" s="330">
        <v>0.66666666666666663</v>
      </c>
      <c r="E58" s="331" t="s">
        <v>102</v>
      </c>
      <c r="F58" s="363" t="s">
        <v>164</v>
      </c>
      <c r="G58" s="241"/>
      <c r="H58" s="485">
        <v>1</v>
      </c>
      <c r="I58" s="485">
        <v>2</v>
      </c>
      <c r="J58" s="241"/>
      <c r="K58" s="388" t="s">
        <v>160</v>
      </c>
      <c r="L58" s="149">
        <f t="shared" si="132"/>
        <v>1</v>
      </c>
      <c r="M58" s="79"/>
      <c r="N58" s="41">
        <v>4</v>
      </c>
      <c r="O58" s="42" t="str">
        <f>VLOOKUP(N58,$AD$55:$AF$58,3,0)</f>
        <v>Senegal</v>
      </c>
      <c r="P58" s="43">
        <f>VLOOKUP(O58,AF55:AO58,2,FALSE)</f>
        <v>0</v>
      </c>
      <c r="Q58" s="44">
        <f>VLOOKUP(O58,AF55:AO58,3,FALSE)</f>
        <v>3</v>
      </c>
      <c r="R58" s="44">
        <f>VLOOKUP(O58,AF55:AO58,4,FALSE)</f>
        <v>0</v>
      </c>
      <c r="S58" s="44">
        <f>VLOOKUP(O58,AF55:AO58,5,FALSE)</f>
        <v>0</v>
      </c>
      <c r="T58" s="44">
        <f>VLOOKUP(O58,AF55:AO58,6,FALSE)</f>
        <v>3</v>
      </c>
      <c r="U58" s="44">
        <f>VLOOKUP(O58,AF55:AO58,7,FALSE)</f>
        <v>2</v>
      </c>
      <c r="V58" s="44">
        <f>VLOOKUP(O58,AF55:AO58,8,FALSE)</f>
        <v>7</v>
      </c>
      <c r="W58" s="46">
        <f>VLOOKUP(O58,AF55:AO58,9,FALSE)</f>
        <v>-5</v>
      </c>
      <c r="X58" s="28">
        <f t="shared" si="137"/>
        <v>49789000.020000003</v>
      </c>
      <c r="Y58" s="402" t="str">
        <f t="shared" si="138"/>
        <v/>
      </c>
      <c r="Z58" s="406"/>
      <c r="AA58" s="29"/>
      <c r="AB58" s="29"/>
      <c r="AC58" s="413">
        <f>VLOOKUP(O58,$AF$55:$AO$58,10,FALSE)</f>
        <v>-49789000.020000003</v>
      </c>
      <c r="AD58" s="14">
        <f t="shared" si="139"/>
        <v>3</v>
      </c>
      <c r="AE58" s="445">
        <f>RANK(AO58,AO55:AO58)</f>
        <v>3</v>
      </c>
      <c r="AF58" s="446" t="s">
        <v>174</v>
      </c>
      <c r="AG58" s="447">
        <f t="shared" si="140"/>
        <v>4</v>
      </c>
      <c r="AH58" s="447">
        <f t="shared" si="141"/>
        <v>3</v>
      </c>
      <c r="AI58" s="447">
        <f t="array" ref="AI58">SUM((F$53:F$58=AF58)*(H$53:H$58&lt;&gt;"")*(I$53:I$58&lt;&gt;"")*(H$53:H$58&gt;I$53:I$58),(K$53:K$58=AF58)*(H$53:H$58&lt;&gt;"")*(I$53:I$58&lt;&gt;"")*(H$53:H$58&lt;I$53:I$58))</f>
        <v>1</v>
      </c>
      <c r="AJ58" s="447">
        <f t="array" ref="AJ58">SUM((F$53:F$58=AF58)*(H$53:H$58&lt;&gt;"")*(I$53:I$58&lt;&gt;"")*(H$53:H$58=I$53:I$58),(K$53:K$58=AF58)*(H$53:H$58&lt;&gt;"")*(I$53:I$58&lt;&gt;"")*(H$53:H$58=I$53:I$58))</f>
        <v>1</v>
      </c>
      <c r="AK58" s="447">
        <f t="array" ref="AK58">SUM((F$53:F$58=AF58)*(I$53:I$58&lt;&gt;"")*(H$53:H$58&lt;&gt;"")*(H$53:H$58&lt;I$53:I$58),(H$53:H$58&lt;&gt;"")*(K$53:K$58=AF58)*(I$53:I$58&lt;&gt;"")*(H$53:H$58&gt;I$53:I$58))</f>
        <v>1</v>
      </c>
      <c r="AL58" s="447">
        <f t="array" ref="AL58">SUMIFS($H$53:$H$58,$F$53:$F$58,AF58,$H$53:$H$58,"&lt;&gt;",$I$53:$I$58,"&lt;&gt;")+SUMIFS($I$53:$I$58,$K$53:$K$58,AF58,$H$53:$H$58,"&lt;&gt;",$I$53:$I$58,"&lt;&gt;")</f>
        <v>5</v>
      </c>
      <c r="AM58" s="447">
        <f t="array" ref="AM58">SUMIFS($H$53:$H$58,$K$53:$K$58,AF58,$H$53:$H$58,"&lt;&gt;",$I$53:$I$58,"&lt;&gt;")+SUMIFS($I$53:$I$58,$F$53:$F$58,AF58,$H$53:$H$58,"&lt;&gt;",$I$53:$I$58,"&lt;&gt;")</f>
        <v>4</v>
      </c>
      <c r="AN58" s="447">
        <f t="shared" si="142"/>
        <v>1</v>
      </c>
      <c r="AO58" s="447">
        <f>IF(AH58=0,-($AT$13*VLOOKUP(AF58,Tabla3[[ZfP4b()8G6b·$55Ma-t·%fv-ttyZxR-.R*+Fd]:[N!"kvfjM.%&amp;gk5kfmfvv)/%;V$&amp;VW]],2,FALSE)),AG58*$AT$7+AN58*$AT$8+AL58*$AT$9+AX58-($AT$13*VLOOKUP(AF58,Tabla3[[ZfP4b()8G6b·$55Ma-t·%fv-ttyZxR-.R*+Fd]:[N!"kvfjM.%&amp;gk5kfmfvv)/%;V$&amp;VW]],2,FALSE)/100))</f>
        <v>4010510999.96</v>
      </c>
      <c r="AP58" s="449">
        <f>AE58</f>
        <v>3</v>
      </c>
      <c r="AQ58" s="14"/>
      <c r="AR58" s="14">
        <f t="shared" si="143"/>
        <v>4010510999.96</v>
      </c>
      <c r="AS58" s="14"/>
      <c r="AT58" s="14"/>
      <c r="AU58" s="14"/>
      <c r="AV58" s="450" t="str">
        <f t="shared" si="144"/>
        <v>Japón</v>
      </c>
      <c r="AW58" s="451">
        <f>COUNTIF(AG55:AG58,AG58)</f>
        <v>1</v>
      </c>
      <c r="AX58" s="452">
        <f>(AY58*$AT$12)+(BE58*$AT$11)</f>
        <v>11000</v>
      </c>
      <c r="AY58" s="453">
        <f>RANK(AZ58,AZ55:AZ58,1)</f>
        <v>1</v>
      </c>
      <c r="AZ58" s="453">
        <f>SUM(IF(AND(AG58=AG55,AN58=AN55,AL58=AL55),BA58,0),IF(AND(AG58=AG56,AN58=AN56,AL58=AL56),BB58,0),IF(AND(AG58=AG57,AN58=AN57,AL58=AL57),BC58,0))</f>
        <v>0</v>
      </c>
      <c r="BA58" s="454">
        <f>H57</f>
        <v>1</v>
      </c>
      <c r="BB58" s="455">
        <f>H56</f>
        <v>3</v>
      </c>
      <c r="BC58" s="455">
        <f>I54</f>
        <v>1</v>
      </c>
      <c r="BD58" s="456">
        <v>0</v>
      </c>
      <c r="BE58" s="453">
        <f>RANK(BF58,BF55:BF58,1)</f>
        <v>1</v>
      </c>
      <c r="BF58" s="453">
        <f>SUM(IF(AND(AG58=AG55,AN58=AN55,AL58=AL55),BG58,0),IF(AND(AG58=AG56,AN58=AN56,AL58=AL56),BH58,0),IF(AND(AG58=AG57,AN58=AN57,AL58=AL57),BI58,0))</f>
        <v>0</v>
      </c>
      <c r="BG58" s="454">
        <f>BA58-BD55</f>
        <v>0</v>
      </c>
      <c r="BH58" s="455">
        <f>BB58-BD56</f>
        <v>2</v>
      </c>
      <c r="BI58" s="455">
        <f>BC58-BD57</f>
        <v>-1</v>
      </c>
      <c r="BJ58" s="456">
        <v>0</v>
      </c>
      <c r="BK58" s="410"/>
      <c r="BL58" s="412">
        <f t="shared" si="145"/>
        <v>3</v>
      </c>
      <c r="BM58" s="412" t="s">
        <v>174</v>
      </c>
      <c r="BN58" s="412">
        <f>IF(AH58=0,-($AT$13*VLOOKUP(AF58,Tabla3[[ZfP4b()8G6b·$55Ma-t·%fv-ttyZxR-.R*+Fd]:[N!"kvfjM.%&amp;gk5kfmfvv)/%;V$&amp;VW]],2,FALSE)),AG58*$AT$7+AN58*$AT$8+AL58*$AT$9+AX58-($AT$13*VLOOKUP(AF58,Tabla3[[ZfP4b()8G6b·$55Ma-t·%fv-ttyZxR-.R*+Fd]:[N!"kvfjM.%&amp;gk5kfmfvv)/%;V$&amp;VW]],2,FALSE)/100))</f>
        <v>4010510999.96</v>
      </c>
      <c r="BO58" s="412" t="str">
        <f t="shared" si="146"/>
        <v>Senegal</v>
      </c>
      <c r="BP58" s="412">
        <f t="shared" si="147"/>
        <v>-49789000.020000003</v>
      </c>
      <c r="BQ58" s="410"/>
      <c r="BR58" s="412">
        <v>4</v>
      </c>
      <c r="BS58" s="412" t="str">
        <f t="shared" si="148"/>
        <v>Senegal</v>
      </c>
      <c r="BT58" s="412">
        <f t="shared" si="149"/>
        <v>0</v>
      </c>
      <c r="BU58" s="444">
        <f t="shared" si="150"/>
        <v>49789000.020000003</v>
      </c>
      <c r="BV58" s="412">
        <f t="shared" si="151"/>
        <v>-5</v>
      </c>
      <c r="BW58" s="412">
        <f t="shared" si="152"/>
        <v>2</v>
      </c>
      <c r="BX58" s="410">
        <f>IF($BY$55=$CA$54,$DC$5:$DC$8,IF(OR($BY$55=$CC$54,$BY$55=$CG$54),$DG$5:$DG$6,IF($BY$55=$CE$54,$DF$5:$DF$7,$DL$5)))</f>
        <v>4</v>
      </c>
      <c r="BY58" s="14"/>
      <c r="BZ58" s="14">
        <v>4</v>
      </c>
      <c r="CA58" s="418">
        <f t="array" ref="CA58">IF(AND($BT$55:$BT$58=$BT$58,$BU$55:$BU$58&lt;580,$AN$55:$AN$58=$AN$58,$BW$55:$BW$58=$BW$58),1,0)</f>
        <v>0</v>
      </c>
      <c r="CB58" s="418">
        <f t="array" ref="CB58">IF(AND($BT$55:$BT$57=$BT$55,$BU$55:$BU$57&lt;580,$BU$58&gt;580,$BT$55&lt;&gt;$BT$58),1,0)</f>
        <v>0</v>
      </c>
      <c r="CC58" s="418">
        <f t="array" ref="CC58">IF(AND($BT$57:$BT$58=$BT$57,$BU$57:$BU$58&lt;580,$BT$57&lt;&gt;$BT$56),1,0)</f>
        <v>0</v>
      </c>
      <c r="CD58" s="418">
        <f t="array" ref="CD58">IF(AND($BT$58&lt;&gt;$BT$56,$BT$58&lt;&gt;$BT$55),1,0)</f>
        <v>1</v>
      </c>
      <c r="CE58" s="418">
        <f t="array" ref="CE58">IF(AND($BT$56:$BT$58=$BT$56,$BU$56:$BU$58&lt;580,$BT$55&lt;&gt;$BT$58),1,0)</f>
        <v>0</v>
      </c>
      <c r="CF58" s="418">
        <f t="array" ref="CF58">IF(AND($BT$58&lt;&gt;$BT$56,$BT$58&lt;&gt;$BT$55),1,0)</f>
        <v>1</v>
      </c>
      <c r="CG58" s="418">
        <f t="array" ref="CG58">IF(AND($BT$57:$BT$58=$BT$57,$BU$57:$BU$58&lt;580,$BT$57&lt;&gt;$BT$56),1,0)</f>
        <v>0</v>
      </c>
      <c r="CH58" s="418">
        <f t="array" ref="CH58">IF(AND($BT$58&lt;&gt;$BT$56,$BT$58&lt;&gt;$BT$55),1,0)</f>
        <v>1</v>
      </c>
      <c r="CI58" s="418">
        <f t="array" ref="CI58">IF(AND($BT$55:$BT$58=$BT$55,$BU$55:$BU$58&lt;580,$BV$57:$BV$58=$BV$58,$BV$56&lt;&gt;$BV$58),1,0)</f>
        <v>0</v>
      </c>
      <c r="CJ58" s="418">
        <f t="array" ref="CJ58">IF(AND($BT$55:$BT$58=$BT$55,$BU$55:$BU$58&lt;580,$BV$55:$BV$58=$BV$55,$BW$57=$BW$58,$BW$56&lt;&gt;$BW$57),1,0)</f>
        <v>0</v>
      </c>
      <c r="CK58" s="418">
        <f t="array" ref="CK58">IF(AND($BT$55:$BT$57=$BT$55,$BU$55:$BU$56&lt;580,$BT$57&lt;&gt;$BT$58),1,0)</f>
        <v>0</v>
      </c>
      <c r="CL58" s="418">
        <f t="array" ref="CL58">IF(AND($BT$56&lt;&gt;$BT$55,$BT$56:$BT$58=$BT$57,$BU$56&gt;580,$BU$57:$BU$58&lt;580),1,0)</f>
        <v>0</v>
      </c>
      <c r="CM58" s="418">
        <f t="array" ref="CM58">IF(AND($BT$56&lt;&gt;$BT$55,$BT$56:$BT$58=$BT$56,$BU$58&gt;580,$BU$56:$BU$57&lt;580),1,0)</f>
        <v>0</v>
      </c>
      <c r="CN58" s="418">
        <f t="array" ref="CN58">IF(AND($BT$58&lt;&gt;$BT$56,$BT$58&lt;&gt;$BT$57),1,0)</f>
        <v>1</v>
      </c>
      <c r="CO58" s="418">
        <f t="array" ref="CO58">IF(AND($BT$55:$BT$58=$BT$56,$BU$56:$BU$58&lt;580,$BU$55&lt;&gt;$BU$58),1,0)</f>
        <v>0</v>
      </c>
      <c r="CP58" s="418">
        <f t="array" ref="CP58">IF(AND($BT$55:$BT$58=$BT$55,$BU$55:$BU$57&lt;580,$BU$57&lt;&gt;$BU$58),1,0)</f>
        <v>0</v>
      </c>
      <c r="CQ58" s="418">
        <f t="array" ref="CQ58">IF(AND($BT$55:$BT$58=$BT$58,$BU$55:$BU$56&gt;580,$BU$57:$BU$58&lt;580,$BV$55:$BV$58=$BV$58,$BW$55&gt;$BW$56,$BW$56&gt;$BW$58,$BW$57=$BW$58),1,0)</f>
        <v>0</v>
      </c>
      <c r="CR58" s="418">
        <f t="array" ref="CR58">IF(AND($BT$55:$BT$58=$BT$56,$BU$55&gt;580,$BU$56:$BU$57&lt;580,$BU$58&gt;580,$BV$55:$BV$58=$BV$58,$BW$55&gt;$BW$58,$BW$56=$BW$57,$BW$56&gt;$BW$58),1,0)</f>
        <v>0</v>
      </c>
      <c r="CS58" s="418">
        <f t="array" ref="CS58">IF(AND($BT$55:$BT$58=$BT$58,$BU$55:$BU$56&lt;580,$BU$57:$BU$58&gt;580,$BV$55:$BV$58=$BV$58,$BW$55=$BW$56,$BW$56&gt;$BW$57,$BW$57&gt;$BW$58),1,0)</f>
        <v>0</v>
      </c>
      <c r="CT58" s="418">
        <f t="array" ref="CT58">IF(AND($BT$55:$BT$58=$BT$58,$BU$55:$BU$56&gt;580,$BU$57:$BU$58&lt;580,$BV$55:$BV$58=$BV$58,$BW$55&gt;$BW$58,$BW$56:$BW$58=$BW$58),1,0)</f>
        <v>0</v>
      </c>
      <c r="CU58" s="418">
        <f t="array" ref="CU58">IF(AND($BT$55:$BT$58=$BT$58,$BU$55:$BU$56&lt;580,$BU$57:$BU$58&gt;580,$BV$55:$BV$58=$BV$58,$BW$55:$BW$57=$BW$57,$BW$55:$BW$57&gt;$BW$58),1,0)</f>
        <v>0</v>
      </c>
      <c r="CV58" s="418">
        <f t="array" ref="CV58">IF(AND($BT$55:$BT$58=$BT$58,$BU$55&gt;580,$BU$58&gt;580,$BU$56:$BU$57&lt;580,$BV$55:$BV$58=$BV$58,$BW$55&gt;$BW$56:$BW$58,$BW$56:$BW$58=$BW$58),1,0)</f>
        <v>0</v>
      </c>
      <c r="CW58" s="418"/>
      <c r="CX58" s="418"/>
      <c r="CY58" s="14"/>
      <c r="CZ58" s="14"/>
      <c r="DA58" s="14"/>
      <c r="DB58" s="14"/>
      <c r="DC58" s="14"/>
      <c r="DD58" s="14"/>
      <c r="DE58" s="14"/>
      <c r="DF58" s="14"/>
      <c r="DG58" s="14"/>
      <c r="DH58" s="14"/>
      <c r="DI58" s="14"/>
      <c r="DJ58" s="14"/>
      <c r="DK58" s="14"/>
      <c r="DL58" s="14"/>
      <c r="DM58" s="14"/>
      <c r="DN58" s="475"/>
    </row>
    <row r="59" spans="1:118" ht="7.5" customHeight="1" x14ac:dyDescent="0.25">
      <c r="A59" s="74"/>
      <c r="B59" s="75"/>
      <c r="C59" s="76"/>
      <c r="D59" s="77"/>
      <c r="E59" s="76"/>
      <c r="F59" s="78"/>
      <c r="G59" s="79"/>
      <c r="H59" s="80"/>
      <c r="I59" s="80"/>
      <c r="J59" s="81"/>
      <c r="K59" s="82"/>
      <c r="L59" s="79"/>
      <c r="M59" s="79"/>
      <c r="N59" s="26"/>
      <c r="O59" s="25"/>
      <c r="P59" s="54"/>
      <c r="Q59" s="26"/>
      <c r="R59" s="26"/>
      <c r="S59" s="26"/>
      <c r="T59" s="26"/>
      <c r="U59" s="26"/>
      <c r="V59" s="26"/>
      <c r="W59" s="26"/>
      <c r="X59" s="16"/>
      <c r="Y59" s="16"/>
      <c r="Z59" s="16"/>
      <c r="AA59" s="16"/>
      <c r="AB59" s="16"/>
      <c r="AC59" s="413"/>
      <c r="AD59" s="14"/>
      <c r="AE59" s="457"/>
      <c r="AF59" s="410"/>
      <c r="AG59" s="457"/>
      <c r="AH59" s="457"/>
      <c r="AI59" s="457"/>
      <c r="AJ59" s="457"/>
      <c r="AK59" s="457"/>
      <c r="AL59" s="457"/>
      <c r="AM59" s="457"/>
      <c r="AN59" s="457"/>
      <c r="AO59" s="457"/>
      <c r="AP59" s="457"/>
      <c r="AQ59" s="14"/>
      <c r="AR59" s="14"/>
      <c r="AS59" s="14"/>
      <c r="AT59" s="14"/>
      <c r="AU59" s="14"/>
      <c r="AV59" s="470"/>
      <c r="AW59" s="457"/>
      <c r="AX59" s="457"/>
      <c r="AY59" s="461"/>
      <c r="AZ59" s="461"/>
      <c r="BA59" s="461"/>
      <c r="BB59" s="461"/>
      <c r="BC59" s="461"/>
      <c r="BD59" s="461"/>
      <c r="BE59" s="461"/>
      <c r="BF59" s="461"/>
      <c r="BG59" s="461"/>
      <c r="BH59" s="461"/>
      <c r="BI59" s="461"/>
      <c r="BJ59" s="461"/>
      <c r="BK59" s="410"/>
      <c r="BL59" s="410"/>
      <c r="BM59" s="410"/>
      <c r="BN59" s="410"/>
      <c r="BO59" s="410"/>
      <c r="BP59" s="410"/>
      <c r="BQ59" s="410"/>
      <c r="BR59" s="410"/>
      <c r="BS59" s="410"/>
      <c r="BT59" s="410"/>
      <c r="BU59" s="410"/>
      <c r="BV59" s="410"/>
      <c r="BW59" s="410"/>
      <c r="BX59" s="410"/>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475"/>
    </row>
    <row r="60" spans="1:118" ht="17.25" customHeight="1" x14ac:dyDescent="0.25">
      <c r="A60" s="74"/>
      <c r="B60" s="83">
        <f>COUNTIF(X6:X9,"&lt;100")+COUNTIF(X13:X16,"&lt;100")+COUNTIF(X20:X23,"&lt;100")+COUNTIF(X27:X30,"&lt;100")+COUNTIF(X34:X37,"&lt;100")+COUNTIF(X41:X44,"&lt;100")+COUNTIF(X48:X51,"&lt;100")+COUNTIF(X55:X58,"&lt;100")</f>
        <v>0</v>
      </c>
      <c r="C60" s="511" t="str">
        <f>CONCATENATE("¡EN LA FASE DE GRUPOS HAY EMPATES EN LOS GRUPOS ",IF(COUNTIF(X6:X9,"&lt;100")=0,"","A, "),IF(COUNTIF(X13:X16,"&lt;100")=0,"","B, "),IF(COUNTIF(X20:X23,"&lt;100")=0,"","C, "),IF(COUNTIF(X27:X30,"&lt;100")=0,"","D, "),IF(COUNTIF(X34:X37,"&lt;100")=0,"","E, "),IF(COUNTIF(X41:X44,"&lt;100")=0,"","F, "),IF(COUNTIF(X48:X51,"&lt;100")=0,"","G, "),IF(COUNTIF(X55:X58,"&lt;100")=0,"","H."),"  !")</f>
        <v>¡EN LA FASE DE GRUPOS HAY EMPATES EN LOS GRUPOS   !</v>
      </c>
      <c r="D60" s="511"/>
      <c r="E60" s="511"/>
      <c r="F60" s="511"/>
      <c r="G60" s="511"/>
      <c r="H60" s="511"/>
      <c r="I60" s="511"/>
      <c r="J60" s="511"/>
      <c r="K60" s="511"/>
      <c r="L60" s="511"/>
      <c r="M60" s="511"/>
      <c r="N60" s="511"/>
      <c r="O60" s="511"/>
      <c r="P60" s="511"/>
      <c r="Q60" s="511"/>
      <c r="R60" s="511"/>
      <c r="S60" s="511"/>
      <c r="T60" s="511"/>
      <c r="U60" s="511"/>
      <c r="V60" s="511"/>
      <c r="W60" s="511"/>
      <c r="X60" s="17"/>
      <c r="Y60" s="17"/>
      <c r="Z60" s="17"/>
      <c r="AA60" s="17"/>
      <c r="AB60" s="17"/>
      <c r="AC60" s="471"/>
      <c r="AD60" s="14"/>
      <c r="AE60" s="457"/>
      <c r="AF60" s="410"/>
      <c r="AG60" s="457"/>
      <c r="AH60" s="457"/>
      <c r="AI60" s="457"/>
      <c r="AJ60" s="457"/>
      <c r="AK60" s="457"/>
      <c r="AL60" s="457"/>
      <c r="AM60" s="457"/>
      <c r="AN60" s="457"/>
      <c r="AO60" s="457"/>
      <c r="AP60" s="457"/>
      <c r="AQ60" s="14"/>
      <c r="AR60" s="14"/>
      <c r="AS60" s="14"/>
      <c r="AT60" s="14"/>
      <c r="AU60" s="14"/>
      <c r="AV60" s="470"/>
      <c r="AW60" s="457"/>
      <c r="AX60" s="457"/>
      <c r="AY60" s="461"/>
      <c r="AZ60" s="461"/>
      <c r="BA60" s="461"/>
      <c r="BB60" s="461"/>
      <c r="BC60" s="461"/>
      <c r="BD60" s="461"/>
      <c r="BE60" s="461"/>
      <c r="BF60" s="461"/>
      <c r="BG60" s="461"/>
      <c r="BH60" s="461"/>
      <c r="BI60" s="461"/>
      <c r="BJ60" s="461"/>
      <c r="BK60" s="410"/>
      <c r="BL60" s="410"/>
      <c r="BM60" s="410"/>
      <c r="BN60" s="410"/>
      <c r="BO60" s="410"/>
      <c r="BP60" s="410"/>
      <c r="BQ60" s="410"/>
      <c r="BR60" s="410"/>
      <c r="BS60" s="410"/>
      <c r="BT60" s="410"/>
      <c r="BU60" s="410"/>
      <c r="BV60" s="410"/>
      <c r="BW60" s="410"/>
      <c r="BX60" s="410"/>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475"/>
    </row>
    <row r="61" spans="1:118" ht="36.75" customHeight="1" x14ac:dyDescent="0.25">
      <c r="A61" s="74"/>
      <c r="B61" s="84"/>
      <c r="C61" s="548" t="str">
        <f>CONCATENATE("En los grupos ",IF(COUNTIF(X6:X9,"&lt;100")=0,"","A, "),IF(COUNTIF(X13:X16,"&lt;100")=0,"","B, "),IF(COUNTIF(X20:X23,"&lt;100")=0,"","C, "),IF(COUNTIF(X27:X30,"&lt;100")=0,"","D, "),IF(COUNTIF(X34:X37,"&lt;100")=0,"","E, "),IF(COUNTIF(X41:X44,"&lt;100")=0,"","F, "),IF(COUNTIF(X48:X51,"&lt;100")=0,"","G, "),IF(COUNTIF(X55:X58,"&lt;100")=0,"","H.")," hay equipos igualados en puntos, goles y golaveraje (marcados con un signo de exclamación amarillo). Si no estás de acuerdo con el orden…puedes seleccionar a la derecha del grupo el orden de las selecciones empatadas.")</f>
        <v>En los grupos  hay equipos igualados en puntos, goles y golaveraje (marcados con un signo de exclamación amarillo). Si no estás de acuerdo con el orden…puedes seleccionar a la derecha del grupo el orden de las selecciones empatadas.</v>
      </c>
      <c r="D61" s="548"/>
      <c r="E61" s="548"/>
      <c r="F61" s="548"/>
      <c r="G61" s="548"/>
      <c r="H61" s="548"/>
      <c r="I61" s="548"/>
      <c r="J61" s="548"/>
      <c r="K61" s="548"/>
      <c r="L61" s="548"/>
      <c r="M61" s="548"/>
      <c r="N61" s="548"/>
      <c r="O61" s="548"/>
      <c r="P61" s="548"/>
      <c r="Q61" s="548"/>
      <c r="R61" s="548"/>
      <c r="S61" s="548"/>
      <c r="T61" s="548"/>
      <c r="U61" s="548"/>
      <c r="V61" s="548"/>
      <c r="W61" s="548"/>
      <c r="X61" s="17"/>
      <c r="Y61" s="17"/>
      <c r="Z61" s="17"/>
      <c r="AA61" s="17"/>
      <c r="AB61" s="17"/>
      <c r="AC61" s="413"/>
      <c r="AD61" s="14"/>
      <c r="AE61" s="457"/>
      <c r="AF61" s="410"/>
      <c r="AG61" s="457"/>
      <c r="AH61" s="457"/>
      <c r="AI61" s="457"/>
      <c r="AJ61" s="457"/>
      <c r="AK61" s="457"/>
      <c r="AL61" s="457"/>
      <c r="AM61" s="457"/>
      <c r="AN61" s="457"/>
      <c r="AO61" s="457"/>
      <c r="AP61" s="457"/>
      <c r="AQ61" s="14"/>
      <c r="AR61" s="14"/>
      <c r="AS61" s="14"/>
      <c r="AT61" s="14"/>
      <c r="AU61" s="14"/>
      <c r="AV61" s="470"/>
      <c r="AW61" s="457"/>
      <c r="AX61" s="457"/>
      <c r="AY61" s="461"/>
      <c r="AZ61" s="461"/>
      <c r="BA61" s="461"/>
      <c r="BB61" s="461"/>
      <c r="BC61" s="461"/>
      <c r="BD61" s="461"/>
      <c r="BE61" s="461"/>
      <c r="BF61" s="461"/>
      <c r="BG61" s="461"/>
      <c r="BH61" s="461"/>
      <c r="BI61" s="461"/>
      <c r="BJ61" s="461"/>
      <c r="BK61" s="410"/>
      <c r="BL61" s="410"/>
      <c r="BM61" s="410"/>
      <c r="BN61" s="410"/>
      <c r="BO61" s="410"/>
      <c r="BP61" s="410"/>
      <c r="BQ61" s="410"/>
      <c r="BR61" s="410"/>
      <c r="BS61" s="410"/>
      <c r="BT61" s="410"/>
      <c r="BU61" s="410"/>
      <c r="BV61" s="410"/>
      <c r="BW61" s="410"/>
      <c r="BX61" s="410"/>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475"/>
    </row>
    <row r="62" spans="1:118" ht="24.95" customHeight="1" x14ac:dyDescent="0.25">
      <c r="A62" s="74"/>
      <c r="B62" s="85" t="s">
        <v>21</v>
      </c>
      <c r="C62" s="85"/>
      <c r="D62" s="85"/>
      <c r="E62" s="85"/>
      <c r="F62" s="85"/>
      <c r="G62" s="85"/>
      <c r="H62" s="85"/>
      <c r="I62" s="85"/>
      <c r="J62" s="85"/>
      <c r="K62" s="85"/>
      <c r="L62" s="86"/>
      <c r="M62" s="86"/>
      <c r="N62" s="86"/>
      <c r="O62" s="86"/>
      <c r="P62" s="86"/>
      <c r="Q62" s="86"/>
      <c r="R62" s="86"/>
      <c r="S62" s="86"/>
      <c r="T62" s="86"/>
      <c r="U62" s="86"/>
      <c r="V62" s="86"/>
      <c r="W62" s="86"/>
      <c r="X62" s="148"/>
      <c r="Y62" s="148"/>
      <c r="Z62" s="148"/>
      <c r="AA62" s="148"/>
      <c r="AB62" s="148"/>
      <c r="AC62" s="472"/>
      <c r="AD62" s="14"/>
      <c r="AE62" s="14"/>
      <c r="AF62" s="14"/>
      <c r="AG62" s="14"/>
      <c r="AH62" s="457"/>
      <c r="AI62" s="14"/>
      <c r="AJ62" s="457"/>
      <c r="AK62" s="14"/>
      <c r="AL62" s="14"/>
      <c r="AM62" s="14"/>
      <c r="AN62" s="14"/>
      <c r="AO62" s="457"/>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457"/>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475"/>
    </row>
    <row r="63" spans="1:118" ht="15" customHeight="1" x14ac:dyDescent="0.25">
      <c r="A63" s="74"/>
      <c r="B63" s="87"/>
      <c r="C63" s="88" t="s">
        <v>15</v>
      </c>
      <c r="D63" s="88" t="s">
        <v>178</v>
      </c>
      <c r="E63" s="87" t="s">
        <v>111</v>
      </c>
      <c r="F63" s="89" t="s">
        <v>2</v>
      </c>
      <c r="G63" s="88" t="s">
        <v>25</v>
      </c>
      <c r="H63" s="88" t="s">
        <v>43</v>
      </c>
      <c r="I63" s="88" t="s">
        <v>43</v>
      </c>
      <c r="J63" s="88" t="s">
        <v>25</v>
      </c>
      <c r="K63" s="87" t="s">
        <v>5</v>
      </c>
      <c r="L63" s="90"/>
      <c r="M63" s="90"/>
      <c r="N63" s="91"/>
      <c r="O63" s="91"/>
      <c r="P63" s="91"/>
      <c r="Q63" s="91"/>
      <c r="R63" s="91"/>
      <c r="S63" s="91"/>
      <c r="T63" s="91"/>
      <c r="U63" s="91"/>
      <c r="V63" s="91"/>
      <c r="W63" s="91"/>
      <c r="X63" s="148"/>
      <c r="Y63" s="148"/>
      <c r="Z63" s="148"/>
      <c r="AA63" s="148"/>
      <c r="AB63" s="148"/>
      <c r="AC63" s="409"/>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457"/>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475"/>
    </row>
    <row r="64" spans="1:118" ht="15" customHeight="1" x14ac:dyDescent="0.25">
      <c r="A64" s="74"/>
      <c r="B64" s="549" t="s">
        <v>142</v>
      </c>
      <c r="C64" s="92">
        <v>43281</v>
      </c>
      <c r="D64" s="93">
        <v>0.83333333333333337</v>
      </c>
      <c r="E64" s="94" t="s">
        <v>207</v>
      </c>
      <c r="F64" s="137" t="str">
        <f>IF(SUM(AH6:AH9)=12,VLOOKUP(1,$N$6:$O$9,2,FALSE),"1A")</f>
        <v>Uruguay</v>
      </c>
      <c r="G64" s="57">
        <v>4</v>
      </c>
      <c r="H64" s="486">
        <v>2</v>
      </c>
      <c r="I64" s="486">
        <v>2</v>
      </c>
      <c r="J64" s="57">
        <v>3</v>
      </c>
      <c r="K64" s="58" t="str">
        <f>IF(SUM(AH13:AH16)=12,VLOOKUP(2,$N$13:$O$16,2,FALSE),"2B")</f>
        <v>Portugal</v>
      </c>
      <c r="L64" s="27">
        <f>IF(F74="W49",0,1)</f>
        <v>1</v>
      </c>
      <c r="M64" s="32"/>
      <c r="N64" s="91"/>
      <c r="O64" s="91"/>
      <c r="P64" s="91"/>
      <c r="Q64" s="91"/>
      <c r="R64" s="91"/>
      <c r="S64" s="91"/>
      <c r="T64" s="91"/>
      <c r="U64" s="91"/>
      <c r="V64" s="91"/>
      <c r="W64" s="91"/>
      <c r="X64" s="148"/>
      <c r="Y64" s="148"/>
      <c r="Z64" s="148"/>
      <c r="AA64" s="148"/>
      <c r="AB64" s="148"/>
      <c r="AC64" s="409"/>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457"/>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475"/>
    </row>
    <row r="65" spans="1:118" x14ac:dyDescent="0.25">
      <c r="A65" s="74"/>
      <c r="B65" s="550"/>
      <c r="C65" s="95">
        <v>43281</v>
      </c>
      <c r="D65" s="96">
        <v>0.66666666666666663</v>
      </c>
      <c r="E65" s="97" t="s">
        <v>104</v>
      </c>
      <c r="F65" s="138" t="str">
        <f>IF(SUM(AH20:AH23)=12,VLOOKUP(1,$N$20:$O$23,2,FALSE),"1C")</f>
        <v>Francia</v>
      </c>
      <c r="G65" s="59"/>
      <c r="H65" s="486">
        <v>3</v>
      </c>
      <c r="I65" s="486">
        <v>1</v>
      </c>
      <c r="J65" s="59"/>
      <c r="K65" s="60" t="str">
        <f>IF(SUM(AH27:AH30)=12,VLOOKUP(2,$N$27:$O$30,2,FALSE),"2D")</f>
        <v>Croacia</v>
      </c>
      <c r="L65" s="27">
        <f>IF(K74="W50",0,1)</f>
        <v>1</v>
      </c>
      <c r="M65" s="32"/>
      <c r="N65" s="91"/>
      <c r="O65" s="91"/>
      <c r="P65" s="91"/>
      <c r="Q65" s="91"/>
      <c r="R65" s="91"/>
      <c r="S65" s="91"/>
      <c r="T65" s="91"/>
      <c r="U65" s="91"/>
      <c r="V65" s="91"/>
      <c r="W65" s="91"/>
      <c r="X65" s="148"/>
      <c r="Y65" s="148"/>
      <c r="Z65" s="148"/>
      <c r="AA65" s="148"/>
      <c r="AB65" s="148"/>
      <c r="AC65" s="409"/>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457"/>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475"/>
    </row>
    <row r="66" spans="1:118" x14ac:dyDescent="0.25">
      <c r="A66" s="74"/>
      <c r="B66" s="550"/>
      <c r="C66" s="95">
        <v>43282</v>
      </c>
      <c r="D66" s="96">
        <v>0.66666666666666663</v>
      </c>
      <c r="E66" s="97" t="s">
        <v>206</v>
      </c>
      <c r="F66" s="138" t="str">
        <f>IF(SUM(AH13:AH16)=12,VLOOKUP(1,$N$13:$O$16,2,FALSE),"1B")</f>
        <v>España</v>
      </c>
      <c r="G66" s="59"/>
      <c r="H66" s="486">
        <v>3</v>
      </c>
      <c r="I66" s="486">
        <v>2</v>
      </c>
      <c r="J66" s="59"/>
      <c r="K66" s="60" t="str">
        <f>IF(SUM(AH6:AH9)=12,VLOOKUP(2,$N$6:$O$9,2,FALSE),"2A")</f>
        <v>Rusia</v>
      </c>
      <c r="L66" s="27">
        <f>IF(F76="W51",0,1)</f>
        <v>1</v>
      </c>
      <c r="M66" s="32"/>
      <c r="N66" s="91"/>
      <c r="O66" s="91"/>
      <c r="P66" s="91"/>
      <c r="Q66" s="91"/>
      <c r="R66" s="91"/>
      <c r="S66" s="91"/>
      <c r="T66" s="91"/>
      <c r="U66" s="91"/>
      <c r="V66" s="91"/>
      <c r="W66" s="91"/>
      <c r="X66" s="148"/>
      <c r="Y66" s="148"/>
      <c r="Z66" s="148"/>
      <c r="AA66" s="148"/>
      <c r="AB66" s="148"/>
      <c r="AC66" s="409"/>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457"/>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475"/>
    </row>
    <row r="67" spans="1:118" x14ac:dyDescent="0.25">
      <c r="A67" s="74"/>
      <c r="B67" s="550"/>
      <c r="C67" s="95">
        <v>43282</v>
      </c>
      <c r="D67" s="96">
        <v>0.83333333333333337</v>
      </c>
      <c r="E67" s="97" t="s">
        <v>210</v>
      </c>
      <c r="F67" s="138" t="str">
        <f>IF(SUM(AH27:AH30)=12,VLOOKUP(1,$N$27:$O$30,2,FALSE),"1D")</f>
        <v>Argentina</v>
      </c>
      <c r="G67" s="59">
        <v>4</v>
      </c>
      <c r="H67" s="486">
        <v>1</v>
      </c>
      <c r="I67" s="486">
        <v>1</v>
      </c>
      <c r="J67" s="59">
        <v>3</v>
      </c>
      <c r="K67" s="60" t="str">
        <f>IF(SUM(AH20:AH23)=12,VLOOKUP(2,$N$20:$O$23,2,FALSE),"2C")</f>
        <v>Perú</v>
      </c>
      <c r="L67" s="27">
        <f>IF(K76="W52",0,1)</f>
        <v>1</v>
      </c>
      <c r="M67" s="32"/>
      <c r="N67" s="91"/>
      <c r="O67" s="91"/>
      <c r="P67" s="91"/>
      <c r="Q67" s="91"/>
      <c r="R67" s="91"/>
      <c r="S67" s="91"/>
      <c r="T67" s="91"/>
      <c r="U67" s="91"/>
      <c r="V67" s="91"/>
      <c r="W67" s="91"/>
      <c r="X67" s="332"/>
      <c r="Y67" s="332"/>
      <c r="Z67" s="332"/>
      <c r="AA67" s="332"/>
      <c r="AB67" s="332"/>
      <c r="AC67" s="413"/>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457"/>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c r="DC67" s="14"/>
      <c r="DD67" s="14"/>
      <c r="DE67" s="14"/>
      <c r="DF67" s="14"/>
      <c r="DG67" s="14"/>
      <c r="DH67" s="14"/>
      <c r="DI67" s="14"/>
      <c r="DJ67" s="14"/>
      <c r="DK67" s="14"/>
      <c r="DL67" s="14"/>
      <c r="DM67" s="14"/>
      <c r="DN67" s="475"/>
    </row>
    <row r="68" spans="1:118" x14ac:dyDescent="0.25">
      <c r="A68" s="74"/>
      <c r="B68" s="550"/>
      <c r="C68" s="95">
        <v>43283</v>
      </c>
      <c r="D68" s="96">
        <v>0.66666666666666663</v>
      </c>
      <c r="E68" s="97" t="s">
        <v>102</v>
      </c>
      <c r="F68" s="138" t="str">
        <f>IF(SUM(AH34:AH37)=12,VLOOKUP(1,$N$34:$O$37,2,FALSE),"1E")</f>
        <v>Brasil</v>
      </c>
      <c r="G68" s="59"/>
      <c r="H68" s="486">
        <v>4</v>
      </c>
      <c r="I68" s="486">
        <v>1</v>
      </c>
      <c r="J68" s="59"/>
      <c r="K68" s="60" t="str">
        <f>IF(SUM(AH41:AH44)=12,VLOOKUP(2,$N$41:$O$44,2,FALSE),"2F")</f>
        <v>México</v>
      </c>
      <c r="L68" s="27">
        <f>IF(F75="W53",0,1)</f>
        <v>1</v>
      </c>
      <c r="M68" s="32"/>
      <c r="N68" s="333"/>
      <c r="O68" s="90"/>
      <c r="P68" s="90"/>
      <c r="Q68" s="90"/>
      <c r="R68" s="90"/>
      <c r="S68" s="90"/>
      <c r="T68" s="90"/>
      <c r="U68" s="90"/>
      <c r="V68" s="90"/>
      <c r="W68" s="90"/>
      <c r="X68" s="332"/>
      <c r="Y68" s="332"/>
      <c r="Z68" s="332"/>
      <c r="AA68" s="332"/>
      <c r="AB68" s="332"/>
      <c r="AC68" s="413"/>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457"/>
      <c r="BY68" s="14"/>
      <c r="BZ68" s="14"/>
      <c r="CA68" s="14"/>
      <c r="CB68" s="14"/>
      <c r="CC68" s="14"/>
      <c r="CD68" s="14"/>
      <c r="CE68" s="14"/>
      <c r="CF68" s="14"/>
      <c r="CG68" s="14"/>
      <c r="CH68" s="14"/>
      <c r="CI68" s="14"/>
      <c r="CJ68" s="14"/>
      <c r="CK68" s="14"/>
      <c r="CL68" s="14"/>
      <c r="CM68" s="14"/>
      <c r="CN68" s="14"/>
      <c r="CO68" s="14"/>
      <c r="CP68" s="14"/>
      <c r="CQ68" s="14"/>
      <c r="CR68" s="14"/>
      <c r="CS68" s="14"/>
      <c r="CT68" s="14"/>
      <c r="CU68" s="14"/>
      <c r="CV68" s="14"/>
      <c r="CW68" s="14"/>
      <c r="CX68" s="14"/>
      <c r="CY68" s="14"/>
      <c r="CZ68" s="14"/>
      <c r="DA68" s="14"/>
      <c r="DB68" s="14"/>
      <c r="DC68" s="14"/>
      <c r="DD68" s="14"/>
      <c r="DE68" s="14"/>
      <c r="DF68" s="14"/>
      <c r="DG68" s="14"/>
      <c r="DH68" s="14"/>
      <c r="DI68" s="14"/>
      <c r="DJ68" s="14"/>
      <c r="DK68" s="14"/>
      <c r="DL68" s="14"/>
      <c r="DM68" s="14"/>
      <c r="DN68" s="475"/>
    </row>
    <row r="69" spans="1:118" ht="15" customHeight="1" x14ac:dyDescent="0.25">
      <c r="A69" s="74"/>
      <c r="B69" s="550"/>
      <c r="C69" s="95">
        <v>43283</v>
      </c>
      <c r="D69" s="96">
        <v>0.83333333333333337</v>
      </c>
      <c r="E69" s="97" t="s">
        <v>101</v>
      </c>
      <c r="F69" s="138" t="str">
        <f>IF(SUM(AH48:AH51)=12,VLOOKUP(1,$N$48:$O$51,2,FALSE),"1G")</f>
        <v>Bélgica</v>
      </c>
      <c r="G69" s="59"/>
      <c r="H69" s="486">
        <v>4</v>
      </c>
      <c r="I69" s="486">
        <v>2</v>
      </c>
      <c r="J69" s="59"/>
      <c r="K69" s="60" t="str">
        <f>IF(SUM(AH55:AH58)=12,VLOOKUP(2,$N$55:$O$58,2,FALSE),"2H")</f>
        <v>Polonia</v>
      </c>
      <c r="L69" s="27">
        <f>IF(K75="W54",0,1)</f>
        <v>1</v>
      </c>
      <c r="M69" s="32"/>
      <c r="N69" s="334"/>
      <c r="O69" s="335"/>
      <c r="P69" s="335"/>
      <c r="Q69" s="335"/>
      <c r="R69" s="335"/>
      <c r="S69" s="335"/>
      <c r="T69" s="335"/>
      <c r="U69" s="335"/>
      <c r="V69" s="335"/>
      <c r="W69" s="335"/>
      <c r="X69" s="148"/>
      <c r="Y69" s="148"/>
      <c r="Z69" s="148"/>
      <c r="AA69" s="148"/>
      <c r="AB69" s="148"/>
      <c r="AC69" s="409"/>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457"/>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475"/>
    </row>
    <row r="70" spans="1:118" x14ac:dyDescent="0.25">
      <c r="A70" s="74"/>
      <c r="B70" s="550"/>
      <c r="C70" s="95">
        <v>43284</v>
      </c>
      <c r="D70" s="96">
        <v>0.66666666666666663</v>
      </c>
      <c r="E70" s="97" t="s">
        <v>212</v>
      </c>
      <c r="F70" s="138" t="str">
        <f>IF(SUM(AH41:AH44)=12,VLOOKUP(1,$N$41:$O$44,2,FALSE),"1F")</f>
        <v>Alemania</v>
      </c>
      <c r="G70" s="59"/>
      <c r="H70" s="486">
        <v>3</v>
      </c>
      <c r="I70" s="486">
        <v>1</v>
      </c>
      <c r="J70" s="59"/>
      <c r="K70" s="60" t="str">
        <f>IF(SUM(AH34:AH37)=12,VLOOKUP(2,$N$34:$O$37,2,FALSE),"2E")</f>
        <v>Suiza</v>
      </c>
      <c r="L70" s="27">
        <f>IF(F77="W55",0,1)</f>
        <v>1</v>
      </c>
      <c r="M70" s="32"/>
      <c r="N70" s="91"/>
      <c r="O70" s="91"/>
      <c r="P70" s="91"/>
      <c r="Q70" s="91"/>
      <c r="R70" s="91"/>
      <c r="S70" s="91"/>
      <c r="T70" s="91"/>
      <c r="U70" s="91"/>
      <c r="V70" s="91"/>
      <c r="W70" s="91"/>
      <c r="X70" s="148"/>
      <c r="Y70" s="148"/>
      <c r="Z70" s="148"/>
      <c r="AA70" s="148"/>
      <c r="AB70" s="148"/>
      <c r="AC70" s="409"/>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457"/>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475"/>
    </row>
    <row r="71" spans="1:118" x14ac:dyDescent="0.25">
      <c r="A71" s="74"/>
      <c r="B71" s="551"/>
      <c r="C71" s="98">
        <v>43284</v>
      </c>
      <c r="D71" s="99">
        <v>0.83333333333333337</v>
      </c>
      <c r="E71" s="100" t="s">
        <v>209</v>
      </c>
      <c r="F71" s="139" t="str">
        <f>IF(SUM(AH55:AH58)=12,VLOOKUP(1,$N$55:$O$58,2,FALSE),"1H")</f>
        <v>Colombia</v>
      </c>
      <c r="G71" s="61">
        <v>5</v>
      </c>
      <c r="H71" s="486">
        <v>2</v>
      </c>
      <c r="I71" s="486">
        <v>2</v>
      </c>
      <c r="J71" s="61">
        <v>3</v>
      </c>
      <c r="K71" s="62" t="str">
        <f>IF(SUM(AH48:AH51)=12,VLOOKUP(2,$N$48:$O$51,2,FALSE),"2G")</f>
        <v>Inglaterra</v>
      </c>
      <c r="L71" s="27">
        <f>IF(K77="W56",0,1)</f>
        <v>1</v>
      </c>
      <c r="M71" s="32"/>
      <c r="N71" s="91"/>
      <c r="O71" s="91"/>
      <c r="P71" s="91"/>
      <c r="Q71" s="91"/>
      <c r="R71" s="91"/>
      <c r="S71" s="91"/>
      <c r="T71" s="91"/>
      <c r="U71" s="91"/>
      <c r="V71" s="91"/>
      <c r="W71" s="91"/>
      <c r="X71" s="148"/>
      <c r="Y71" s="148"/>
      <c r="Z71" s="148"/>
      <c r="AA71" s="148"/>
      <c r="AB71" s="148"/>
      <c r="AC71" s="409"/>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457"/>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c r="DL71" s="14"/>
      <c r="DM71" s="14"/>
      <c r="DN71" s="475"/>
    </row>
    <row r="72" spans="1:118" ht="24.95" customHeight="1" x14ac:dyDescent="0.25">
      <c r="A72" s="74"/>
      <c r="B72" s="85" t="s">
        <v>22</v>
      </c>
      <c r="C72" s="85"/>
      <c r="D72" s="85"/>
      <c r="E72" s="85"/>
      <c r="F72" s="85"/>
      <c r="G72" s="18"/>
      <c r="H72" s="18"/>
      <c r="I72" s="18"/>
      <c r="J72" s="18"/>
      <c r="K72" s="18"/>
      <c r="L72" s="32"/>
      <c r="M72" s="32"/>
      <c r="N72" s="91"/>
      <c r="O72" s="91"/>
      <c r="P72" s="91"/>
      <c r="Q72" s="91"/>
      <c r="R72" s="91"/>
      <c r="S72" s="91"/>
      <c r="T72" s="91"/>
      <c r="U72" s="91"/>
      <c r="V72" s="91"/>
      <c r="W72" s="91"/>
      <c r="X72" s="91"/>
      <c r="Y72" s="91"/>
      <c r="Z72" s="91"/>
      <c r="AA72" s="148"/>
      <c r="AB72" s="148"/>
      <c r="AC72" s="409"/>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457"/>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c r="DN72" s="475"/>
    </row>
    <row r="73" spans="1:118" x14ac:dyDescent="0.25">
      <c r="A73" s="74"/>
      <c r="B73" s="87"/>
      <c r="C73" s="88" t="s">
        <v>15</v>
      </c>
      <c r="D73" s="88" t="s">
        <v>178</v>
      </c>
      <c r="E73" s="87" t="s">
        <v>211</v>
      </c>
      <c r="F73" s="89" t="s">
        <v>2</v>
      </c>
      <c r="G73" s="21" t="s">
        <v>25</v>
      </c>
      <c r="H73" s="21" t="s">
        <v>43</v>
      </c>
      <c r="I73" s="21" t="s">
        <v>43</v>
      </c>
      <c r="J73" s="21" t="s">
        <v>25</v>
      </c>
      <c r="K73" s="24" t="s">
        <v>5</v>
      </c>
      <c r="L73" s="32"/>
      <c r="M73" s="32"/>
      <c r="N73" s="91"/>
      <c r="O73" s="91"/>
      <c r="P73" s="91"/>
      <c r="Q73" s="91"/>
      <c r="R73" s="91"/>
      <c r="S73" s="91"/>
      <c r="T73" s="91"/>
      <c r="U73" s="91"/>
      <c r="V73" s="91"/>
      <c r="W73" s="91"/>
      <c r="X73" s="91"/>
      <c r="Y73" s="91"/>
      <c r="Z73" s="91"/>
      <c r="AA73" s="148"/>
      <c r="AB73" s="148"/>
      <c r="AC73" s="413"/>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457"/>
      <c r="BY73" s="14"/>
      <c r="BZ73" s="14"/>
      <c r="CA73" s="14"/>
      <c r="CB73" s="14"/>
      <c r="CC73" s="14"/>
      <c r="CD73" s="14"/>
      <c r="CE73" s="14"/>
      <c r="CF73" s="14"/>
      <c r="CG73" s="14"/>
      <c r="CH73" s="14"/>
      <c r="CI73" s="14"/>
      <c r="CJ73" s="14"/>
      <c r="CK73" s="14"/>
      <c r="CL73" s="14"/>
      <c r="CM73" s="14"/>
      <c r="CN73" s="14"/>
      <c r="CO73" s="14"/>
      <c r="CP73" s="14"/>
      <c r="CQ73" s="14"/>
      <c r="CR73" s="14"/>
      <c r="CS73" s="14"/>
      <c r="CT73" s="14"/>
      <c r="CU73" s="14"/>
      <c r="CV73" s="14"/>
      <c r="CW73" s="14"/>
      <c r="CX73" s="14"/>
      <c r="CY73" s="14"/>
      <c r="CZ73" s="14"/>
      <c r="DA73" s="14"/>
      <c r="DB73" s="14"/>
      <c r="DC73" s="14"/>
      <c r="DD73" s="14"/>
      <c r="DE73" s="14"/>
      <c r="DF73" s="14"/>
      <c r="DG73" s="14"/>
      <c r="DH73" s="14"/>
      <c r="DI73" s="14"/>
      <c r="DJ73" s="14"/>
      <c r="DK73" s="14"/>
      <c r="DL73" s="14"/>
      <c r="DM73" s="14"/>
      <c r="DN73" s="475"/>
    </row>
    <row r="74" spans="1:118" x14ac:dyDescent="0.25">
      <c r="A74" s="74"/>
      <c r="B74" s="537" t="s">
        <v>143</v>
      </c>
      <c r="C74" s="101">
        <v>43287</v>
      </c>
      <c r="D74" s="102">
        <v>0.66666666666666663</v>
      </c>
      <c r="E74" s="103" t="s">
        <v>210</v>
      </c>
      <c r="F74" s="140" t="str">
        <f>IF(AND(OR(H64="",I64="")),"W49",IF(H64&gt;I64,F64,IF(H64&lt;I64,K64,IF(AND(H64=I64,G64=J64),"W49",IF(AND(H64=I64,OR(G64="",J64="")),"W49",IF(AND(H64=I64,G64&gt;J64),F64,K64))))))</f>
        <v>Uruguay</v>
      </c>
      <c r="G74" s="63"/>
      <c r="H74" s="487">
        <v>1</v>
      </c>
      <c r="I74" s="487">
        <v>3</v>
      </c>
      <c r="J74" s="63"/>
      <c r="K74" s="64" t="str">
        <f>IF(AND(OR(H65="",I65="")),"W50",IF(H65&gt;I65,F65,IF(H65&lt;I65,K65,IF(AND(H65=I65,G65=J65),"W50",IF(AND(H65=I65,OR(G65="",J65="")),"W50",IF(AND(H65=I65,G65&gt;J65),F65,K65))))))</f>
        <v>Francia</v>
      </c>
      <c r="L74" s="27">
        <f>IF(F80="W57",0,1)</f>
        <v>1</v>
      </c>
      <c r="M74" s="32"/>
      <c r="N74" s="91"/>
      <c r="O74" s="91"/>
      <c r="P74" s="91"/>
      <c r="Q74" s="91"/>
      <c r="R74" s="91"/>
      <c r="S74" s="91"/>
      <c r="T74" s="91"/>
      <c r="U74" s="91"/>
      <c r="V74" s="91"/>
      <c r="W74" s="91"/>
      <c r="X74" s="91"/>
      <c r="Y74" s="91"/>
      <c r="Z74" s="91"/>
      <c r="AA74" s="336"/>
      <c r="AB74" s="336"/>
      <c r="AC74" s="473"/>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457"/>
      <c r="BY74" s="14"/>
      <c r="BZ74" s="14"/>
      <c r="CA74" s="14"/>
      <c r="CB74" s="14"/>
      <c r="CC74" s="14"/>
      <c r="CD74" s="14"/>
      <c r="CE74" s="14"/>
      <c r="CF74" s="14"/>
      <c r="CG74" s="14"/>
      <c r="CH74" s="14"/>
      <c r="CI74" s="14"/>
      <c r="CJ74" s="14"/>
      <c r="CK74" s="14"/>
      <c r="CL74" s="14"/>
      <c r="CM74" s="14"/>
      <c r="CN74" s="14"/>
      <c r="CO74" s="14"/>
      <c r="CP74" s="14"/>
      <c r="CQ74" s="14"/>
      <c r="CR74" s="14"/>
      <c r="CS74" s="14"/>
      <c r="CT74" s="14"/>
      <c r="CU74" s="14"/>
      <c r="CV74" s="14"/>
      <c r="CW74" s="14"/>
      <c r="CX74" s="14"/>
      <c r="CY74" s="14"/>
      <c r="CZ74" s="14"/>
      <c r="DA74" s="14"/>
      <c r="DB74" s="14"/>
      <c r="DC74" s="14"/>
      <c r="DD74" s="14"/>
      <c r="DE74" s="14"/>
      <c r="DF74" s="14"/>
      <c r="DG74" s="14"/>
      <c r="DH74" s="14"/>
      <c r="DI74" s="14"/>
      <c r="DJ74" s="14"/>
      <c r="DK74" s="14"/>
      <c r="DL74" s="14"/>
      <c r="DM74" s="14"/>
      <c r="DN74" s="475"/>
    </row>
    <row r="75" spans="1:118" x14ac:dyDescent="0.25">
      <c r="A75" s="74"/>
      <c r="B75" s="538"/>
      <c r="C75" s="104">
        <v>43287</v>
      </c>
      <c r="D75" s="105">
        <v>0.83333333333333337</v>
      </c>
      <c r="E75" s="106" t="s">
        <v>104</v>
      </c>
      <c r="F75" s="141" t="str">
        <f>IF(AND(OR(H68="",I68="")),"W53",IF(H68&gt;I68,F68,IF(H68&lt;I68,K68,IF(AND(H68=I68,G68=J68),"W53",IF(AND(H68=I68,OR(G68="",J68="")),"W53",IF(AND(H68=I68,G68&gt;J68),F68,K68))))))</f>
        <v>Brasil</v>
      </c>
      <c r="G75" s="65">
        <v>4</v>
      </c>
      <c r="H75" s="487">
        <v>2</v>
      </c>
      <c r="I75" s="487">
        <v>2</v>
      </c>
      <c r="J75" s="65">
        <v>3</v>
      </c>
      <c r="K75" s="66" t="str">
        <f>IF(AND(OR(H69="",I69="")),"W54",IF(H69&gt;I69,F69,IF(H69&lt;I69,K69,IF(AND(H69=I69,G69=J69),"W54",IF(AND(H69=I69,OR(G69="",J69="")),"W54",IF(AND(H69=I69,G69&gt;J69),F69,K69))))))</f>
        <v>Bélgica</v>
      </c>
      <c r="L75" s="27">
        <f>IF(K80="W58",0,1)</f>
        <v>1</v>
      </c>
      <c r="M75" s="32"/>
      <c r="N75" s="91"/>
      <c r="O75" s="91"/>
      <c r="P75" s="91"/>
      <c r="Q75" s="91"/>
      <c r="R75" s="91"/>
      <c r="S75" s="91"/>
      <c r="T75" s="91"/>
      <c r="U75" s="91"/>
      <c r="V75" s="91"/>
      <c r="W75" s="91"/>
      <c r="X75" s="91"/>
      <c r="Y75" s="91"/>
      <c r="Z75" s="91"/>
      <c r="AA75" s="11"/>
      <c r="AB75" s="11"/>
      <c r="AC75" s="473"/>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457"/>
      <c r="BY75" s="14"/>
      <c r="BZ75" s="14"/>
      <c r="CA75" s="14"/>
      <c r="CB75" s="14"/>
      <c r="CC75" s="14"/>
      <c r="CD75" s="14"/>
      <c r="CE75" s="14"/>
      <c r="CF75" s="14"/>
      <c r="CG75" s="14"/>
      <c r="CH75" s="14"/>
      <c r="CI75" s="14"/>
      <c r="CJ75" s="14"/>
      <c r="CK75" s="14"/>
      <c r="CL75" s="14"/>
      <c r="CM75" s="14"/>
      <c r="CN75" s="14"/>
      <c r="CO75" s="14"/>
      <c r="CP75" s="14"/>
      <c r="CQ75" s="14"/>
      <c r="CR75" s="14"/>
      <c r="CS75" s="14"/>
      <c r="CT75" s="14"/>
      <c r="CU75" s="14"/>
      <c r="CV75" s="14"/>
      <c r="CW75" s="14"/>
      <c r="CX75" s="14"/>
      <c r="CY75" s="14"/>
      <c r="CZ75" s="14"/>
      <c r="DA75" s="14"/>
      <c r="DB75" s="14"/>
      <c r="DC75" s="14"/>
      <c r="DD75" s="14"/>
      <c r="DE75" s="14"/>
      <c r="DF75" s="14"/>
      <c r="DG75" s="14"/>
      <c r="DH75" s="14"/>
      <c r="DI75" s="14"/>
      <c r="DJ75" s="14"/>
      <c r="DK75" s="14"/>
      <c r="DL75" s="14"/>
      <c r="DM75" s="14"/>
      <c r="DN75" s="475"/>
    </row>
    <row r="76" spans="1:118" x14ac:dyDescent="0.25">
      <c r="A76" s="74"/>
      <c r="B76" s="538"/>
      <c r="C76" s="104">
        <v>43288</v>
      </c>
      <c r="D76" s="105">
        <v>0.83333333333333337</v>
      </c>
      <c r="E76" s="106" t="s">
        <v>207</v>
      </c>
      <c r="F76" s="141" t="str">
        <f>IF(AND(OR(H66="",I66="")),"W51",IF(H66&gt;I66,F66,IF(H66&lt;I66,K66,IF(AND(H66=I66,G66=J66),"W51",IF(AND(H66=I66,OR(G66="",J66="")),"W51",IF(AND(H66=I66,G66&gt;J66),F66,K66))))))</f>
        <v>España</v>
      </c>
      <c r="G76" s="65"/>
      <c r="H76" s="487">
        <v>4</v>
      </c>
      <c r="I76" s="487">
        <v>1</v>
      </c>
      <c r="J76" s="65"/>
      <c r="K76" s="66" t="str">
        <f>IF(AND(OR(H67="",I67="")),"W52",IF(H67&gt;I67,F67,IF(H67&lt;I67,K67,IF(AND(H67=I67,G67=J67),"W52",IF(AND(H67=I67,OR(G67="",J67="")),"W52",IF(AND(H67=I67,G67&gt;J67),F67,K67))))))</f>
        <v>Argentina</v>
      </c>
      <c r="L76" s="27">
        <f>IF(F81="W59",0,1)</f>
        <v>1</v>
      </c>
      <c r="M76" s="32"/>
      <c r="N76" s="91"/>
      <c r="O76" s="91"/>
      <c r="P76" s="91"/>
      <c r="Q76" s="91"/>
      <c r="R76" s="91"/>
      <c r="S76" s="91"/>
      <c r="T76" s="91"/>
      <c r="U76" s="91"/>
      <c r="V76" s="91"/>
      <c r="W76" s="91"/>
      <c r="X76" s="91"/>
      <c r="Y76" s="91"/>
      <c r="Z76" s="91"/>
      <c r="AA76" s="11"/>
      <c r="AB76" s="11"/>
      <c r="AC76" s="473"/>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457"/>
      <c r="BY76" s="14"/>
      <c r="BZ76" s="14"/>
      <c r="CA76" s="14"/>
      <c r="CB76" s="14"/>
      <c r="CC76" s="14"/>
      <c r="CD76" s="14"/>
      <c r="CE76" s="14"/>
      <c r="CF76" s="14"/>
      <c r="CG76" s="14"/>
      <c r="CH76" s="14"/>
      <c r="CI76" s="14"/>
      <c r="CJ76" s="14"/>
      <c r="CK76" s="14"/>
      <c r="CL76" s="14"/>
      <c r="CM76" s="14"/>
      <c r="CN76" s="14"/>
      <c r="CO76" s="14"/>
      <c r="CP76" s="14"/>
      <c r="CQ76" s="14"/>
      <c r="CR76" s="14"/>
      <c r="CS76" s="14"/>
      <c r="CT76" s="14"/>
      <c r="CU76" s="14"/>
      <c r="CV76" s="14"/>
      <c r="CW76" s="14"/>
      <c r="CX76" s="14"/>
      <c r="CY76" s="14"/>
      <c r="CZ76" s="14"/>
      <c r="DA76" s="14"/>
      <c r="DB76" s="14"/>
      <c r="DC76" s="14"/>
      <c r="DD76" s="14"/>
      <c r="DE76" s="14"/>
      <c r="DF76" s="14"/>
      <c r="DG76" s="14"/>
      <c r="DH76" s="14"/>
      <c r="DI76" s="14"/>
      <c r="DJ76" s="14"/>
      <c r="DK76" s="14"/>
      <c r="DL76" s="14"/>
      <c r="DM76" s="14"/>
      <c r="DN76" s="475"/>
    </row>
    <row r="77" spans="1:118" x14ac:dyDescent="0.25">
      <c r="A77" s="74"/>
      <c r="B77" s="539"/>
      <c r="C77" s="107">
        <v>43288</v>
      </c>
      <c r="D77" s="108">
        <v>0.66666666666666663</v>
      </c>
      <c r="E77" s="109" t="s">
        <v>102</v>
      </c>
      <c r="F77" s="142" t="str">
        <f>IF(AND(OR(H70="",I70="")),"W55",IF(H70&gt;I70,F70,IF(H70&lt;I70,K70,IF(AND(H70=I70,G70=J70),"W55",IF(AND(H70=I70,OR(G70="",J70="")),"W55",IF(AND(H70=I70,G70&gt;J70),F70,K70))))))</f>
        <v>Alemania</v>
      </c>
      <c r="G77" s="67"/>
      <c r="H77" s="487">
        <v>3</v>
      </c>
      <c r="I77" s="487">
        <v>1</v>
      </c>
      <c r="J77" s="67"/>
      <c r="K77" s="68" t="str">
        <f>IF(AND(OR(H71="",I71="")),"W56",IF(H71&gt;I71,F71,IF(H71&lt;I71,K71,IF(AND(H71=I71,G71=J71),"W56",IF(AND(H71=I71,OR(G71="",J71="")),"W56",IF(AND(H71=I71,G71&gt;J71),F71,K71))))))</f>
        <v>Colombia</v>
      </c>
      <c r="L77" s="27">
        <f>IF(K81="W60",0,1)</f>
        <v>1</v>
      </c>
      <c r="M77" s="32"/>
      <c r="N77" s="11"/>
      <c r="O77" s="11"/>
      <c r="P77" s="11"/>
      <c r="Q77" s="11"/>
      <c r="R77" s="11"/>
      <c r="S77" s="11"/>
      <c r="T77" s="11"/>
      <c r="U77" s="11"/>
      <c r="V77" s="11"/>
      <c r="W77" s="11"/>
      <c r="X77" s="11"/>
      <c r="Y77" s="11"/>
      <c r="Z77" s="11"/>
      <c r="AA77" s="11"/>
      <c r="AB77" s="11"/>
      <c r="AC77" s="473"/>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457"/>
      <c r="BY77" s="14"/>
      <c r="BZ77" s="14"/>
      <c r="CA77" s="14"/>
      <c r="CB77" s="14"/>
      <c r="CC77" s="14"/>
      <c r="CD77" s="14"/>
      <c r="CE77" s="14"/>
      <c r="CF77" s="14"/>
      <c r="CG77" s="14"/>
      <c r="CH77" s="14"/>
      <c r="CI77" s="14"/>
      <c r="CJ77" s="14"/>
      <c r="CK77" s="14"/>
      <c r="CL77" s="14"/>
      <c r="CM77" s="14"/>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c r="DL77" s="14"/>
      <c r="DM77" s="14"/>
      <c r="DN77" s="475"/>
    </row>
    <row r="78" spans="1:118" ht="24.95" customHeight="1" x14ac:dyDescent="0.25">
      <c r="A78" s="74"/>
      <c r="B78" s="85" t="s">
        <v>23</v>
      </c>
      <c r="C78" s="85"/>
      <c r="D78" s="85"/>
      <c r="E78" s="85"/>
      <c r="F78" s="85"/>
      <c r="G78" s="18"/>
      <c r="H78" s="18"/>
      <c r="I78" s="18"/>
      <c r="J78" s="18"/>
      <c r="K78" s="18"/>
      <c r="L78" s="32"/>
      <c r="M78" s="32"/>
      <c r="N78" s="11"/>
      <c r="O78" s="11"/>
      <c r="P78" s="11"/>
      <c r="Q78" s="11"/>
      <c r="R78" s="11"/>
      <c r="S78" s="11"/>
      <c r="T78" s="11"/>
      <c r="U78" s="11"/>
      <c r="V78" s="11"/>
      <c r="W78" s="11"/>
      <c r="X78" s="11"/>
      <c r="Y78" s="11"/>
      <c r="Z78" s="11"/>
      <c r="AA78" s="11"/>
      <c r="AB78" s="11"/>
      <c r="AC78" s="413"/>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457"/>
      <c r="BY78" s="14"/>
      <c r="BZ78" s="14"/>
      <c r="CA78" s="14"/>
      <c r="CB78" s="14"/>
      <c r="CC78" s="14"/>
      <c r="CD78" s="14"/>
      <c r="CE78" s="14"/>
      <c r="CF78" s="14"/>
      <c r="CG78" s="14"/>
      <c r="CH78" s="14"/>
      <c r="CI78" s="14"/>
      <c r="CJ78" s="14"/>
      <c r="CK78" s="14"/>
      <c r="CL78" s="14"/>
      <c r="CM78" s="14"/>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c r="DL78" s="14"/>
      <c r="DM78" s="14"/>
      <c r="DN78" s="475"/>
    </row>
    <row r="79" spans="1:118" x14ac:dyDescent="0.25">
      <c r="A79" s="74"/>
      <c r="B79" s="87"/>
      <c r="C79" s="88" t="s">
        <v>15</v>
      </c>
      <c r="D79" s="88" t="s">
        <v>178</v>
      </c>
      <c r="E79" s="87" t="s">
        <v>211</v>
      </c>
      <c r="F79" s="89" t="s">
        <v>2</v>
      </c>
      <c r="G79" s="21" t="s">
        <v>25</v>
      </c>
      <c r="H79" s="21" t="s">
        <v>43</v>
      </c>
      <c r="I79" s="21" t="s">
        <v>43</v>
      </c>
      <c r="J79" s="21" t="s">
        <v>25</v>
      </c>
      <c r="K79" s="19" t="s">
        <v>5</v>
      </c>
      <c r="L79" s="32"/>
      <c r="M79" s="32"/>
      <c r="N79" s="11"/>
      <c r="O79" s="11"/>
      <c r="P79" s="11"/>
      <c r="Q79" s="11"/>
      <c r="R79" s="11"/>
      <c r="S79" s="11"/>
      <c r="T79" s="11"/>
      <c r="U79" s="11"/>
      <c r="V79" s="11"/>
      <c r="W79" s="11"/>
      <c r="X79" s="11"/>
      <c r="Y79" s="11"/>
      <c r="Z79" s="11"/>
      <c r="AA79" s="11"/>
      <c r="AB79" s="11"/>
      <c r="AC79" s="413"/>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457"/>
      <c r="BY79" s="14"/>
      <c r="BZ79" s="14"/>
      <c r="CA79" s="14"/>
      <c r="CB79" s="14"/>
      <c r="CC79" s="14"/>
      <c r="CD79" s="14"/>
      <c r="CE79" s="14"/>
      <c r="CF79" s="14"/>
      <c r="CG79" s="14"/>
      <c r="CH79" s="14"/>
      <c r="CI79" s="14"/>
      <c r="CJ79" s="14"/>
      <c r="CK79" s="14"/>
      <c r="CL79" s="14"/>
      <c r="CM79" s="14"/>
      <c r="CN79" s="14"/>
      <c r="CO79" s="14"/>
      <c r="CP79" s="14"/>
      <c r="CQ79" s="14"/>
      <c r="CR79" s="14"/>
      <c r="CS79" s="14"/>
      <c r="CT79" s="14"/>
      <c r="CU79" s="14"/>
      <c r="CV79" s="14"/>
      <c r="CW79" s="14"/>
      <c r="CX79" s="14"/>
      <c r="CY79" s="14"/>
      <c r="CZ79" s="14"/>
      <c r="DA79" s="14"/>
      <c r="DB79" s="14"/>
      <c r="DC79" s="14"/>
      <c r="DD79" s="14"/>
      <c r="DE79" s="14"/>
      <c r="DF79" s="14"/>
      <c r="DG79" s="14"/>
      <c r="DH79" s="14"/>
      <c r="DI79" s="14"/>
      <c r="DJ79" s="14"/>
      <c r="DK79" s="14"/>
      <c r="DL79" s="14"/>
      <c r="DM79" s="14"/>
      <c r="DN79" s="475"/>
    </row>
    <row r="80" spans="1:118" x14ac:dyDescent="0.25">
      <c r="A80" s="74"/>
      <c r="B80" s="540" t="s">
        <v>144</v>
      </c>
      <c r="C80" s="110">
        <v>43291</v>
      </c>
      <c r="D80" s="111">
        <v>0.83333333333333337</v>
      </c>
      <c r="E80" s="112" t="s">
        <v>212</v>
      </c>
      <c r="F80" s="143" t="str">
        <f>IF(AND(OR(H74="",I74="")),"W57",IF(H74&gt;I74,F74,IF(H74&lt;I74,K74,IF(AND(H74=I74,G74=J74),"W57",IF(AND(H74=I74,OR(G74="",J74="")),"W57",IF(AND(H74=I74,G74&gt;J74),F74,K74))))))</f>
        <v>Francia</v>
      </c>
      <c r="G80" s="491"/>
      <c r="H80" s="488"/>
      <c r="I80" s="488"/>
      <c r="J80" s="491"/>
      <c r="K80" s="69" t="str">
        <f>IF(AND(OR(H75="",I75="")),"W58",IF(H75&gt;I75,F75,IF(H75&lt;I75,K75,IF(AND(H75=I75,G75=J75),"W58",IF(AND(H75=I75,OR(G75="",J75="")),"W58",IF(AND(H75=I75,G75&gt;J75),F75,K75))))))</f>
        <v>Brasil</v>
      </c>
      <c r="L80" s="27">
        <f>IF(F87="W61",0,1)</f>
        <v>0</v>
      </c>
      <c r="M80" s="32"/>
      <c r="N80" s="11"/>
      <c r="O80" s="11"/>
      <c r="P80" s="11"/>
      <c r="Q80" s="11"/>
      <c r="R80" s="11"/>
      <c r="S80" s="11"/>
      <c r="T80" s="11"/>
      <c r="U80" s="11"/>
      <c r="V80" s="11"/>
      <c r="W80" s="11"/>
      <c r="X80" s="11"/>
      <c r="Y80" s="11"/>
      <c r="Z80" s="11"/>
      <c r="AA80" s="11"/>
      <c r="AB80" s="11"/>
      <c r="AC80" s="413"/>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457"/>
      <c r="BY80" s="14"/>
      <c r="BZ80" s="14"/>
      <c r="CA80" s="14"/>
      <c r="CB80" s="14"/>
      <c r="CC80" s="14"/>
      <c r="CD80" s="14"/>
      <c r="CE80" s="14"/>
      <c r="CF80" s="14"/>
      <c r="CG80" s="14"/>
      <c r="CH80" s="14"/>
      <c r="CI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DM80" s="14"/>
      <c r="DN80" s="475"/>
    </row>
    <row r="81" spans="1:118" x14ac:dyDescent="0.25">
      <c r="A81" s="74"/>
      <c r="B81" s="541"/>
      <c r="C81" s="113">
        <v>43292</v>
      </c>
      <c r="D81" s="114">
        <v>0.83333333333333337</v>
      </c>
      <c r="E81" s="115" t="s">
        <v>206</v>
      </c>
      <c r="F81" s="144" t="str">
        <f>IF(AND(OR(H76="",I76="")),"W59",IF(H76&gt;I76,F76,IF(H76&lt;I76,K76,IF(AND(H76=I76,G76=J76),"W59",IF(AND(H76=I76,OR(G76="",J76="")),"W59",IF(AND(H76=I76,G76&gt;J76),F76,K76))))))</f>
        <v>España</v>
      </c>
      <c r="G81" s="492"/>
      <c r="H81" s="488"/>
      <c r="I81" s="488"/>
      <c r="J81" s="493"/>
      <c r="K81" s="70" t="str">
        <f>IF(AND(OR(H77="",I77="")),"W60",IF(H77&gt;I77,F77,IF(H77&lt;I77,K77,IF(AND(H77=I77,G77=J77),"W60",IF(AND(H77=I77,OR(G77="",J77="")),"W60",IF(AND(H77=I77,G77&gt;J77),F77,K77))))))</f>
        <v>Alemania</v>
      </c>
      <c r="L81" s="27">
        <f>IF(K87="W62",0,1)</f>
        <v>0</v>
      </c>
      <c r="M81" s="32"/>
      <c r="N81" s="11"/>
      <c r="O81" s="11"/>
      <c r="P81" s="11"/>
      <c r="Q81" s="11"/>
      <c r="R81" s="11"/>
      <c r="S81" s="11"/>
      <c r="T81" s="11"/>
      <c r="U81" s="11"/>
      <c r="V81" s="11"/>
      <c r="W81" s="11"/>
      <c r="X81" s="11"/>
      <c r="Y81" s="11"/>
      <c r="Z81" s="11"/>
      <c r="AA81" s="11"/>
      <c r="AB81" s="11"/>
      <c r="AC81" s="413"/>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457"/>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475"/>
    </row>
    <row r="82" spans="1:118" ht="24.95" customHeight="1" x14ac:dyDescent="0.25">
      <c r="A82" s="74"/>
      <c r="B82" s="85" t="s">
        <v>110</v>
      </c>
      <c r="C82" s="85"/>
      <c r="D82" s="85"/>
      <c r="E82" s="85"/>
      <c r="F82" s="85"/>
      <c r="G82" s="18"/>
      <c r="H82" s="18"/>
      <c r="I82" s="18"/>
      <c r="J82" s="18"/>
      <c r="K82" s="18"/>
      <c r="L82" s="32"/>
      <c r="M82" s="32"/>
      <c r="N82" s="11"/>
      <c r="O82" s="11"/>
      <c r="P82" s="11"/>
      <c r="Q82" s="11"/>
      <c r="R82" s="11"/>
      <c r="S82" s="11"/>
      <c r="T82" s="11"/>
      <c r="U82" s="11"/>
      <c r="V82" s="11"/>
      <c r="W82" s="11"/>
      <c r="X82" s="11"/>
      <c r="Y82" s="11"/>
      <c r="Z82" s="11"/>
      <c r="AA82" s="11"/>
      <c r="AB82" s="11"/>
      <c r="AC82" s="413"/>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457"/>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475"/>
    </row>
    <row r="83" spans="1:118" ht="15" customHeight="1" x14ac:dyDescent="0.25">
      <c r="A83" s="74"/>
      <c r="B83" s="87"/>
      <c r="C83" s="88" t="s">
        <v>15</v>
      </c>
      <c r="D83" s="88" t="s">
        <v>178</v>
      </c>
      <c r="E83" s="87" t="s">
        <v>211</v>
      </c>
      <c r="F83" s="89" t="s">
        <v>2</v>
      </c>
      <c r="G83" s="21" t="s">
        <v>25</v>
      </c>
      <c r="H83" s="21" t="s">
        <v>43</v>
      </c>
      <c r="I83" s="21" t="s">
        <v>43</v>
      </c>
      <c r="J83" s="21" t="s">
        <v>25</v>
      </c>
      <c r="K83" s="19" t="s">
        <v>5</v>
      </c>
      <c r="L83" s="32"/>
      <c r="M83" s="32"/>
      <c r="N83" s="11"/>
      <c r="O83" s="11"/>
      <c r="P83" s="11"/>
      <c r="Q83" s="11"/>
      <c r="R83" s="11"/>
      <c r="S83" s="11"/>
      <c r="T83" s="11"/>
      <c r="U83" s="11"/>
      <c r="V83" s="11"/>
      <c r="W83" s="11"/>
      <c r="X83" s="11"/>
      <c r="Y83" s="11"/>
      <c r="Z83" s="11"/>
      <c r="AA83" s="11"/>
      <c r="AB83" s="11"/>
      <c r="AC83" s="413"/>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457"/>
      <c r="BY83" s="14"/>
      <c r="BZ83" s="14"/>
      <c r="CA83" s="14"/>
      <c r="CB83" s="14"/>
      <c r="CC83" s="14"/>
      <c r="CD83" s="14"/>
      <c r="CE83" s="14"/>
      <c r="CF83" s="14"/>
      <c r="CG83" s="14"/>
      <c r="CH83" s="14"/>
      <c r="CI83" s="14"/>
      <c r="CJ83" s="14"/>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DM83" s="14"/>
      <c r="DN83" s="475"/>
    </row>
    <row r="84" spans="1:118" ht="29.25" customHeight="1" x14ac:dyDescent="0.25">
      <c r="A84" s="74"/>
      <c r="B84" s="116" t="s">
        <v>145</v>
      </c>
      <c r="C84" s="117">
        <v>43295</v>
      </c>
      <c r="D84" s="118">
        <v>0.66666666666666663</v>
      </c>
      <c r="E84" s="119" t="s">
        <v>212</v>
      </c>
      <c r="F84" s="145" t="str">
        <f>IF(AND(OR(H80="",I80="")),"L61",IF(H80&gt;I80,K80,IF(H80&lt;I80,F80,IF(AND(H80=I80,G80=J80),"L61",IF(AND(H80=I80,OR(G80="",J80="")),"L61",IF(AND(H80=I80,G80&gt;J80),K80,F80))))))</f>
        <v>L61</v>
      </c>
      <c r="G84" s="494"/>
      <c r="H84" s="489"/>
      <c r="I84" s="489"/>
      <c r="J84" s="495"/>
      <c r="K84" s="71" t="str">
        <f>IF(AND(OR(H81="",I81="")),"L62",IF(H81&gt;I81,K81,IF(H81&lt;I81,F81,IF(AND(H81=I81,G81=J81),"L62",IF(AND(H81=I81,OR(G81="",J81="")),"L62",IF(AND(H81=I81,G81&gt;J81),K81,F81))))))</f>
        <v>L62</v>
      </c>
      <c r="L84" s="27">
        <f>IF(F91="W63",0,1)</f>
        <v>0</v>
      </c>
      <c r="M84" s="32"/>
      <c r="N84" s="11"/>
      <c r="O84" s="11"/>
      <c r="P84" s="11"/>
      <c r="Q84" s="11"/>
      <c r="R84" s="11"/>
      <c r="S84" s="11"/>
      <c r="T84" s="11"/>
      <c r="U84" s="11"/>
      <c r="V84" s="11"/>
      <c r="W84" s="11"/>
      <c r="X84" s="11"/>
      <c r="Y84" s="11"/>
      <c r="Z84" s="11"/>
      <c r="AA84" s="11"/>
      <c r="AB84" s="11"/>
      <c r="AC84" s="413"/>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457"/>
      <c r="BY84" s="14"/>
      <c r="BZ84" s="14"/>
      <c r="CA84" s="14"/>
      <c r="CB84" s="14"/>
      <c r="CC84" s="14"/>
      <c r="CD84" s="14"/>
      <c r="CE84" s="14"/>
      <c r="CF84" s="14"/>
      <c r="CG84" s="14"/>
      <c r="CH84" s="14"/>
      <c r="CI84" s="14"/>
      <c r="CJ84" s="14"/>
      <c r="CK84" s="14"/>
      <c r="CL84" s="14"/>
      <c r="CM84" s="14"/>
      <c r="CN84" s="14"/>
      <c r="CO84" s="14"/>
      <c r="CP84" s="14"/>
      <c r="CQ84" s="14"/>
      <c r="CR84" s="14"/>
      <c r="CS84" s="14"/>
      <c r="CT84" s="14"/>
      <c r="CU84" s="14"/>
      <c r="CV84" s="14"/>
      <c r="CW84" s="14"/>
      <c r="CX84" s="14"/>
      <c r="CY84" s="14"/>
      <c r="CZ84" s="14"/>
      <c r="DA84" s="14"/>
      <c r="DB84" s="14"/>
      <c r="DC84" s="14"/>
      <c r="DD84" s="14"/>
      <c r="DE84" s="14"/>
      <c r="DF84" s="14"/>
      <c r="DG84" s="14"/>
      <c r="DH84" s="14"/>
      <c r="DI84" s="14"/>
      <c r="DJ84" s="14"/>
      <c r="DK84" s="14"/>
      <c r="DL84" s="14"/>
      <c r="DM84" s="14"/>
      <c r="DN84" s="475"/>
    </row>
    <row r="85" spans="1:118" ht="24.95" customHeight="1" x14ac:dyDescent="0.25">
      <c r="A85" s="74"/>
      <c r="B85" s="120" t="s">
        <v>13</v>
      </c>
      <c r="C85" s="120"/>
      <c r="D85" s="120"/>
      <c r="E85" s="120"/>
      <c r="F85" s="120"/>
      <c r="G85" s="30"/>
      <c r="H85" s="30"/>
      <c r="I85" s="30"/>
      <c r="J85" s="30"/>
      <c r="K85" s="30"/>
      <c r="L85" s="32"/>
      <c r="M85" s="32"/>
      <c r="N85" s="11"/>
      <c r="O85" s="11"/>
      <c r="P85" s="11"/>
      <c r="Q85" s="11"/>
      <c r="R85" s="11"/>
      <c r="S85" s="11"/>
      <c r="T85" s="11"/>
      <c r="U85" s="11"/>
      <c r="V85" s="11"/>
      <c r="W85" s="11"/>
      <c r="X85" s="11"/>
      <c r="Y85" s="11"/>
      <c r="Z85" s="11"/>
      <c r="AA85" s="11"/>
      <c r="AB85" s="11"/>
      <c r="AC85" s="413"/>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457"/>
      <c r="BY85" s="14"/>
      <c r="BZ85" s="14"/>
      <c r="CA85" s="14"/>
      <c r="CB85" s="14"/>
      <c r="CC85" s="14"/>
      <c r="CD85" s="14"/>
      <c r="CE85" s="14"/>
      <c r="CF85" s="14"/>
      <c r="CG85" s="14"/>
      <c r="CH85" s="14"/>
      <c r="CI85" s="14"/>
      <c r="CJ85" s="14"/>
      <c r="CK85" s="14"/>
      <c r="CL85" s="14"/>
      <c r="CM85" s="14"/>
      <c r="CN85" s="14"/>
      <c r="CO85" s="14"/>
      <c r="CP85" s="14"/>
      <c r="CQ85" s="14"/>
      <c r="CR85" s="14"/>
      <c r="CS85" s="14"/>
      <c r="CT85" s="14"/>
      <c r="CU85" s="14"/>
      <c r="CV85" s="14"/>
      <c r="CW85" s="14"/>
      <c r="CX85" s="14"/>
      <c r="CY85" s="14"/>
      <c r="CZ85" s="14"/>
      <c r="DA85" s="14"/>
      <c r="DB85" s="14"/>
      <c r="DC85" s="14"/>
      <c r="DD85" s="14"/>
      <c r="DE85" s="14"/>
      <c r="DF85" s="14"/>
      <c r="DG85" s="14"/>
      <c r="DH85" s="14"/>
      <c r="DI85" s="14"/>
      <c r="DJ85" s="14"/>
      <c r="DK85" s="14"/>
      <c r="DL85" s="14"/>
      <c r="DM85" s="14"/>
      <c r="DN85" s="475"/>
    </row>
    <row r="86" spans="1:118" ht="15" customHeight="1" x14ac:dyDescent="0.25">
      <c r="A86" s="74"/>
      <c r="B86" s="87"/>
      <c r="C86" s="88" t="s">
        <v>15</v>
      </c>
      <c r="D86" s="88" t="s">
        <v>178</v>
      </c>
      <c r="E86" s="87" t="s">
        <v>211</v>
      </c>
      <c r="F86" s="89" t="s">
        <v>2</v>
      </c>
      <c r="G86" s="21" t="s">
        <v>25</v>
      </c>
      <c r="H86" s="21" t="s">
        <v>43</v>
      </c>
      <c r="I86" s="21" t="s">
        <v>43</v>
      </c>
      <c r="J86" s="21" t="s">
        <v>25</v>
      </c>
      <c r="K86" s="19" t="s">
        <v>5</v>
      </c>
      <c r="L86" s="32"/>
      <c r="M86" s="33"/>
      <c r="N86" s="11"/>
      <c r="O86" s="11"/>
      <c r="P86" s="11"/>
      <c r="Q86" s="11"/>
      <c r="R86" s="11"/>
      <c r="S86" s="11"/>
      <c r="T86" s="11"/>
      <c r="U86" s="11"/>
      <c r="V86" s="11"/>
      <c r="W86" s="11"/>
      <c r="X86" s="11"/>
      <c r="Y86" s="11"/>
      <c r="Z86" s="11"/>
      <c r="AA86" s="11"/>
      <c r="AB86" s="11"/>
      <c r="AC86" s="413"/>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457"/>
      <c r="BY86" s="14"/>
      <c r="BZ86" s="14"/>
      <c r="CA86" s="14"/>
      <c r="CB86" s="14"/>
      <c r="CC86" s="14"/>
      <c r="CD86" s="14"/>
      <c r="CE86" s="14"/>
      <c r="CF86" s="14"/>
      <c r="CG86" s="14"/>
      <c r="CH86" s="14"/>
      <c r="CI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c r="DN86" s="475"/>
    </row>
    <row r="87" spans="1:118" ht="29.25" customHeight="1" x14ac:dyDescent="0.25">
      <c r="A87" s="74"/>
      <c r="B87" s="121" t="s">
        <v>5</v>
      </c>
      <c r="C87" s="122">
        <v>43296</v>
      </c>
      <c r="D87" s="123">
        <v>0.70833333333333337</v>
      </c>
      <c r="E87" s="124" t="s">
        <v>206</v>
      </c>
      <c r="F87" s="146" t="str">
        <f>IF(AND(OR(H80="",I80="")),"W61",IF(H80&gt;I80,F80,IF(H80&lt;I80,K80,IF(AND(H80=I80,G80=J80),"W61",IF(AND(H80=I80,OR(G80="",J80="")),"W61",IF(AND(H80=I80,G80&gt;J80),F80,K80))))))</f>
        <v>W61</v>
      </c>
      <c r="G87" s="496"/>
      <c r="H87" s="490"/>
      <c r="I87" s="490"/>
      <c r="J87" s="497"/>
      <c r="K87" s="72" t="str">
        <f>IF(AND(OR(H81="",I81="")),"W62",IF(H81&gt;I81,F81,IF(H81&lt;I81,K81,IF(AND(H81=I81,G81=J81),"W62",IF(AND(H81=I81,OR(G81="",J81="")),"W62",IF(AND(H81=I81,G81&gt;J81),F81,K81))))))</f>
        <v>W62</v>
      </c>
      <c r="L87" s="27">
        <f>IF(F89="W64",0,1)</f>
        <v>0</v>
      </c>
      <c r="M87" s="33"/>
      <c r="N87" s="11"/>
      <c r="O87" s="11"/>
      <c r="P87" s="11"/>
      <c r="Q87" s="11"/>
      <c r="R87" s="11"/>
      <c r="S87" s="11"/>
      <c r="T87" s="11"/>
      <c r="U87" s="11"/>
      <c r="V87" s="11"/>
      <c r="W87" s="11"/>
      <c r="X87" s="11"/>
      <c r="Y87" s="11"/>
      <c r="Z87" s="11"/>
      <c r="AA87" s="11"/>
      <c r="AB87" s="11"/>
      <c r="AC87" s="413"/>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457"/>
      <c r="BY87" s="14"/>
      <c r="BZ87" s="14"/>
      <c r="CA87" s="14"/>
      <c r="CB87" s="14"/>
      <c r="CC87" s="14"/>
      <c r="CD87" s="14"/>
      <c r="CE87" s="14"/>
      <c r="CF87" s="14"/>
      <c r="CG87" s="14"/>
      <c r="CH87" s="14"/>
      <c r="CI87" s="14"/>
      <c r="CJ87" s="14"/>
      <c r="CK87" s="14"/>
      <c r="CL87" s="14"/>
      <c r="CM87" s="14"/>
      <c r="CN87" s="14"/>
      <c r="CO87" s="14"/>
      <c r="CP87" s="14"/>
      <c r="CQ87" s="14"/>
      <c r="CR87" s="14"/>
      <c r="CS87" s="14"/>
      <c r="CT87" s="14"/>
      <c r="CU87" s="14"/>
      <c r="CV87" s="14"/>
      <c r="CW87" s="14"/>
      <c r="CX87" s="14"/>
      <c r="CY87" s="14"/>
      <c r="CZ87" s="14"/>
      <c r="DA87" s="14"/>
      <c r="DB87" s="14"/>
      <c r="DC87" s="14"/>
      <c r="DD87" s="14"/>
      <c r="DE87" s="14"/>
      <c r="DF87" s="14"/>
      <c r="DG87" s="14"/>
      <c r="DH87" s="14"/>
      <c r="DI87" s="14"/>
      <c r="DJ87" s="14"/>
      <c r="DK87" s="14"/>
      <c r="DL87" s="14"/>
      <c r="DM87" s="14"/>
      <c r="DN87" s="475"/>
    </row>
    <row r="88" spans="1:118" ht="39.950000000000003" customHeight="1" thickBot="1" x14ac:dyDescent="0.3">
      <c r="A88" s="86"/>
      <c r="B88" s="125" t="s">
        <v>146</v>
      </c>
      <c r="C88" s="125"/>
      <c r="D88" s="125"/>
      <c r="E88" s="125"/>
      <c r="F88" s="35"/>
      <c r="G88" s="35"/>
      <c r="H88" s="35"/>
      <c r="I88" s="35"/>
      <c r="J88" s="35"/>
      <c r="K88" s="35"/>
      <c r="L88" s="32"/>
      <c r="M88" s="33"/>
      <c r="N88" s="90"/>
      <c r="O88" s="90"/>
      <c r="P88" s="90"/>
      <c r="Q88" s="90"/>
      <c r="R88" s="90"/>
      <c r="S88" s="90"/>
      <c r="T88" s="90"/>
      <c r="U88" s="90"/>
      <c r="V88" s="90"/>
      <c r="W88" s="90"/>
      <c r="X88" s="332"/>
      <c r="Y88" s="332"/>
      <c r="Z88" s="332"/>
      <c r="AA88" s="332"/>
      <c r="AB88" s="332"/>
      <c r="AC88" s="413"/>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457"/>
      <c r="BY88" s="14"/>
      <c r="BZ88" s="14"/>
      <c r="CA88" s="14"/>
      <c r="CB88" s="14"/>
      <c r="CC88" s="14"/>
      <c r="CD88" s="14"/>
      <c r="CE88" s="14"/>
      <c r="CF88" s="14"/>
      <c r="CG88" s="14"/>
      <c r="CH88" s="14"/>
      <c r="CI88" s="14"/>
      <c r="CJ88" s="14"/>
      <c r="CK88" s="14"/>
      <c r="CL88" s="14"/>
      <c r="CM88" s="14"/>
      <c r="CN88" s="14"/>
      <c r="CO88" s="14"/>
      <c r="CP88" s="14"/>
      <c r="CQ88" s="14"/>
      <c r="CR88" s="14"/>
      <c r="CS88" s="14"/>
      <c r="CT88" s="14"/>
      <c r="CU88" s="14"/>
      <c r="CV88" s="14"/>
      <c r="CW88" s="14"/>
      <c r="CX88" s="14"/>
      <c r="CY88" s="14"/>
      <c r="CZ88" s="14"/>
      <c r="DA88" s="14"/>
      <c r="DB88" s="14"/>
      <c r="DC88" s="14"/>
      <c r="DD88" s="14"/>
      <c r="DE88" s="14"/>
      <c r="DF88" s="14"/>
      <c r="DG88" s="14"/>
      <c r="DH88" s="14"/>
      <c r="DI88" s="14"/>
      <c r="DJ88" s="14"/>
      <c r="DK88" s="14"/>
      <c r="DL88" s="14"/>
      <c r="DM88" s="14"/>
      <c r="DN88" s="475"/>
    </row>
    <row r="89" spans="1:118" ht="20.100000000000001" customHeight="1" x14ac:dyDescent="0.25">
      <c r="A89" s="126"/>
      <c r="B89" s="127" t="s">
        <v>128</v>
      </c>
      <c r="C89" s="127"/>
      <c r="D89" s="127"/>
      <c r="E89" s="128"/>
      <c r="F89" s="552" t="str">
        <f>IF(AND(OR(H87="",I87="")),"W64",IF(H87&gt;I87,F87,IF(H87&lt;I87,K87,IF(AND(H87=I87,G87=J87),"W64",IF(AND(H87=I87,OR(G87="",J87="")),"W64",IF(AND(H87=I87,G87&gt;J87),F87,K87))))))</f>
        <v>W64</v>
      </c>
      <c r="G89" s="553"/>
      <c r="H89" s="553"/>
      <c r="I89" s="553"/>
      <c r="J89" s="553"/>
      <c r="K89" s="553"/>
      <c r="L89" s="27">
        <f>IF(F89="W64",0,1)</f>
        <v>0</v>
      </c>
      <c r="M89" s="33"/>
      <c r="N89" s="560" t="str">
        <f>IF(COUNTIF(L4:L101,0)&gt;0,"PORRA INCOMPLETA:","PORRA COMPLETA:")</f>
        <v>PORRA INCOMPLETA:</v>
      </c>
      <c r="O89" s="561"/>
      <c r="P89" s="561"/>
      <c r="Q89" s="561"/>
      <c r="R89" s="561"/>
      <c r="S89" s="561"/>
      <c r="T89" s="561"/>
      <c r="U89" s="561"/>
      <c r="V89" s="561"/>
      <c r="W89" s="561"/>
      <c r="X89" s="562"/>
      <c r="Y89" s="90"/>
      <c r="Z89" s="90"/>
      <c r="AA89" s="337"/>
      <c r="AB89" s="337"/>
      <c r="AC89" s="413"/>
      <c r="AD89" s="413"/>
      <c r="AE89" s="413"/>
      <c r="AF89" s="413"/>
      <c r="AG89" s="413"/>
      <c r="AH89" s="413"/>
      <c r="AI89" s="413"/>
      <c r="AJ89" s="413"/>
      <c r="AK89" s="413"/>
      <c r="AL89" s="413"/>
      <c r="AM89" s="413"/>
      <c r="AN89" s="413"/>
      <c r="AO89" s="413"/>
      <c r="AP89" s="413"/>
      <c r="AQ89" s="413"/>
      <c r="AR89" s="413"/>
      <c r="AS89" s="413"/>
      <c r="AT89" s="413"/>
      <c r="AU89" s="413"/>
      <c r="AV89" s="413"/>
      <c r="AW89" s="413"/>
      <c r="AX89" s="413"/>
      <c r="AY89" s="413"/>
      <c r="AZ89" s="413"/>
      <c r="BA89" s="413"/>
      <c r="BB89" s="413"/>
      <c r="BC89" s="413"/>
      <c r="BD89" s="413"/>
      <c r="BE89" s="413"/>
      <c r="BF89" s="413"/>
      <c r="BG89" s="413"/>
      <c r="BH89" s="413"/>
      <c r="BI89" s="413"/>
      <c r="BJ89" s="413"/>
      <c r="BK89" s="413"/>
      <c r="BL89" s="413"/>
      <c r="BM89" s="413"/>
      <c r="BN89" s="413"/>
      <c r="BO89" s="413"/>
      <c r="BP89" s="413"/>
      <c r="BQ89" s="413"/>
      <c r="BR89" s="413"/>
      <c r="BS89" s="413"/>
      <c r="BT89" s="413"/>
      <c r="BU89" s="413"/>
      <c r="BV89" s="413"/>
      <c r="BW89" s="413"/>
      <c r="BX89" s="457"/>
      <c r="BY89" s="14"/>
      <c r="BZ89" s="14"/>
      <c r="CA89" s="14"/>
      <c r="CB89" s="14"/>
      <c r="CC89" s="14"/>
      <c r="CD89" s="14"/>
      <c r="CE89" s="14"/>
      <c r="CF89" s="14"/>
      <c r="CG89" s="14"/>
      <c r="CH89" s="14"/>
      <c r="CI89" s="14"/>
      <c r="CJ89" s="14"/>
      <c r="CK89" s="14"/>
      <c r="CL89" s="14"/>
      <c r="CM89" s="14"/>
      <c r="CN89" s="14"/>
      <c r="CO89" s="14"/>
      <c r="CP89" s="14"/>
      <c r="CQ89" s="14"/>
      <c r="CR89" s="14"/>
      <c r="CS89" s="14"/>
      <c r="CT89" s="14"/>
      <c r="CU89" s="14"/>
      <c r="CV89" s="14"/>
      <c r="CW89" s="14"/>
      <c r="CX89" s="14"/>
      <c r="CY89" s="14"/>
      <c r="CZ89" s="14"/>
      <c r="DA89" s="14"/>
      <c r="DB89" s="14"/>
      <c r="DC89" s="14"/>
      <c r="DD89" s="14"/>
      <c r="DE89" s="14"/>
      <c r="DF89" s="14"/>
      <c r="DG89" s="14"/>
      <c r="DH89" s="14"/>
      <c r="DI89" s="14"/>
      <c r="DJ89" s="14"/>
      <c r="DK89" s="14"/>
      <c r="DL89" s="14"/>
      <c r="DM89" s="14"/>
      <c r="DN89" s="475"/>
    </row>
    <row r="90" spans="1:118" ht="20.100000000000001" customHeight="1" x14ac:dyDescent="0.25">
      <c r="A90" s="126"/>
      <c r="B90" s="129" t="s">
        <v>131</v>
      </c>
      <c r="C90" s="129"/>
      <c r="D90" s="129"/>
      <c r="E90" s="130"/>
      <c r="F90" s="542" t="str">
        <f>IF(AND(OR(H87="",I87="")),"L64",IF(H87&gt;I87,K87,IF(H87&lt;I87,F87,IF(AND(H87=I87,G87=J87),"L64",IF(AND(H87=I87,OR(G87="",J87="")),"L64",IF(AND(H87=I87,G87&gt;J87),K87,F87))))))</f>
        <v>L64</v>
      </c>
      <c r="G90" s="543"/>
      <c r="H90" s="543"/>
      <c r="I90" s="543"/>
      <c r="J90" s="543"/>
      <c r="K90" s="543"/>
      <c r="L90" s="27">
        <f>IF(F90="L64",0,1)</f>
        <v>0</v>
      </c>
      <c r="M90" s="33"/>
      <c r="N90" s="563"/>
      <c r="O90" s="564"/>
      <c r="P90" s="564"/>
      <c r="Q90" s="564"/>
      <c r="R90" s="564"/>
      <c r="S90" s="564"/>
      <c r="T90" s="564"/>
      <c r="U90" s="564"/>
      <c r="V90" s="564"/>
      <c r="W90" s="564"/>
      <c r="X90" s="565"/>
      <c r="Y90" s="90"/>
      <c r="Z90" s="90"/>
      <c r="AA90" s="337"/>
      <c r="AB90" s="337"/>
      <c r="AC90" s="413"/>
      <c r="AD90" s="413"/>
      <c r="AE90" s="413"/>
      <c r="AF90" s="413"/>
      <c r="AG90" s="413"/>
      <c r="AH90" s="413"/>
      <c r="AI90" s="413"/>
      <c r="AJ90" s="413"/>
      <c r="AK90" s="413"/>
      <c r="AL90" s="413"/>
      <c r="AM90" s="413"/>
      <c r="AN90" s="413"/>
      <c r="AO90" s="413"/>
      <c r="AP90" s="413"/>
      <c r="AQ90" s="413"/>
      <c r="AR90" s="413"/>
      <c r="AS90" s="413"/>
      <c r="AT90" s="413"/>
      <c r="AU90" s="413"/>
      <c r="AV90" s="413"/>
      <c r="AW90" s="413"/>
      <c r="AX90" s="413"/>
      <c r="AY90" s="413"/>
      <c r="AZ90" s="413"/>
      <c r="BA90" s="413"/>
      <c r="BB90" s="413"/>
      <c r="BC90" s="413"/>
      <c r="BD90" s="413"/>
      <c r="BE90" s="413"/>
      <c r="BF90" s="413"/>
      <c r="BG90" s="413"/>
      <c r="BH90" s="413"/>
      <c r="BI90" s="413"/>
      <c r="BJ90" s="413"/>
      <c r="BK90" s="413"/>
      <c r="BL90" s="413"/>
      <c r="BM90" s="413"/>
      <c r="BN90" s="413"/>
      <c r="BO90" s="413"/>
      <c r="BP90" s="413"/>
      <c r="BQ90" s="413"/>
      <c r="BR90" s="413"/>
      <c r="BS90" s="413"/>
      <c r="BT90" s="413"/>
      <c r="BU90" s="413"/>
      <c r="BV90" s="413"/>
      <c r="BW90" s="413"/>
      <c r="BX90" s="457"/>
      <c r="BY90" s="14"/>
      <c r="BZ90" s="14"/>
      <c r="CA90" s="14"/>
      <c r="CB90" s="14"/>
      <c r="CC90" s="14"/>
      <c r="CD90" s="14"/>
      <c r="CE90" s="14"/>
      <c r="CF90" s="14"/>
      <c r="CG90" s="14"/>
      <c r="CH90" s="14"/>
      <c r="CI90" s="14"/>
      <c r="CJ90" s="14"/>
      <c r="CK90" s="14"/>
      <c r="CL90" s="14"/>
      <c r="CM90" s="14"/>
      <c r="CN90" s="14"/>
      <c r="CO90" s="14"/>
      <c r="CP90" s="14"/>
      <c r="CQ90" s="14"/>
      <c r="CR90" s="14"/>
      <c r="CS90" s="14"/>
      <c r="CT90" s="14"/>
      <c r="CU90" s="14"/>
      <c r="CV90" s="14"/>
      <c r="CW90" s="14"/>
      <c r="CX90" s="14"/>
      <c r="CY90" s="14"/>
      <c r="CZ90" s="14"/>
      <c r="DA90" s="14"/>
      <c r="DB90" s="14"/>
      <c r="DC90" s="14"/>
      <c r="DD90" s="14"/>
      <c r="DE90" s="14"/>
      <c r="DF90" s="14"/>
      <c r="DG90" s="14"/>
      <c r="DH90" s="14"/>
      <c r="DI90" s="14"/>
      <c r="DJ90" s="14"/>
      <c r="DK90" s="14"/>
      <c r="DL90" s="14"/>
      <c r="DM90" s="14"/>
      <c r="DN90" s="475"/>
    </row>
    <row r="91" spans="1:118" ht="20.100000000000001" customHeight="1" x14ac:dyDescent="0.25">
      <c r="A91" s="126"/>
      <c r="B91" s="129" t="s">
        <v>132</v>
      </c>
      <c r="C91" s="129"/>
      <c r="D91" s="129"/>
      <c r="E91" s="130"/>
      <c r="F91" s="542" t="str">
        <f>IF(AND(OR(H84="",I84="")),"W63",IF(H84&gt;I84,F84,IF(H84&lt;I84,K84,IF(AND(H84=I84,G84=J84),"W63",IF(AND(H84=I84,OR(G84="",J84="")),"W63",IF(AND(H84=I84,G84&gt;J84),F84,K84))))))</f>
        <v>W63</v>
      </c>
      <c r="G91" s="543"/>
      <c r="H91" s="543"/>
      <c r="I91" s="543"/>
      <c r="J91" s="543"/>
      <c r="K91" s="543"/>
      <c r="L91" s="27">
        <f>IF(F91="W63",0,1)</f>
        <v>0</v>
      </c>
      <c r="M91" s="33"/>
      <c r="N91" s="563"/>
      <c r="O91" s="564"/>
      <c r="P91" s="564"/>
      <c r="Q91" s="564"/>
      <c r="R91" s="564"/>
      <c r="S91" s="564"/>
      <c r="T91" s="564"/>
      <c r="U91" s="564"/>
      <c r="V91" s="564"/>
      <c r="W91" s="564"/>
      <c r="X91" s="565"/>
      <c r="Y91" s="90"/>
      <c r="Z91" s="90"/>
      <c r="AA91" s="337"/>
      <c r="AB91" s="337"/>
      <c r="AC91" s="413"/>
      <c r="AD91" s="413"/>
      <c r="AE91" s="413"/>
      <c r="AF91" s="413"/>
      <c r="AG91" s="413"/>
      <c r="AH91" s="413"/>
      <c r="AI91" s="413"/>
      <c r="AJ91" s="413"/>
      <c r="AK91" s="413"/>
      <c r="AL91" s="413"/>
      <c r="AM91" s="413"/>
      <c r="AN91" s="413"/>
      <c r="AO91" s="413"/>
      <c r="AP91" s="413"/>
      <c r="AQ91" s="413"/>
      <c r="AR91" s="413"/>
      <c r="AS91" s="413"/>
      <c r="AT91" s="413"/>
      <c r="AU91" s="413"/>
      <c r="AV91" s="413"/>
      <c r="AW91" s="413"/>
      <c r="AX91" s="413"/>
      <c r="AY91" s="413"/>
      <c r="AZ91" s="413"/>
      <c r="BA91" s="413"/>
      <c r="BB91" s="413"/>
      <c r="BC91" s="413"/>
      <c r="BD91" s="413"/>
      <c r="BE91" s="413"/>
      <c r="BF91" s="413"/>
      <c r="BG91" s="413"/>
      <c r="BH91" s="413"/>
      <c r="BI91" s="413"/>
      <c r="BJ91" s="413"/>
      <c r="BK91" s="413"/>
      <c r="BL91" s="413"/>
      <c r="BM91" s="413"/>
      <c r="BN91" s="413"/>
      <c r="BO91" s="413"/>
      <c r="BP91" s="413"/>
      <c r="BQ91" s="413"/>
      <c r="BR91" s="413"/>
      <c r="BS91" s="413"/>
      <c r="BT91" s="413"/>
      <c r="BU91" s="413"/>
      <c r="BV91" s="413"/>
      <c r="BW91" s="413"/>
      <c r="BX91" s="457"/>
      <c r="BY91" s="14"/>
      <c r="BZ91" s="14"/>
      <c r="CA91" s="14"/>
      <c r="CB91" s="14"/>
      <c r="CC91" s="14"/>
      <c r="CD91" s="14"/>
      <c r="CE91" s="14"/>
      <c r="CF91" s="14"/>
      <c r="CG91" s="14"/>
      <c r="CH91" s="14"/>
      <c r="CI91" s="14"/>
      <c r="CJ91" s="14"/>
      <c r="CK91" s="14"/>
      <c r="CL91" s="14"/>
      <c r="CM91" s="14"/>
      <c r="CN91" s="14"/>
      <c r="CO91" s="14"/>
      <c r="CP91" s="14"/>
      <c r="CQ91" s="14"/>
      <c r="CR91" s="14"/>
      <c r="CS91" s="14"/>
      <c r="CT91" s="14"/>
      <c r="CU91" s="14"/>
      <c r="CV91" s="14"/>
      <c r="CW91" s="14"/>
      <c r="CX91" s="14"/>
      <c r="CY91" s="14"/>
      <c r="CZ91" s="14"/>
      <c r="DA91" s="14"/>
      <c r="DB91" s="14"/>
      <c r="DC91" s="14"/>
      <c r="DD91" s="14"/>
      <c r="DE91" s="14"/>
      <c r="DF91" s="14"/>
      <c r="DG91" s="14"/>
      <c r="DH91" s="14"/>
      <c r="DI91" s="14"/>
      <c r="DJ91" s="14"/>
      <c r="DK91" s="14"/>
      <c r="DL91" s="14"/>
      <c r="DM91" s="14"/>
      <c r="DN91" s="475"/>
    </row>
    <row r="92" spans="1:118" ht="6.95" customHeight="1" x14ac:dyDescent="0.25">
      <c r="A92" s="126"/>
      <c r="B92" s="131"/>
      <c r="C92" s="131"/>
      <c r="D92" s="131"/>
      <c r="E92" s="131"/>
      <c r="F92" s="147"/>
      <c r="G92" s="147"/>
      <c r="H92" s="147"/>
      <c r="I92" s="147"/>
      <c r="J92" s="147"/>
      <c r="K92" s="147"/>
      <c r="L92" s="149"/>
      <c r="M92" s="389"/>
      <c r="N92" s="563"/>
      <c r="O92" s="564"/>
      <c r="P92" s="564"/>
      <c r="Q92" s="564"/>
      <c r="R92" s="564"/>
      <c r="S92" s="564"/>
      <c r="T92" s="564"/>
      <c r="U92" s="564"/>
      <c r="V92" s="564"/>
      <c r="W92" s="564"/>
      <c r="X92" s="565"/>
      <c r="Y92" s="90"/>
      <c r="Z92" s="90"/>
      <c r="AA92" s="337"/>
      <c r="AB92" s="337"/>
      <c r="AC92" s="413"/>
      <c r="AD92" s="413"/>
      <c r="AE92" s="413"/>
      <c r="AF92" s="413"/>
      <c r="AG92" s="413"/>
      <c r="AH92" s="413"/>
      <c r="AI92" s="413"/>
      <c r="AJ92" s="413"/>
      <c r="AK92" s="413"/>
      <c r="AL92" s="413"/>
      <c r="AM92" s="413"/>
      <c r="AN92" s="413"/>
      <c r="AO92" s="413"/>
      <c r="AP92" s="413"/>
      <c r="AQ92" s="413"/>
      <c r="AR92" s="413"/>
      <c r="AS92" s="413"/>
      <c r="AT92" s="413"/>
      <c r="AU92" s="413"/>
      <c r="AV92" s="413"/>
      <c r="AW92" s="413"/>
      <c r="AX92" s="413"/>
      <c r="AY92" s="413"/>
      <c r="AZ92" s="413"/>
      <c r="BA92" s="413"/>
      <c r="BB92" s="413"/>
      <c r="BC92" s="413"/>
      <c r="BD92" s="413"/>
      <c r="BE92" s="413"/>
      <c r="BF92" s="413"/>
      <c r="BG92" s="413"/>
      <c r="BH92" s="413"/>
      <c r="BI92" s="413"/>
      <c r="BJ92" s="413"/>
      <c r="BK92" s="413"/>
      <c r="BL92" s="413"/>
      <c r="BM92" s="413"/>
      <c r="BN92" s="413"/>
      <c r="BO92" s="413"/>
      <c r="BP92" s="413"/>
      <c r="BQ92" s="413"/>
      <c r="BR92" s="413"/>
      <c r="BS92" s="413"/>
      <c r="BT92" s="413"/>
      <c r="BU92" s="413"/>
      <c r="BV92" s="413"/>
      <c r="BW92" s="413"/>
      <c r="BX92" s="457"/>
      <c r="BY92" s="14"/>
      <c r="BZ92" s="14"/>
      <c r="CA92" s="14"/>
      <c r="CB92" s="14"/>
      <c r="CC92" s="14"/>
      <c r="CD92" s="14"/>
      <c r="CE92" s="14"/>
      <c r="CF92" s="14"/>
      <c r="CG92" s="14"/>
      <c r="CH92" s="14"/>
      <c r="CI92" s="14"/>
      <c r="CJ92" s="14"/>
      <c r="CK92" s="14"/>
      <c r="CL92" s="14"/>
      <c r="CM92" s="14"/>
      <c r="CN92" s="14"/>
      <c r="CO92" s="14"/>
      <c r="CP92" s="14"/>
      <c r="CQ92" s="14"/>
      <c r="CR92" s="14"/>
      <c r="CS92" s="14"/>
      <c r="CT92" s="14"/>
      <c r="CU92" s="14"/>
      <c r="CV92" s="14"/>
      <c r="CW92" s="14"/>
      <c r="CX92" s="14"/>
      <c r="CY92" s="14"/>
      <c r="CZ92" s="14"/>
      <c r="DA92" s="14"/>
      <c r="DB92" s="14"/>
      <c r="DC92" s="14"/>
      <c r="DD92" s="14"/>
      <c r="DE92" s="14"/>
      <c r="DF92" s="14"/>
      <c r="DG92" s="14"/>
      <c r="DH92" s="14"/>
      <c r="DI92" s="14"/>
      <c r="DJ92" s="14"/>
      <c r="DK92" s="14"/>
      <c r="DL92" s="14"/>
      <c r="DM92" s="14"/>
      <c r="DN92" s="475"/>
    </row>
    <row r="93" spans="1:118" ht="20.100000000000001" customHeight="1" x14ac:dyDescent="0.25">
      <c r="A93" s="126"/>
      <c r="B93" s="127" t="s">
        <v>112</v>
      </c>
      <c r="C93" s="127"/>
      <c r="D93" s="127"/>
      <c r="E93" s="128"/>
      <c r="F93" s="544" t="s">
        <v>179</v>
      </c>
      <c r="G93" s="545"/>
      <c r="H93" s="545"/>
      <c r="I93" s="545"/>
      <c r="J93" s="545"/>
      <c r="K93" s="545"/>
      <c r="L93" s="27">
        <f>IF(F93="Escribe un Jugador",0,IF(F93="",0,1))</f>
        <v>0</v>
      </c>
      <c r="M93" s="73"/>
      <c r="N93" s="554" t="str">
        <f>IF(COUNTIF(L4:L101,0)&gt;0,"Aún falta alguna apuesta","Guarda el archivo y reenvíanoslo por email")</f>
        <v>Aún falta alguna apuesta</v>
      </c>
      <c r="O93" s="555"/>
      <c r="P93" s="555"/>
      <c r="Q93" s="555"/>
      <c r="R93" s="555"/>
      <c r="S93" s="555"/>
      <c r="T93" s="555"/>
      <c r="U93" s="555"/>
      <c r="V93" s="555"/>
      <c r="W93" s="555"/>
      <c r="X93" s="556"/>
      <c r="Y93" s="90"/>
      <c r="Z93" s="90"/>
      <c r="AA93" s="31"/>
      <c r="AB93" s="31"/>
      <c r="AC93" s="413"/>
      <c r="AD93" s="413"/>
      <c r="AE93" s="413"/>
      <c r="AF93" s="413"/>
      <c r="AG93" s="413"/>
      <c r="AH93" s="413"/>
      <c r="AI93" s="413"/>
      <c r="AJ93" s="413"/>
      <c r="AK93" s="413"/>
      <c r="AL93" s="413"/>
      <c r="AM93" s="413"/>
      <c r="AN93" s="413"/>
      <c r="AO93" s="413"/>
      <c r="AP93" s="413"/>
      <c r="AQ93" s="413"/>
      <c r="AR93" s="413"/>
      <c r="AS93" s="413"/>
      <c r="AT93" s="413"/>
      <c r="AU93" s="413"/>
      <c r="AV93" s="413"/>
      <c r="AW93" s="413"/>
      <c r="AX93" s="413"/>
      <c r="AY93" s="413"/>
      <c r="AZ93" s="413"/>
      <c r="BA93" s="413"/>
      <c r="BB93" s="413"/>
      <c r="BC93" s="413"/>
      <c r="BD93" s="413"/>
      <c r="BE93" s="413"/>
      <c r="BF93" s="413"/>
      <c r="BG93" s="413"/>
      <c r="BH93" s="413"/>
      <c r="BI93" s="413"/>
      <c r="BJ93" s="413"/>
      <c r="BK93" s="413"/>
      <c r="BL93" s="413"/>
      <c r="BM93" s="413"/>
      <c r="BN93" s="413"/>
      <c r="BO93" s="413"/>
      <c r="BP93" s="413"/>
      <c r="BQ93" s="413"/>
      <c r="BR93" s="413"/>
      <c r="BS93" s="413"/>
      <c r="BT93" s="413"/>
      <c r="BU93" s="413"/>
      <c r="BV93" s="413"/>
      <c r="BW93" s="413"/>
      <c r="BX93" s="410"/>
      <c r="BY93" s="14"/>
      <c r="BZ93" s="14"/>
      <c r="CA93" s="14"/>
      <c r="CB93" s="14"/>
      <c r="CC93" s="14"/>
      <c r="CD93" s="14"/>
      <c r="CE93" s="14"/>
      <c r="CF93" s="14"/>
      <c r="CG93" s="14"/>
      <c r="CH93" s="14"/>
      <c r="CI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475"/>
    </row>
    <row r="94" spans="1:118" ht="20.100000000000001" customHeight="1" x14ac:dyDescent="0.25">
      <c r="A94" s="126"/>
      <c r="B94" s="129" t="s">
        <v>113</v>
      </c>
      <c r="C94" s="129"/>
      <c r="D94" s="129"/>
      <c r="E94" s="130"/>
      <c r="F94" s="546" t="s">
        <v>179</v>
      </c>
      <c r="G94" s="547"/>
      <c r="H94" s="547"/>
      <c r="I94" s="547"/>
      <c r="J94" s="547"/>
      <c r="K94" s="547"/>
      <c r="L94" s="27">
        <f>IF(F94="Escribe un Jugador",0,IF(F94="",0,1))</f>
        <v>0</v>
      </c>
      <c r="M94" s="73"/>
      <c r="N94" s="554"/>
      <c r="O94" s="555"/>
      <c r="P94" s="555"/>
      <c r="Q94" s="555"/>
      <c r="R94" s="555"/>
      <c r="S94" s="555"/>
      <c r="T94" s="555"/>
      <c r="U94" s="555"/>
      <c r="V94" s="555"/>
      <c r="W94" s="555"/>
      <c r="X94" s="556"/>
      <c r="Y94" s="90"/>
      <c r="Z94" s="90"/>
      <c r="AA94" s="31"/>
      <c r="AB94" s="31"/>
      <c r="AC94" s="413"/>
      <c r="AD94" s="413"/>
      <c r="AE94" s="413"/>
      <c r="AF94" s="413"/>
      <c r="AG94" s="413"/>
      <c r="AH94" s="413"/>
      <c r="AI94" s="413"/>
      <c r="AJ94" s="413"/>
      <c r="AK94" s="413"/>
      <c r="AL94" s="413"/>
      <c r="AM94" s="413"/>
      <c r="AN94" s="413"/>
      <c r="AO94" s="413"/>
      <c r="AP94" s="413"/>
      <c r="AQ94" s="413"/>
      <c r="AR94" s="413"/>
      <c r="AS94" s="413"/>
      <c r="AT94" s="413"/>
      <c r="AU94" s="413"/>
      <c r="AV94" s="413"/>
      <c r="AW94" s="413"/>
      <c r="AX94" s="413"/>
      <c r="AY94" s="413"/>
      <c r="AZ94" s="413"/>
      <c r="BA94" s="413"/>
      <c r="BB94" s="413"/>
      <c r="BC94" s="413"/>
      <c r="BD94" s="413"/>
      <c r="BE94" s="413"/>
      <c r="BF94" s="413"/>
      <c r="BG94" s="413"/>
      <c r="BH94" s="413"/>
      <c r="BI94" s="413"/>
      <c r="BJ94" s="413"/>
      <c r="BK94" s="413"/>
      <c r="BL94" s="413"/>
      <c r="BM94" s="413"/>
      <c r="BN94" s="413"/>
      <c r="BO94" s="413"/>
      <c r="BP94" s="413"/>
      <c r="BQ94" s="413"/>
      <c r="BR94" s="413"/>
      <c r="BS94" s="413"/>
      <c r="BT94" s="413"/>
      <c r="BU94" s="413"/>
      <c r="BV94" s="413"/>
      <c r="BW94" s="413"/>
      <c r="BX94" s="410"/>
      <c r="BY94" s="14"/>
      <c r="BZ94" s="14"/>
      <c r="CA94" s="14"/>
      <c r="CB94" s="14"/>
      <c r="CC94" s="14"/>
      <c r="CD94" s="14"/>
      <c r="CE94" s="14"/>
      <c r="CF94" s="14"/>
      <c r="CG94" s="14"/>
      <c r="CH94" s="14"/>
      <c r="CI94" s="14"/>
      <c r="CJ94" s="14"/>
      <c r="CK94" s="14"/>
      <c r="CL94" s="14"/>
      <c r="CM94" s="14"/>
      <c r="CN94" s="14"/>
      <c r="CO94" s="14"/>
      <c r="CP94" s="14"/>
      <c r="CQ94" s="14"/>
      <c r="CR94" s="14"/>
      <c r="CS94" s="14"/>
      <c r="CT94" s="14"/>
      <c r="CU94" s="14"/>
      <c r="CV94" s="14"/>
      <c r="CW94" s="14"/>
      <c r="CX94" s="14"/>
      <c r="CY94" s="14"/>
      <c r="CZ94" s="14"/>
      <c r="DA94" s="14"/>
      <c r="DB94" s="14"/>
      <c r="DC94" s="14"/>
      <c r="DD94" s="14"/>
      <c r="DE94" s="14"/>
      <c r="DF94" s="14"/>
      <c r="DG94" s="14"/>
      <c r="DH94" s="14"/>
      <c r="DI94" s="14"/>
      <c r="DJ94" s="14"/>
      <c r="DK94" s="14"/>
      <c r="DL94" s="14"/>
      <c r="DM94" s="14"/>
      <c r="DN94" s="475"/>
    </row>
    <row r="95" spans="1:118" ht="20.100000000000001" customHeight="1" thickBot="1" x14ac:dyDescent="0.3">
      <c r="A95" s="126"/>
      <c r="B95" s="129" t="s">
        <v>114</v>
      </c>
      <c r="C95" s="129"/>
      <c r="D95" s="129"/>
      <c r="E95" s="130"/>
      <c r="F95" s="546" t="s">
        <v>179</v>
      </c>
      <c r="G95" s="547"/>
      <c r="H95" s="547"/>
      <c r="I95" s="547"/>
      <c r="J95" s="547"/>
      <c r="K95" s="547"/>
      <c r="L95" s="27">
        <f>IF(F95="Escribe un Jugador",0,IF(F95="",0,1))</f>
        <v>0</v>
      </c>
      <c r="M95" s="73"/>
      <c r="N95" s="557"/>
      <c r="O95" s="558"/>
      <c r="P95" s="558"/>
      <c r="Q95" s="558"/>
      <c r="R95" s="558"/>
      <c r="S95" s="558"/>
      <c r="T95" s="558"/>
      <c r="U95" s="558"/>
      <c r="V95" s="558"/>
      <c r="W95" s="558"/>
      <c r="X95" s="559"/>
      <c r="Y95" s="90"/>
      <c r="Z95" s="90"/>
      <c r="AA95" s="31"/>
      <c r="AB95" s="31"/>
      <c r="AC95" s="413"/>
      <c r="AD95" s="413"/>
      <c r="AE95" s="413"/>
      <c r="AF95" s="413"/>
      <c r="AG95" s="413"/>
      <c r="AH95" s="413"/>
      <c r="AI95" s="413"/>
      <c r="AJ95" s="413"/>
      <c r="AK95" s="413"/>
      <c r="AL95" s="413"/>
      <c r="AM95" s="413"/>
      <c r="AN95" s="413"/>
      <c r="AO95" s="413"/>
      <c r="AP95" s="413"/>
      <c r="AQ95" s="413"/>
      <c r="AR95" s="413"/>
      <c r="AS95" s="413"/>
      <c r="AT95" s="413"/>
      <c r="AU95" s="413"/>
      <c r="AV95" s="413"/>
      <c r="AW95" s="413"/>
      <c r="AX95" s="413"/>
      <c r="AY95" s="413"/>
      <c r="AZ95" s="413"/>
      <c r="BA95" s="413"/>
      <c r="BB95" s="413"/>
      <c r="BC95" s="413"/>
      <c r="BD95" s="413"/>
      <c r="BE95" s="413"/>
      <c r="BF95" s="413"/>
      <c r="BG95" s="413"/>
      <c r="BH95" s="413"/>
      <c r="BI95" s="413"/>
      <c r="BJ95" s="413"/>
      <c r="BK95" s="413"/>
      <c r="BL95" s="413"/>
      <c r="BM95" s="413"/>
      <c r="BN95" s="413"/>
      <c r="BO95" s="413"/>
      <c r="BP95" s="413"/>
      <c r="BQ95" s="413"/>
      <c r="BR95" s="413"/>
      <c r="BS95" s="413"/>
      <c r="BT95" s="413"/>
      <c r="BU95" s="413"/>
      <c r="BV95" s="413"/>
      <c r="BW95" s="413"/>
      <c r="BX95" s="410"/>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475"/>
    </row>
    <row r="96" spans="1:118" ht="6.95" customHeight="1" x14ac:dyDescent="0.25">
      <c r="A96" s="126"/>
      <c r="B96" s="132"/>
      <c r="C96" s="132"/>
      <c r="D96" s="132"/>
      <c r="E96" s="132"/>
      <c r="F96" s="390"/>
      <c r="G96" s="390"/>
      <c r="H96" s="390"/>
      <c r="I96" s="390"/>
      <c r="J96" s="390"/>
      <c r="K96" s="390"/>
      <c r="L96" s="391"/>
      <c r="M96" s="392"/>
      <c r="N96" s="10"/>
      <c r="O96" s="10"/>
      <c r="P96" s="10"/>
      <c r="Q96" s="10"/>
      <c r="R96" s="10"/>
      <c r="S96" s="10"/>
      <c r="T96" s="10"/>
      <c r="U96" s="10"/>
      <c r="V96" s="10"/>
      <c r="W96" s="10"/>
      <c r="X96" s="10"/>
      <c r="Y96" s="11"/>
      <c r="Z96" s="10"/>
      <c r="AA96" s="31"/>
      <c r="AB96" s="31"/>
      <c r="AC96" s="413"/>
      <c r="AD96" s="413"/>
      <c r="AE96" s="413"/>
      <c r="AF96" s="413"/>
      <c r="AG96" s="413"/>
      <c r="AH96" s="413"/>
      <c r="AI96" s="413"/>
      <c r="AJ96" s="413"/>
      <c r="AK96" s="413"/>
      <c r="AL96" s="413"/>
      <c r="AM96" s="413"/>
      <c r="AN96" s="413"/>
      <c r="AO96" s="413"/>
      <c r="AP96" s="413"/>
      <c r="AQ96" s="413"/>
      <c r="AR96" s="413"/>
      <c r="AS96" s="413"/>
      <c r="AT96" s="413"/>
      <c r="AU96" s="413"/>
      <c r="AV96" s="413"/>
      <c r="AW96" s="413"/>
      <c r="AX96" s="413"/>
      <c r="AY96" s="413"/>
      <c r="AZ96" s="413"/>
      <c r="BA96" s="413"/>
      <c r="BB96" s="413"/>
      <c r="BC96" s="413"/>
      <c r="BD96" s="413"/>
      <c r="BE96" s="413"/>
      <c r="BF96" s="413"/>
      <c r="BG96" s="413"/>
      <c r="BH96" s="413"/>
      <c r="BI96" s="413"/>
      <c r="BJ96" s="413"/>
      <c r="BK96" s="413"/>
      <c r="BL96" s="413"/>
      <c r="BM96" s="413"/>
      <c r="BN96" s="413"/>
      <c r="BO96" s="413"/>
      <c r="BP96" s="413"/>
      <c r="BQ96" s="413"/>
      <c r="BR96" s="413"/>
      <c r="BS96" s="413"/>
      <c r="BT96" s="413"/>
      <c r="BU96" s="413"/>
      <c r="BV96" s="413"/>
      <c r="BW96" s="413"/>
      <c r="BX96" s="410"/>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475"/>
    </row>
    <row r="97" spans="1:118" ht="20.100000000000001" customHeight="1" x14ac:dyDescent="0.25">
      <c r="A97" s="126"/>
      <c r="B97" s="127" t="s">
        <v>116</v>
      </c>
      <c r="C97" s="127"/>
      <c r="D97" s="127"/>
      <c r="E97" s="128"/>
      <c r="F97" s="544" t="s">
        <v>179</v>
      </c>
      <c r="G97" s="545"/>
      <c r="H97" s="545"/>
      <c r="I97" s="545"/>
      <c r="J97" s="545"/>
      <c r="K97" s="545"/>
      <c r="L97" s="27">
        <f>IF(F97="Escribe un Jugador",0,IF(F97="",0,1))</f>
        <v>0</v>
      </c>
      <c r="M97" s="34"/>
      <c r="N97" s="10"/>
      <c r="O97" s="10"/>
      <c r="P97" s="10"/>
      <c r="Q97" s="10"/>
      <c r="R97" s="10"/>
      <c r="S97" s="10"/>
      <c r="T97" s="10"/>
      <c r="U97" s="10"/>
      <c r="V97" s="10"/>
      <c r="W97" s="10"/>
      <c r="X97" s="10"/>
      <c r="Y97" s="11"/>
      <c r="Z97" s="10"/>
      <c r="AA97" s="31"/>
      <c r="AB97" s="31"/>
      <c r="AC97" s="413"/>
      <c r="AD97" s="413"/>
      <c r="AE97" s="413"/>
      <c r="AF97" s="413"/>
      <c r="AG97" s="413"/>
      <c r="AH97" s="413"/>
      <c r="AI97" s="413"/>
      <c r="AJ97" s="413"/>
      <c r="AK97" s="413"/>
      <c r="AL97" s="413"/>
      <c r="AM97" s="413"/>
      <c r="AN97" s="413"/>
      <c r="AO97" s="413"/>
      <c r="AP97" s="413"/>
      <c r="AQ97" s="413"/>
      <c r="AR97" s="413"/>
      <c r="AS97" s="413"/>
      <c r="AT97" s="413"/>
      <c r="AU97" s="413"/>
      <c r="AV97" s="413"/>
      <c r="AW97" s="413"/>
      <c r="AX97" s="413"/>
      <c r="AY97" s="413"/>
      <c r="AZ97" s="413"/>
      <c r="BA97" s="413"/>
      <c r="BB97" s="413"/>
      <c r="BC97" s="413"/>
      <c r="BD97" s="413"/>
      <c r="BE97" s="413"/>
      <c r="BF97" s="413"/>
      <c r="BG97" s="413"/>
      <c r="BH97" s="413"/>
      <c r="BI97" s="413"/>
      <c r="BJ97" s="413"/>
      <c r="BK97" s="413"/>
      <c r="BL97" s="413"/>
      <c r="BM97" s="413"/>
      <c r="BN97" s="413"/>
      <c r="BO97" s="413"/>
      <c r="BP97" s="413"/>
      <c r="BQ97" s="413"/>
      <c r="BR97" s="413"/>
      <c r="BS97" s="413"/>
      <c r="BT97" s="413"/>
      <c r="BU97" s="413"/>
      <c r="BV97" s="413"/>
      <c r="BW97" s="413"/>
      <c r="BX97" s="410"/>
      <c r="BY97" s="14"/>
      <c r="BZ97" s="14"/>
      <c r="CA97" s="14"/>
      <c r="CB97" s="14"/>
      <c r="CC97" s="14"/>
      <c r="CD97" s="14"/>
      <c r="CE97" s="14"/>
      <c r="CF97" s="14"/>
      <c r="CG97" s="14"/>
      <c r="CH97" s="14"/>
      <c r="CI97" s="14"/>
      <c r="CJ97" s="14"/>
      <c r="CK97" s="14"/>
      <c r="CL97" s="14"/>
      <c r="CM97" s="14"/>
      <c r="CN97" s="14"/>
      <c r="CO97" s="14"/>
      <c r="CP97" s="14"/>
      <c r="CQ97" s="14"/>
      <c r="CR97" s="14"/>
      <c r="CS97" s="14"/>
      <c r="CT97" s="14"/>
      <c r="CU97" s="14"/>
      <c r="CV97" s="14"/>
      <c r="CW97" s="14"/>
      <c r="CX97" s="14"/>
      <c r="CY97" s="14"/>
      <c r="CZ97" s="14"/>
      <c r="DA97" s="14"/>
      <c r="DB97" s="14"/>
      <c r="DC97" s="14"/>
      <c r="DD97" s="14"/>
      <c r="DE97" s="14"/>
      <c r="DF97" s="14"/>
      <c r="DG97" s="14"/>
      <c r="DH97" s="14"/>
      <c r="DI97" s="14"/>
      <c r="DJ97" s="14"/>
      <c r="DK97" s="14"/>
      <c r="DL97" s="14"/>
      <c r="DM97" s="14"/>
      <c r="DN97" s="475"/>
    </row>
    <row r="98" spans="1:118" ht="20.100000000000001" customHeight="1" x14ac:dyDescent="0.25">
      <c r="A98" s="126"/>
      <c r="B98" s="129" t="s">
        <v>117</v>
      </c>
      <c r="C98" s="129"/>
      <c r="D98" s="129"/>
      <c r="E98" s="130"/>
      <c r="F98" s="546" t="s">
        <v>179</v>
      </c>
      <c r="G98" s="547"/>
      <c r="H98" s="547"/>
      <c r="I98" s="547"/>
      <c r="J98" s="547"/>
      <c r="K98" s="547"/>
      <c r="L98" s="27">
        <f t="shared" ref="L98:L99" si="153">IF(F98="Escribe un Jugador",0,IF(F98="",0,1))</f>
        <v>0</v>
      </c>
      <c r="M98" s="34"/>
      <c r="N98" s="10"/>
      <c r="O98" s="10"/>
      <c r="P98" s="10"/>
      <c r="Q98" s="10"/>
      <c r="R98" s="10"/>
      <c r="S98" s="10"/>
      <c r="T98" s="10"/>
      <c r="U98" s="10"/>
      <c r="V98" s="10"/>
      <c r="W98" s="10"/>
      <c r="X98" s="10"/>
      <c r="Y98" s="11"/>
      <c r="Z98" s="10"/>
      <c r="AA98" s="31"/>
      <c r="AB98" s="31"/>
      <c r="AC98" s="413"/>
      <c r="AD98" s="413"/>
      <c r="AE98" s="413"/>
      <c r="AF98" s="413"/>
      <c r="AG98" s="413"/>
      <c r="AH98" s="413"/>
      <c r="AI98" s="413"/>
      <c r="AJ98" s="413"/>
      <c r="AK98" s="413"/>
      <c r="AL98" s="413"/>
      <c r="AM98" s="413"/>
      <c r="AN98" s="413"/>
      <c r="AO98" s="413"/>
      <c r="AP98" s="413"/>
      <c r="AQ98" s="413"/>
      <c r="AR98" s="413"/>
      <c r="AS98" s="413"/>
      <c r="AT98" s="413"/>
      <c r="AU98" s="413"/>
      <c r="AV98" s="413"/>
      <c r="AW98" s="413"/>
      <c r="AX98" s="413"/>
      <c r="AY98" s="413"/>
      <c r="AZ98" s="413"/>
      <c r="BA98" s="413"/>
      <c r="BB98" s="413"/>
      <c r="BC98" s="413"/>
      <c r="BD98" s="413"/>
      <c r="BE98" s="413"/>
      <c r="BF98" s="413"/>
      <c r="BG98" s="413"/>
      <c r="BH98" s="413"/>
      <c r="BI98" s="413"/>
      <c r="BJ98" s="413"/>
      <c r="BK98" s="413"/>
      <c r="BL98" s="413"/>
      <c r="BM98" s="413"/>
      <c r="BN98" s="413"/>
      <c r="BO98" s="413"/>
      <c r="BP98" s="413"/>
      <c r="BQ98" s="413"/>
      <c r="BR98" s="413"/>
      <c r="BS98" s="413"/>
      <c r="BT98" s="413"/>
      <c r="BU98" s="413"/>
      <c r="BV98" s="413"/>
      <c r="BW98" s="413"/>
      <c r="BX98" s="410"/>
      <c r="BY98" s="14"/>
      <c r="BZ98" s="14"/>
      <c r="CA98" s="14"/>
      <c r="CB98" s="14"/>
      <c r="CC98" s="14"/>
      <c r="CD98" s="14"/>
      <c r="CE98" s="14"/>
      <c r="CF98" s="14"/>
      <c r="CG98" s="14"/>
      <c r="CH98" s="14"/>
      <c r="CI98" s="14"/>
      <c r="CJ98" s="14"/>
      <c r="CK98" s="14"/>
      <c r="CL98" s="14"/>
      <c r="CM98" s="14"/>
      <c r="CN98" s="14"/>
      <c r="CO98" s="14"/>
      <c r="CP98" s="14"/>
      <c r="CQ98" s="14"/>
      <c r="CR98" s="14"/>
      <c r="CS98" s="14"/>
      <c r="CT98" s="14"/>
      <c r="CU98" s="14"/>
      <c r="CV98" s="14"/>
      <c r="CW98" s="14"/>
      <c r="CX98" s="14"/>
      <c r="CY98" s="14"/>
      <c r="CZ98" s="14"/>
      <c r="DA98" s="14"/>
      <c r="DB98" s="14"/>
      <c r="DC98" s="14"/>
      <c r="DD98" s="14"/>
      <c r="DE98" s="14"/>
      <c r="DF98" s="14"/>
      <c r="DG98" s="14"/>
      <c r="DH98" s="14"/>
      <c r="DI98" s="14"/>
      <c r="DJ98" s="14"/>
      <c r="DK98" s="14"/>
      <c r="DL98" s="14"/>
      <c r="DM98" s="14"/>
      <c r="DN98" s="475"/>
    </row>
    <row r="99" spans="1:118" ht="20.100000000000001" customHeight="1" x14ac:dyDescent="0.25">
      <c r="A99" s="126"/>
      <c r="B99" s="129" t="s">
        <v>118</v>
      </c>
      <c r="C99" s="129"/>
      <c r="D99" s="129"/>
      <c r="E99" s="130"/>
      <c r="F99" s="546" t="s">
        <v>179</v>
      </c>
      <c r="G99" s="547"/>
      <c r="H99" s="547"/>
      <c r="I99" s="547"/>
      <c r="J99" s="547"/>
      <c r="K99" s="547"/>
      <c r="L99" s="27">
        <f t="shared" si="153"/>
        <v>0</v>
      </c>
      <c r="M99" s="34"/>
      <c r="N99" s="10"/>
      <c r="O99" s="10"/>
      <c r="P99" s="10"/>
      <c r="Q99" s="10"/>
      <c r="R99" s="10"/>
      <c r="S99" s="10"/>
      <c r="T99" s="10"/>
      <c r="U99" s="10"/>
      <c r="V99" s="10"/>
      <c r="W99" s="10"/>
      <c r="X99" s="10"/>
      <c r="Y99" s="11"/>
      <c r="Z99" s="10"/>
      <c r="AA99" s="31"/>
      <c r="AB99" s="31"/>
      <c r="AC99" s="413"/>
      <c r="AD99" s="413"/>
      <c r="AE99" s="413"/>
      <c r="AF99" s="413"/>
      <c r="AG99" s="413"/>
      <c r="AH99" s="413"/>
      <c r="AI99" s="413"/>
      <c r="AJ99" s="413"/>
      <c r="AK99" s="413"/>
      <c r="AL99" s="413"/>
      <c r="AM99" s="413"/>
      <c r="AN99" s="413"/>
      <c r="AO99" s="413"/>
      <c r="AP99" s="413"/>
      <c r="AQ99" s="413"/>
      <c r="AR99" s="413"/>
      <c r="AS99" s="413"/>
      <c r="AT99" s="413"/>
      <c r="AU99" s="413"/>
      <c r="AV99" s="413"/>
      <c r="AW99" s="413"/>
      <c r="AX99" s="413"/>
      <c r="AY99" s="413"/>
      <c r="AZ99" s="413"/>
      <c r="BA99" s="413"/>
      <c r="BB99" s="413"/>
      <c r="BC99" s="413"/>
      <c r="BD99" s="413"/>
      <c r="BE99" s="413"/>
      <c r="BF99" s="413"/>
      <c r="BG99" s="413"/>
      <c r="BH99" s="413"/>
      <c r="BI99" s="413"/>
      <c r="BJ99" s="413"/>
      <c r="BK99" s="413"/>
      <c r="BL99" s="413"/>
      <c r="BM99" s="413"/>
      <c r="BN99" s="413"/>
      <c r="BO99" s="413"/>
      <c r="BP99" s="413"/>
      <c r="BQ99" s="413"/>
      <c r="BR99" s="413"/>
      <c r="BS99" s="413"/>
      <c r="BT99" s="413"/>
      <c r="BU99" s="413"/>
      <c r="BV99" s="413"/>
      <c r="BW99" s="413"/>
      <c r="BX99" s="410"/>
      <c r="BY99" s="14"/>
      <c r="BZ99" s="14"/>
      <c r="CA99" s="14"/>
      <c r="CB99" s="14"/>
      <c r="CC99" s="14"/>
      <c r="CD99" s="14"/>
      <c r="CE99" s="14"/>
      <c r="CF99" s="14"/>
      <c r="CG99" s="14"/>
      <c r="CH99" s="14"/>
      <c r="CI99" s="14"/>
      <c r="CJ99" s="14"/>
      <c r="CK99" s="14"/>
      <c r="CL99" s="14"/>
      <c r="CM99" s="14"/>
      <c r="CN99" s="14"/>
      <c r="CO99" s="14"/>
      <c r="CP99" s="14"/>
      <c r="CQ99" s="14"/>
      <c r="CR99" s="14"/>
      <c r="CS99" s="14"/>
      <c r="CT99" s="14"/>
      <c r="CU99" s="14"/>
      <c r="CV99" s="14"/>
      <c r="CW99" s="14"/>
      <c r="CX99" s="14"/>
      <c r="CY99" s="14"/>
      <c r="CZ99" s="14"/>
      <c r="DA99" s="14"/>
      <c r="DB99" s="14"/>
      <c r="DC99" s="14"/>
      <c r="DD99" s="14"/>
      <c r="DE99" s="14"/>
      <c r="DF99" s="14"/>
      <c r="DG99" s="14"/>
      <c r="DH99" s="14"/>
      <c r="DI99" s="14"/>
      <c r="DJ99" s="14"/>
      <c r="DK99" s="14"/>
      <c r="DL99" s="14"/>
      <c r="DM99" s="14"/>
      <c r="DN99" s="475"/>
    </row>
    <row r="100" spans="1:118" ht="6.95" customHeight="1" x14ac:dyDescent="0.25">
      <c r="A100" s="126"/>
      <c r="B100" s="133"/>
      <c r="C100" s="133"/>
      <c r="D100" s="133"/>
      <c r="E100" s="133"/>
      <c r="F100" s="133"/>
      <c r="G100" s="133"/>
      <c r="H100" s="133"/>
      <c r="I100" s="133"/>
      <c r="J100" s="133"/>
      <c r="K100" s="133"/>
      <c r="L100" s="391"/>
      <c r="M100" s="393"/>
      <c r="N100" s="10"/>
      <c r="O100" s="10"/>
      <c r="P100" s="10"/>
      <c r="Q100" s="10"/>
      <c r="R100" s="10"/>
      <c r="S100" s="10"/>
      <c r="T100" s="10"/>
      <c r="U100" s="10"/>
      <c r="V100" s="10"/>
      <c r="W100" s="10"/>
      <c r="X100" s="10"/>
      <c r="Y100" s="11"/>
      <c r="Z100" s="10"/>
      <c r="AA100" s="31"/>
      <c r="AB100" s="31"/>
      <c r="AC100" s="413"/>
      <c r="AD100" s="413"/>
      <c r="AE100" s="413"/>
      <c r="AF100" s="413"/>
      <c r="AG100" s="413"/>
      <c r="AH100" s="413"/>
      <c r="AI100" s="413"/>
      <c r="AJ100" s="413"/>
      <c r="AK100" s="413"/>
      <c r="AL100" s="413"/>
      <c r="AM100" s="413"/>
      <c r="AN100" s="413"/>
      <c r="AO100" s="413"/>
      <c r="AP100" s="413"/>
      <c r="AQ100" s="413"/>
      <c r="AR100" s="413"/>
      <c r="AS100" s="413"/>
      <c r="AT100" s="413"/>
      <c r="AU100" s="413"/>
      <c r="AV100" s="413"/>
      <c r="AW100" s="413"/>
      <c r="AX100" s="413"/>
      <c r="AY100" s="413"/>
      <c r="AZ100" s="413"/>
      <c r="BA100" s="413"/>
      <c r="BB100" s="413"/>
      <c r="BC100" s="413"/>
      <c r="BD100" s="413"/>
      <c r="BE100" s="413"/>
      <c r="BF100" s="413"/>
      <c r="BG100" s="413"/>
      <c r="BH100" s="413"/>
      <c r="BI100" s="413"/>
      <c r="BJ100" s="413"/>
      <c r="BK100" s="413"/>
      <c r="BL100" s="413"/>
      <c r="BM100" s="413"/>
      <c r="BN100" s="413"/>
      <c r="BO100" s="413"/>
      <c r="BP100" s="413"/>
      <c r="BQ100" s="413"/>
      <c r="BR100" s="413"/>
      <c r="BS100" s="413"/>
      <c r="BT100" s="413"/>
      <c r="BU100" s="413"/>
      <c r="BV100" s="413"/>
      <c r="BW100" s="413"/>
      <c r="BX100" s="410"/>
      <c r="BY100" s="14"/>
      <c r="BZ100" s="14"/>
      <c r="CA100" s="14"/>
      <c r="CB100" s="14"/>
      <c r="CC100" s="14"/>
      <c r="CD100" s="14"/>
      <c r="CE100" s="14"/>
      <c r="CF100" s="14"/>
      <c r="CG100" s="14"/>
      <c r="CH100" s="14"/>
      <c r="CI100" s="14"/>
      <c r="CJ100" s="14"/>
      <c r="CK100" s="14"/>
      <c r="CL100" s="14"/>
      <c r="CM100" s="14"/>
      <c r="CN100" s="14"/>
      <c r="CO100" s="14"/>
      <c r="CP100" s="14"/>
      <c r="CQ100" s="14"/>
      <c r="CR100" s="14"/>
      <c r="CS100" s="14"/>
      <c r="CT100" s="14"/>
      <c r="CU100" s="14"/>
      <c r="CV100" s="14"/>
      <c r="CW100" s="14"/>
      <c r="CX100" s="14"/>
      <c r="CY100" s="14"/>
      <c r="CZ100" s="14"/>
      <c r="DA100" s="14"/>
      <c r="DB100" s="14"/>
      <c r="DC100" s="14"/>
      <c r="DD100" s="14"/>
      <c r="DE100" s="14"/>
      <c r="DF100" s="14"/>
      <c r="DG100" s="14"/>
      <c r="DH100" s="14"/>
      <c r="DI100" s="14"/>
      <c r="DJ100" s="14"/>
      <c r="DK100" s="14"/>
      <c r="DL100" s="14"/>
      <c r="DM100" s="14"/>
      <c r="DN100" s="475"/>
    </row>
    <row r="101" spans="1:118" ht="24.75" customHeight="1" x14ac:dyDescent="0.25">
      <c r="A101" s="126"/>
      <c r="B101" s="134" t="s">
        <v>93</v>
      </c>
      <c r="C101" s="135"/>
      <c r="D101" s="135"/>
      <c r="E101" s="136"/>
      <c r="F101" s="535" t="s">
        <v>220</v>
      </c>
      <c r="G101" s="536"/>
      <c r="H101" s="536"/>
      <c r="I101" s="536"/>
      <c r="J101" s="536"/>
      <c r="K101" s="536"/>
      <c r="L101" s="27">
        <f>IF(F101="Escribe tu nombre",0,IF(F101="",0,1))</f>
        <v>0</v>
      </c>
      <c r="M101" s="34"/>
      <c r="N101" s="10"/>
      <c r="O101" s="10"/>
      <c r="P101" s="10"/>
      <c r="Q101" s="400"/>
      <c r="R101" s="10"/>
      <c r="S101" s="10"/>
      <c r="T101" s="10"/>
      <c r="U101" s="10"/>
      <c r="V101" s="10"/>
      <c r="W101" s="10"/>
      <c r="X101" s="10"/>
      <c r="Y101" s="11"/>
      <c r="Z101" s="10"/>
      <c r="AA101" s="31"/>
      <c r="AB101" s="31"/>
      <c r="AC101" s="413"/>
      <c r="AD101" s="413"/>
      <c r="AE101" s="413"/>
      <c r="AF101" s="413"/>
      <c r="AG101" s="413"/>
      <c r="AH101" s="413"/>
      <c r="AI101" s="413"/>
      <c r="AJ101" s="413"/>
      <c r="AK101" s="413"/>
      <c r="AL101" s="413"/>
      <c r="AM101" s="413"/>
      <c r="AN101" s="413"/>
      <c r="AO101" s="413"/>
      <c r="AP101" s="413"/>
      <c r="AQ101" s="413"/>
      <c r="AR101" s="413"/>
      <c r="AS101" s="413"/>
      <c r="AT101" s="413"/>
      <c r="AU101" s="413"/>
      <c r="AV101" s="413"/>
      <c r="AW101" s="413"/>
      <c r="AX101" s="413"/>
      <c r="AY101" s="413"/>
      <c r="AZ101" s="413"/>
      <c r="BA101" s="413"/>
      <c r="BB101" s="413"/>
      <c r="BC101" s="413"/>
      <c r="BD101" s="413"/>
      <c r="BE101" s="413"/>
      <c r="BF101" s="413"/>
      <c r="BG101" s="413"/>
      <c r="BH101" s="413"/>
      <c r="BI101" s="413"/>
      <c r="BJ101" s="413"/>
      <c r="BK101" s="413"/>
      <c r="BL101" s="413"/>
      <c r="BM101" s="413"/>
      <c r="BN101" s="413"/>
      <c r="BO101" s="413"/>
      <c r="BP101" s="413"/>
      <c r="BQ101" s="413"/>
      <c r="BR101" s="413"/>
      <c r="BS101" s="413"/>
      <c r="BT101" s="413"/>
      <c r="BU101" s="413"/>
      <c r="BV101" s="413"/>
      <c r="BW101" s="413"/>
      <c r="BX101" s="410"/>
      <c r="BY101" s="14"/>
      <c r="BZ101" s="14"/>
      <c r="CA101" s="14"/>
      <c r="CB101" s="14"/>
      <c r="CC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CZ101" s="14"/>
      <c r="DA101" s="14"/>
      <c r="DB101" s="14"/>
      <c r="DC101" s="14"/>
      <c r="DD101" s="14"/>
      <c r="DE101" s="14"/>
      <c r="DF101" s="14"/>
      <c r="DG101" s="14"/>
      <c r="DH101" s="14"/>
      <c r="DI101" s="14"/>
      <c r="DJ101" s="14"/>
      <c r="DK101" s="14"/>
      <c r="DL101" s="14"/>
      <c r="DM101" s="14"/>
      <c r="DN101" s="475"/>
    </row>
    <row r="102" spans="1:118" x14ac:dyDescent="0.25">
      <c r="A102" s="15"/>
      <c r="B102" s="10"/>
      <c r="C102" s="10"/>
      <c r="D102" s="10"/>
      <c r="E102" s="13"/>
      <c r="F102" s="10"/>
      <c r="G102" s="10"/>
      <c r="H102" s="10"/>
      <c r="I102" s="10"/>
      <c r="J102" s="10"/>
      <c r="K102" s="10"/>
      <c r="L102" s="10"/>
      <c r="M102" s="10"/>
      <c r="N102" s="10"/>
      <c r="O102" s="10"/>
      <c r="P102" s="10"/>
      <c r="Q102" s="10"/>
      <c r="R102" s="10"/>
      <c r="S102" s="10"/>
      <c r="T102" s="10"/>
      <c r="U102" s="10"/>
      <c r="V102" s="10"/>
      <c r="W102" s="10"/>
      <c r="X102" s="12"/>
      <c r="Y102" s="404"/>
      <c r="Z102" s="12"/>
      <c r="AA102" s="12"/>
      <c r="AB102" s="12"/>
      <c r="AC102" s="474"/>
      <c r="AD102" s="463"/>
      <c r="AE102" s="463"/>
      <c r="AF102" s="463"/>
      <c r="AG102" s="463"/>
      <c r="AH102" s="463"/>
      <c r="AI102" s="463"/>
      <c r="AJ102" s="463"/>
      <c r="AK102" s="463"/>
      <c r="AL102" s="463"/>
      <c r="AM102" s="463"/>
      <c r="AN102" s="463"/>
      <c r="AO102" s="463"/>
      <c r="AP102" s="463"/>
      <c r="AQ102" s="463"/>
      <c r="AR102" s="463"/>
      <c r="AS102" s="463"/>
      <c r="AT102" s="463"/>
      <c r="AU102" s="463"/>
      <c r="AV102" s="463"/>
      <c r="AW102" s="463"/>
      <c r="AX102" s="463"/>
      <c r="AY102" s="463"/>
      <c r="AZ102" s="463"/>
      <c r="BA102" s="463"/>
      <c r="BB102" s="463"/>
      <c r="BC102" s="463"/>
      <c r="BD102" s="463"/>
      <c r="BE102" s="463"/>
      <c r="BF102" s="463"/>
      <c r="BG102" s="463"/>
      <c r="BH102" s="463"/>
      <c r="BI102" s="463"/>
      <c r="BJ102" s="463"/>
      <c r="BK102" s="463"/>
      <c r="BL102" s="463"/>
      <c r="BM102" s="463"/>
      <c r="BN102" s="463"/>
      <c r="BO102" s="463"/>
      <c r="BP102" s="463"/>
      <c r="BQ102" s="463"/>
      <c r="BR102" s="463"/>
      <c r="BS102" s="463"/>
      <c r="BT102" s="463"/>
      <c r="BU102" s="463"/>
      <c r="BV102" s="463"/>
      <c r="BW102" s="463"/>
      <c r="BX102" s="410"/>
      <c r="BY102" s="14"/>
      <c r="BZ102" s="14"/>
      <c r="CA102" s="14"/>
      <c r="CB102" s="14"/>
      <c r="CC102" s="14"/>
      <c r="CD102" s="14"/>
      <c r="CE102" s="14"/>
      <c r="CF102" s="14"/>
      <c r="CG102" s="14"/>
      <c r="CH102" s="14"/>
      <c r="CI102" s="14"/>
      <c r="CJ102" s="14"/>
      <c r="CK102" s="14"/>
      <c r="CL102" s="14"/>
      <c r="CM102" s="14"/>
      <c r="CN102" s="14"/>
      <c r="CO102" s="14"/>
      <c r="CP102" s="14"/>
      <c r="CQ102" s="14"/>
      <c r="CR102" s="14"/>
      <c r="CS102" s="14"/>
      <c r="CT102" s="14"/>
      <c r="CU102" s="14"/>
      <c r="CV102" s="14"/>
      <c r="CW102" s="14"/>
      <c r="CX102" s="14"/>
      <c r="CY102" s="14"/>
      <c r="CZ102" s="14"/>
      <c r="DA102" s="14"/>
      <c r="DB102" s="14"/>
      <c r="DC102" s="14"/>
      <c r="DD102" s="14"/>
      <c r="DE102" s="14"/>
      <c r="DF102" s="14"/>
      <c r="DG102" s="14"/>
      <c r="DH102" s="14"/>
      <c r="DI102" s="14"/>
      <c r="DJ102" s="14"/>
      <c r="DK102" s="14"/>
      <c r="DL102" s="14"/>
      <c r="DM102" s="14"/>
      <c r="DN102" s="475"/>
    </row>
    <row r="103" spans="1:118" hidden="1" x14ac:dyDescent="0.25"/>
    <row r="104" spans="1:118" hidden="1" x14ac:dyDescent="0.25"/>
    <row r="105" spans="1:118" hidden="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338"/>
      <c r="Z105" s="338"/>
      <c r="AA105" s="338"/>
      <c r="AB105" s="338"/>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row>
    <row r="106" spans="1:118" hidden="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338"/>
      <c r="Z106" s="338"/>
      <c r="AA106" s="338"/>
      <c r="AB106" s="338"/>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row>
    <row r="107" spans="1:118" hidden="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338"/>
      <c r="Z107" s="338"/>
      <c r="AA107" s="338"/>
      <c r="AB107" s="338"/>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row>
    <row r="108" spans="1:118" hidden="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338"/>
      <c r="Z108" s="338"/>
      <c r="AA108" s="338"/>
      <c r="AB108" s="338"/>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row>
  </sheetData>
  <sheetProtection password="C29E" sheet="1" objects="1" scenarios="1" selectLockedCells="1"/>
  <mergeCells count="49">
    <mergeCell ref="Y4:AA5"/>
    <mergeCell ref="Y11:AA12"/>
    <mergeCell ref="Y18:AA19"/>
    <mergeCell ref="Y53:AA54"/>
    <mergeCell ref="Y46:AA47"/>
    <mergeCell ref="Y39:AA40"/>
    <mergeCell ref="Y32:AA33"/>
    <mergeCell ref="Y25:AA26"/>
    <mergeCell ref="C61:W61"/>
    <mergeCell ref="B64:B71"/>
    <mergeCell ref="F89:K89"/>
    <mergeCell ref="F90:K90"/>
    <mergeCell ref="N93:X95"/>
    <mergeCell ref="N89:X92"/>
    <mergeCell ref="F101:K101"/>
    <mergeCell ref="B74:B77"/>
    <mergeCell ref="B80:B81"/>
    <mergeCell ref="F91:K91"/>
    <mergeCell ref="F93:K93"/>
    <mergeCell ref="F98:K98"/>
    <mergeCell ref="F97:K97"/>
    <mergeCell ref="F99:K99"/>
    <mergeCell ref="F94:K94"/>
    <mergeCell ref="F95:K95"/>
    <mergeCell ref="C60:W60"/>
    <mergeCell ref="B4:B9"/>
    <mergeCell ref="B11:B16"/>
    <mergeCell ref="B18:B23"/>
    <mergeCell ref="B25:B30"/>
    <mergeCell ref="B32:B37"/>
    <mergeCell ref="B39:B44"/>
    <mergeCell ref="B46:B51"/>
    <mergeCell ref="B53:B58"/>
    <mergeCell ref="BE46:BJ46"/>
    <mergeCell ref="BE53:BJ53"/>
    <mergeCell ref="BE4:BJ4"/>
    <mergeCell ref="AY11:BD11"/>
    <mergeCell ref="BE11:BJ11"/>
    <mergeCell ref="AY39:BD39"/>
    <mergeCell ref="BE39:BJ39"/>
    <mergeCell ref="AY18:BD18"/>
    <mergeCell ref="BE18:BJ18"/>
    <mergeCell ref="AY25:BD25"/>
    <mergeCell ref="BE25:BJ25"/>
    <mergeCell ref="AY32:BD32"/>
    <mergeCell ref="BE32:BJ32"/>
    <mergeCell ref="AY4:BD4"/>
    <mergeCell ref="AY46:BD46"/>
    <mergeCell ref="AY53:BD53"/>
  </mergeCells>
  <conditionalFormatting sqref="O6:V6">
    <cfRule type="expression" dxfId="104" priority="310">
      <formula>SUM($Q$6:$Q$9)=12</formula>
    </cfRule>
  </conditionalFormatting>
  <conditionalFormatting sqref="O13:V13">
    <cfRule type="expression" dxfId="103" priority="309">
      <formula>SUM($Q$13:$Q$16)=12</formula>
    </cfRule>
  </conditionalFormatting>
  <conditionalFormatting sqref="O21:V21">
    <cfRule type="expression" dxfId="102" priority="287">
      <formula>SUM($Q$20:$Q$23)=12</formula>
    </cfRule>
  </conditionalFormatting>
  <conditionalFormatting sqref="X6:X9 AA20:AB23 AA27:AB30 AA34:AB37 AA41:AB44 AA48:AB51 AA55:AB58 X13:X16 X20:X23 X27:X30 X34:X37 X41:X44 X48:X51 X55:X58">
    <cfRule type="iconSet" priority="243">
      <iconSet iconSet="3Symbols2" showValue="0">
        <cfvo type="percent" val="0"/>
        <cfvo type="num" val="0"/>
        <cfvo type="num" val="90"/>
      </iconSet>
    </cfRule>
  </conditionalFormatting>
  <conditionalFormatting sqref="L4:L9 L11:L16 L18:L23 L25:L30 L32:L37 L39:L44 L46:L51 L53:L58">
    <cfRule type="iconSet" priority="241">
      <iconSet iconSet="3Symbols2" showValue="0">
        <cfvo type="percent" val="0"/>
        <cfvo type="num" val="0.5"/>
        <cfvo type="num" val="1"/>
      </iconSet>
    </cfRule>
  </conditionalFormatting>
  <conditionalFormatting sqref="L80:L81">
    <cfRule type="iconSet" priority="236">
      <iconSet iconSet="3Symbols2" showValue="0">
        <cfvo type="percent" val="0"/>
        <cfvo type="num" val="0.5"/>
        <cfvo type="num" val="1"/>
      </iconSet>
    </cfRule>
  </conditionalFormatting>
  <conditionalFormatting sqref="L89">
    <cfRule type="iconSet" priority="232">
      <iconSet iconSet="3Symbols2" showValue="0">
        <cfvo type="percent" val="0"/>
        <cfvo type="num" val="0.5"/>
        <cfvo type="num" val="1"/>
      </iconSet>
    </cfRule>
  </conditionalFormatting>
  <conditionalFormatting sqref="N69:W71">
    <cfRule type="expression" dxfId="101" priority="230">
      <formula>$N$69&gt;0</formula>
    </cfRule>
  </conditionalFormatting>
  <conditionalFormatting sqref="H18:I23">
    <cfRule type="expression" dxfId="100" priority="226">
      <formula>H18=""</formula>
    </cfRule>
  </conditionalFormatting>
  <conditionalFormatting sqref="H74:I77">
    <cfRule type="expression" dxfId="99" priority="215">
      <formula>H74=""</formula>
    </cfRule>
  </conditionalFormatting>
  <conditionalFormatting sqref="G74:G77">
    <cfRule type="expression" dxfId="98" priority="211">
      <formula>IF(COUNT($H74:$I74)=2,IF(AND($G74&lt;&gt;$J74,$H74=$I74,$G74&lt;&gt;"",$J74&lt;&gt;""),1=2,IF(AND($G74&lt;&gt;"",$H74=$I74),1=1,IF(AND($G74="",$H74=$I74),1=1,1=2))),1=2)</formula>
    </cfRule>
  </conditionalFormatting>
  <conditionalFormatting sqref="H4:I4">
    <cfRule type="expression" dxfId="97" priority="181">
      <formula>H4=""</formula>
    </cfRule>
  </conditionalFormatting>
  <conditionalFormatting sqref="H11:I16">
    <cfRule type="expression" dxfId="96" priority="180">
      <formula>H11=""</formula>
    </cfRule>
  </conditionalFormatting>
  <conditionalFormatting sqref="H39:I44">
    <cfRule type="expression" dxfId="95" priority="179">
      <formula>H39=""</formula>
    </cfRule>
  </conditionalFormatting>
  <conditionalFormatting sqref="H26:I30">
    <cfRule type="expression" dxfId="94" priority="178">
      <formula>H26=""</formula>
    </cfRule>
  </conditionalFormatting>
  <conditionalFormatting sqref="H25:I25">
    <cfRule type="expression" dxfId="93" priority="177">
      <formula>H25=""</formula>
    </cfRule>
  </conditionalFormatting>
  <conditionalFormatting sqref="H32:I37">
    <cfRule type="expression" dxfId="92" priority="176">
      <formula>H32=""</formula>
    </cfRule>
  </conditionalFormatting>
  <conditionalFormatting sqref="H47:I51">
    <cfRule type="expression" dxfId="91" priority="175">
      <formula>H47=""</formula>
    </cfRule>
  </conditionalFormatting>
  <conditionalFormatting sqref="H46:I46">
    <cfRule type="expression" dxfId="90" priority="174">
      <formula>H46=""</formula>
    </cfRule>
  </conditionalFormatting>
  <conditionalFormatting sqref="H64:I64">
    <cfRule type="expression" dxfId="89" priority="172">
      <formula>H64=""</formula>
    </cfRule>
  </conditionalFormatting>
  <conditionalFormatting sqref="L84">
    <cfRule type="iconSet" priority="164">
      <iconSet iconSet="3Symbols2" showValue="0">
        <cfvo type="percent" val="0"/>
        <cfvo type="num" val="0.5"/>
        <cfvo type="num" val="1"/>
      </iconSet>
    </cfRule>
  </conditionalFormatting>
  <conditionalFormatting sqref="H87:I87">
    <cfRule type="expression" dxfId="88" priority="150">
      <formula>H87=""</formula>
    </cfRule>
  </conditionalFormatting>
  <conditionalFormatting sqref="H80:I80">
    <cfRule type="expression" dxfId="87" priority="158">
      <formula>H80=""</formula>
    </cfRule>
  </conditionalFormatting>
  <conditionalFormatting sqref="H81:I81">
    <cfRule type="expression" dxfId="86" priority="157">
      <formula>H81=""</formula>
    </cfRule>
  </conditionalFormatting>
  <conditionalFormatting sqref="H84:I84">
    <cfRule type="expression" dxfId="85" priority="156">
      <formula>H84=""</formula>
    </cfRule>
  </conditionalFormatting>
  <conditionalFormatting sqref="L90">
    <cfRule type="iconSet" priority="145">
      <iconSet iconSet="3Symbols2" showValue="0">
        <cfvo type="percent" val="0"/>
        <cfvo type="num" val="0.5"/>
        <cfvo type="num" val="1"/>
      </iconSet>
    </cfRule>
  </conditionalFormatting>
  <conditionalFormatting sqref="L91">
    <cfRule type="iconSet" priority="143">
      <iconSet iconSet="3Symbols2" showValue="0">
        <cfvo type="percent" val="0"/>
        <cfvo type="num" val="0.5"/>
        <cfvo type="num" val="1"/>
      </iconSet>
    </cfRule>
  </conditionalFormatting>
  <conditionalFormatting sqref="H65:I65">
    <cfRule type="expression" dxfId="84" priority="139">
      <formula>H65=""</formula>
    </cfRule>
  </conditionalFormatting>
  <conditionalFormatting sqref="H66:I66">
    <cfRule type="expression" dxfId="83" priority="136">
      <formula>H66=""</formula>
    </cfRule>
  </conditionalFormatting>
  <conditionalFormatting sqref="H67:I67">
    <cfRule type="expression" dxfId="82" priority="133">
      <formula>H67=""</formula>
    </cfRule>
  </conditionalFormatting>
  <conditionalFormatting sqref="G67">
    <cfRule type="expression" dxfId="81" priority="132">
      <formula>IF(COUNT($H67:$I67)=2,IF(AND($G67&lt;&gt;$J67,$H67=$I67,$G67&lt;&gt;"",$J67&lt;&gt;""),1=2,IF(AND($G67&lt;&gt;"",$H67=$I67),1=1,IF(AND($G67="",$H67=$I67),1=1,1=2))),1=2)</formula>
    </cfRule>
  </conditionalFormatting>
  <conditionalFormatting sqref="H69:I69">
    <cfRule type="expression" dxfId="80" priority="130">
      <formula>H69=""</formula>
    </cfRule>
  </conditionalFormatting>
  <conditionalFormatting sqref="H68:I68">
    <cfRule type="expression" dxfId="79" priority="127">
      <formula>H68=""</formula>
    </cfRule>
  </conditionalFormatting>
  <conditionalFormatting sqref="H70:I70">
    <cfRule type="expression" dxfId="78" priority="124">
      <formula>H70=""</formula>
    </cfRule>
  </conditionalFormatting>
  <conditionalFormatting sqref="H71:I71">
    <cfRule type="expression" dxfId="77" priority="121">
      <formula>H71=""</formula>
    </cfRule>
  </conditionalFormatting>
  <conditionalFormatting sqref="G80:G81">
    <cfRule type="expression" dxfId="76" priority="118">
      <formula>IF(COUNT($H80:$I80)=2,IF(AND($G80&lt;&gt;$J80,$H80=$I80,$G80&lt;&gt;"",$J80&lt;&gt;""),1=2,IF(AND($G80&lt;&gt;"",$H80=$I80),1=1,IF(AND($G80="",$H80=$I80),1=1,1=2))),1=2)</formula>
    </cfRule>
  </conditionalFormatting>
  <conditionalFormatting sqref="L93:L95 L97:L99 L101">
    <cfRule type="iconSet" priority="117">
      <iconSet iconSet="3Symbols2" showValue="0">
        <cfvo type="percent" val="0"/>
        <cfvo type="num" val="0.5"/>
        <cfvo type="num" val="1"/>
      </iconSet>
    </cfRule>
  </conditionalFormatting>
  <conditionalFormatting sqref="G66">
    <cfRule type="expression" dxfId="75" priority="113">
      <formula>IF(COUNT($H66:$I66)=2,IF(AND($G66&lt;&gt;$J66,$H66=$I66,$G66&lt;&gt;"",$J66&lt;&gt;""),1=2,IF(AND($G66&lt;&gt;"",$H66=$I66),1=1,IF(AND($G66="",$H66=$I66),1=1,1=2))),1=2)</formula>
    </cfRule>
  </conditionalFormatting>
  <conditionalFormatting sqref="G65">
    <cfRule type="expression" dxfId="74" priority="112">
      <formula>IF(COUNT($H65:$I65)=2,IF(AND($G65&lt;&gt;$J65,$H65=$I65,$G65&lt;&gt;"",$J65&lt;&gt;""),1=2,IF(AND($G65&lt;&gt;"",$H65=$I65),1=1,IF(AND($G65="",$H65=$I65),1=1,1=2))),1=2)</formula>
    </cfRule>
  </conditionalFormatting>
  <conditionalFormatting sqref="G64:G71">
    <cfRule type="expression" dxfId="73" priority="111">
      <formula>IF(COUNT($H64:$I64)=2,IF(AND($G64&lt;&gt;$J64,$H64=$I64,$G64&lt;&gt;"",$J64&lt;&gt;""),1=2,IF(AND($G64&lt;&gt;"",$H64=$I64),1=1,IF(AND($G64="",$H64=$I64),1=1,1=2))),1=2)</formula>
    </cfRule>
  </conditionalFormatting>
  <conditionalFormatting sqref="G68">
    <cfRule type="expression" dxfId="72" priority="99">
      <formula>IF(COUNT($H68:$I68)=2,IF(AND($G68&lt;&gt;$J68,$H68=$I68,$G68&lt;&gt;"",$J68&lt;&gt;""),1=2,IF(AND($G68&lt;&gt;"",$H68=$I68),1=1,IF(AND($G68="",$H68=$I68),1=1,1=2))),1=2)</formula>
    </cfRule>
  </conditionalFormatting>
  <conditionalFormatting sqref="J74:J77">
    <cfRule type="expression" dxfId="71" priority="92">
      <formula>IF(COUNT($H74:$I74)=2,IF(AND($G74&lt;&gt;$J74,$H74=$I74,$G74&lt;&gt;"",$J74&lt;&gt;""),1=2,IF(AND($G74&lt;&gt;"",$H74=$I74),1=1,IF(AND($G74="",$H74=$I74),1=1,1=2))),1=2)</formula>
    </cfRule>
  </conditionalFormatting>
  <conditionalFormatting sqref="J80:J81">
    <cfRule type="expression" dxfId="70" priority="87">
      <formula>IF(COUNT($H80:$I80)=2,IF(AND($G80&lt;&gt;$J80,$H80=$I80,$G80&lt;&gt;"",$J80&lt;&gt;""),1=2,IF(AND($G80&lt;&gt;"",$H80=$I80),1=1,IF(AND($G80="",$H80=$I80),1=1,1=2))),1=2)</formula>
    </cfRule>
  </conditionalFormatting>
  <conditionalFormatting sqref="G84">
    <cfRule type="expression" dxfId="69" priority="85">
      <formula>IF(COUNT($H84:$I84)=2,IF(AND($G84&lt;&gt;$J84,$H84=$I84,$G84&lt;&gt;"",$J84&lt;&gt;""),1=2,IF(AND($G84&lt;&gt;"",$H84=$I84),1=1,IF(AND($G84="",$H84=$I84),1=1,1=2))),1=2)</formula>
    </cfRule>
  </conditionalFormatting>
  <conditionalFormatting sqref="J84">
    <cfRule type="expression" dxfId="68" priority="84">
      <formula>IF(COUNT($H84:$I84)=2,IF(AND($G84&lt;&gt;$J84,$H84=$I84,$G84&lt;&gt;"",$J84&lt;&gt;""),1=2,IF(AND($G84&lt;&gt;"",$H84=$I84),1=1,IF(AND($G84="",$H84=$I84),1=1,1=2))),1=2)</formula>
    </cfRule>
  </conditionalFormatting>
  <conditionalFormatting sqref="G87">
    <cfRule type="expression" dxfId="67" priority="83">
      <formula>IF(COUNT($H87:$I87)=2,IF(AND($G87&lt;&gt;$J87,$H87=$I87,$G87&lt;&gt;"",$J87&lt;&gt;""),1=2,IF(AND($G87&lt;&gt;"",$H87=$I87),1=1,IF(AND($G87="",$H87=$I87),1=1,1=2))),1=2)</formula>
    </cfRule>
  </conditionalFormatting>
  <conditionalFormatting sqref="J87">
    <cfRule type="expression" dxfId="66" priority="82">
      <formula>IF(COUNT($H87:$I87)=2,IF(AND($G87&lt;&gt;$J87,$H87=$I87,$G87&lt;&gt;"",$J87&lt;&gt;""),1=2,IF(AND($G87&lt;&gt;"",$H87=$I87),1=1,IF(AND($G87="",$H87=$I87),1=1,1=2))),1=2)</formula>
    </cfRule>
  </conditionalFormatting>
  <conditionalFormatting sqref="X59:AB59">
    <cfRule type="iconSet" priority="59">
      <iconSet iconSet="3Symbols" showValue="0">
        <cfvo type="percent" val="0"/>
        <cfvo type="num" val="0"/>
        <cfvo type="num" val="90"/>
      </iconSet>
    </cfRule>
  </conditionalFormatting>
  <conditionalFormatting sqref="L59">
    <cfRule type="iconSet" priority="58">
      <iconSet iconSet="3Symbols" showValue="0">
        <cfvo type="percent" val="0"/>
        <cfvo type="num" val="0.5"/>
        <cfvo type="num" val="1"/>
      </iconSet>
    </cfRule>
  </conditionalFormatting>
  <conditionalFormatting sqref="H5:I9">
    <cfRule type="expression" dxfId="65" priority="57">
      <formula>H5=""</formula>
    </cfRule>
  </conditionalFormatting>
  <conditionalFormatting sqref="C60:W60 C61:W61">
    <cfRule type="expression" dxfId="64" priority="56">
      <formula>$B$60&gt;0</formula>
    </cfRule>
  </conditionalFormatting>
  <conditionalFormatting sqref="H54:I58">
    <cfRule type="expression" dxfId="63" priority="53">
      <formula>H54=""</formula>
    </cfRule>
  </conditionalFormatting>
  <conditionalFormatting sqref="H53:I53">
    <cfRule type="expression" dxfId="62" priority="52">
      <formula>H53=""</formula>
    </cfRule>
  </conditionalFormatting>
  <conditionalFormatting sqref="N63:W67">
    <cfRule type="expression" dxfId="61" priority="51">
      <formula>$N$69&gt;0</formula>
    </cfRule>
  </conditionalFormatting>
  <conditionalFormatting sqref="J64:J71">
    <cfRule type="expression" dxfId="60" priority="50">
      <formula>IF(COUNT($H64:$I64)=2,IF(AND($G64&lt;&gt;$J64,$H64=$I64,$G64&lt;&gt;"",$J64&lt;&gt;""),1=2,IF(AND($G64&lt;&gt;"",$H64=$I64),1=1,IF(AND($G64="",$H64=$I64),1=1,1=2))),1=2)</formula>
    </cfRule>
  </conditionalFormatting>
  <conditionalFormatting sqref="N89">
    <cfRule type="cellIs" dxfId="59" priority="49" operator="equal">
      <formula>"PORRA COMPLETA:"</formula>
    </cfRule>
  </conditionalFormatting>
  <conditionalFormatting sqref="B60">
    <cfRule type="expression" priority="48">
      <formula>$B$60&gt;0</formula>
    </cfRule>
  </conditionalFormatting>
  <conditionalFormatting sqref="L64:L71">
    <cfRule type="iconSet" priority="311">
      <iconSet iconSet="3Symbols2" showValue="0">
        <cfvo type="percent" val="0"/>
        <cfvo type="num" val="0.5"/>
        <cfvo type="num" val="1"/>
      </iconSet>
    </cfRule>
  </conditionalFormatting>
  <conditionalFormatting sqref="L74:L77">
    <cfRule type="iconSet" priority="312">
      <iconSet iconSet="3Symbols2" showValue="0">
        <cfvo type="percent" val="0"/>
        <cfvo type="num" val="0.5"/>
        <cfvo type="num" val="1"/>
      </iconSet>
    </cfRule>
  </conditionalFormatting>
  <conditionalFormatting sqref="L87">
    <cfRule type="iconSet" priority="313">
      <iconSet iconSet="3Symbols2" showValue="0">
        <cfvo type="percent" val="0"/>
        <cfvo type="num" val="0.5"/>
        <cfvo type="num" val="1"/>
      </iconSet>
    </cfRule>
  </conditionalFormatting>
  <conditionalFormatting sqref="N6:N7">
    <cfRule type="expression" dxfId="58" priority="47">
      <formula>SUM($Q$6:$Q$9)=12</formula>
    </cfRule>
  </conditionalFormatting>
  <conditionalFormatting sqref="W6:W7">
    <cfRule type="expression" dxfId="57" priority="46">
      <formula>SUM($Q$6:$Q$9)=12</formula>
    </cfRule>
  </conditionalFormatting>
  <conditionalFormatting sqref="O7:V7">
    <cfRule type="expression" dxfId="56" priority="45">
      <formula>SUM($Q$6:$Q$9)=12</formula>
    </cfRule>
  </conditionalFormatting>
  <conditionalFormatting sqref="O14:V14">
    <cfRule type="expression" dxfId="55" priority="44">
      <formula>SUM($Q$13:$Q$16)=12</formula>
    </cfRule>
  </conditionalFormatting>
  <conditionalFormatting sqref="N13:N14">
    <cfRule type="expression" dxfId="54" priority="43">
      <formula>SUM($Q$13:$Q$16)=12</formula>
    </cfRule>
  </conditionalFormatting>
  <conditionalFormatting sqref="W13:W14">
    <cfRule type="expression" dxfId="53" priority="42">
      <formula>SUM($Q$13:$Q$16)=12</formula>
    </cfRule>
  </conditionalFormatting>
  <conditionalFormatting sqref="N20:N21">
    <cfRule type="expression" dxfId="52" priority="39">
      <formula>SUM($Q$20:$Q$23)=12</formula>
    </cfRule>
  </conditionalFormatting>
  <conditionalFormatting sqref="W20:W21">
    <cfRule type="expression" dxfId="51" priority="40">
      <formula>SUM($Q$20:$Q$23)=12</formula>
    </cfRule>
  </conditionalFormatting>
  <conditionalFormatting sqref="O20:V20">
    <cfRule type="expression" dxfId="50" priority="41">
      <formula>SUM($Q$20:$Q$23)=12</formula>
    </cfRule>
  </conditionalFormatting>
  <conditionalFormatting sqref="O28:V28">
    <cfRule type="expression" dxfId="49" priority="38">
      <formula>SUM($Q$27:$Q$30)=12</formula>
    </cfRule>
  </conditionalFormatting>
  <conditionalFormatting sqref="W27:W28">
    <cfRule type="expression" dxfId="48" priority="36">
      <formula>SUM($Q$27:$Q$30)=12</formula>
    </cfRule>
  </conditionalFormatting>
  <conditionalFormatting sqref="O27:V27">
    <cfRule type="expression" dxfId="47" priority="37">
      <formula>SUM($Q$27:$Q$30)=12</formula>
    </cfRule>
  </conditionalFormatting>
  <conditionalFormatting sqref="N27:N28">
    <cfRule type="expression" dxfId="46" priority="35">
      <formula>SUM($Q$27:$Q$30)=12</formula>
    </cfRule>
  </conditionalFormatting>
  <conditionalFormatting sqref="N34:N35">
    <cfRule type="expression" dxfId="45" priority="34">
      <formula>SUM($Q$34:$Q$37)=12</formula>
    </cfRule>
  </conditionalFormatting>
  <conditionalFormatting sqref="O34:V34">
    <cfRule type="expression" dxfId="44" priority="33">
      <formula>SUM($Q$34:$Q$37)=12</formula>
    </cfRule>
  </conditionalFormatting>
  <conditionalFormatting sqref="W34:W35">
    <cfRule type="expression" dxfId="43" priority="32">
      <formula>SUM($Q$34:$Q$37)=12</formula>
    </cfRule>
  </conditionalFormatting>
  <conditionalFormatting sqref="O35:V35">
    <cfRule type="expression" dxfId="42" priority="31">
      <formula>SUM($Q$34:$Q$37)=12</formula>
    </cfRule>
  </conditionalFormatting>
  <conditionalFormatting sqref="N41:N42">
    <cfRule type="expression" dxfId="41" priority="30">
      <formula>SUM($Q$41:$Q$44)=12</formula>
    </cfRule>
  </conditionalFormatting>
  <conditionalFormatting sqref="O42:V42">
    <cfRule type="expression" dxfId="40" priority="27">
      <formula>SUM($Q$41:$Q$44)=12</formula>
    </cfRule>
  </conditionalFormatting>
  <conditionalFormatting sqref="W41:W42">
    <cfRule type="expression" dxfId="39" priority="28">
      <formula>SUM($Q$41:$Q$44)=12</formula>
    </cfRule>
  </conditionalFormatting>
  <conditionalFormatting sqref="O41:V41">
    <cfRule type="expression" dxfId="38" priority="29">
      <formula>SUM($Q$41:$Q$44)=12</formula>
    </cfRule>
  </conditionalFormatting>
  <conditionalFormatting sqref="N48:N49">
    <cfRule type="expression" dxfId="37" priority="26">
      <formula>SUM($Q$48:$Q$51)=12</formula>
    </cfRule>
  </conditionalFormatting>
  <conditionalFormatting sqref="O49:V49">
    <cfRule type="expression" dxfId="36" priority="23">
      <formula>SUM($Q$48:$Q$51)=12</formula>
    </cfRule>
  </conditionalFormatting>
  <conditionalFormatting sqref="W48:W49">
    <cfRule type="expression" dxfId="35" priority="24">
      <formula>SUM($Q$48:$Q$51)=12</formula>
    </cfRule>
  </conditionalFormatting>
  <conditionalFormatting sqref="O48:W48">
    <cfRule type="expression" dxfId="34" priority="25">
      <formula>SUM($Q$48:$Q$51)=12</formula>
    </cfRule>
  </conditionalFormatting>
  <conditionalFormatting sqref="N55:W55">
    <cfRule type="expression" dxfId="33" priority="21">
      <formula>SUM($Q$55:$Q$58)=12</formula>
    </cfRule>
  </conditionalFormatting>
  <conditionalFormatting sqref="O56:V56">
    <cfRule type="expression" dxfId="32" priority="19">
      <formula>SUM($Q$55:$Q$58)=12</formula>
    </cfRule>
  </conditionalFormatting>
  <conditionalFormatting sqref="W55:W56">
    <cfRule type="expression" dxfId="31" priority="20">
      <formula>SUM($Q$55:$Q$58)=12</formula>
    </cfRule>
  </conditionalFormatting>
  <conditionalFormatting sqref="N55:N56">
    <cfRule type="expression" dxfId="30" priority="22">
      <formula>SUM($Q$55:$Q$58)=12</formula>
    </cfRule>
  </conditionalFormatting>
  <conditionalFormatting sqref="N72:Z76">
    <cfRule type="expression" dxfId="29" priority="18">
      <formula>$N$69&gt;0</formula>
    </cfRule>
  </conditionalFormatting>
  <conditionalFormatting sqref="N93">
    <cfRule type="cellIs" dxfId="28" priority="17" operator="equal">
      <formula>"Guarda el archivo y reenvíanoslo por email"</formula>
    </cfRule>
  </conditionalFormatting>
  <conditionalFormatting sqref="Z6:Z9">
    <cfRule type="expression" dxfId="27" priority="16">
      <formula>IF(AND(VLOOKUP(Y6,$O$6:$X$9,10,0)&gt;=0,VLOOKUP(Y6,$O$6:$X$9,10,0)&lt;90),1,0)</formula>
    </cfRule>
  </conditionalFormatting>
  <conditionalFormatting sqref="Z13:Z16">
    <cfRule type="expression" dxfId="26" priority="15">
      <formula>IF(AND(VLOOKUP(Y13,$O$13:$X$16,10,0)&gt;=0,VLOOKUP(Y13,$O$13:$X$16,10,0)&lt;90),1,0)</formula>
    </cfRule>
  </conditionalFormatting>
  <conditionalFormatting sqref="Z20:Z23">
    <cfRule type="expression" dxfId="25" priority="14">
      <formula>IF(AND(VLOOKUP(Y20,$O$20:$X$23,10,0)&gt;=0,VLOOKUP(Y20,$O$20:$X$23,10,0)&lt;90),1,0)</formula>
    </cfRule>
  </conditionalFormatting>
  <conditionalFormatting sqref="Z27:Z30">
    <cfRule type="expression" dxfId="24" priority="13">
      <formula>IF(AND(VLOOKUP(Y27,$O$27:$X$30,10,0)&gt;=0,VLOOKUP(Y27,$O$27:$X$30,10,0)&lt;90),1,0)</formula>
    </cfRule>
  </conditionalFormatting>
  <conditionalFormatting sqref="Z34:Z37">
    <cfRule type="expression" dxfId="23" priority="12">
      <formula>IF(AND(VLOOKUP(Y34,$O$34:$X$37,10,0)&gt;=0,VLOOKUP(Y34,$O$34:$X$37,10,0)&lt;90),1,0)</formula>
    </cfRule>
  </conditionalFormatting>
  <conditionalFormatting sqref="Z41:Z44">
    <cfRule type="expression" dxfId="22" priority="11">
      <formula>IF(AND(VLOOKUP(Y41,$O$41:$X$44,10,0)&gt;=0,VLOOKUP(Y41,$O$41:$X$44,10,0)&lt;90),1,0)</formula>
    </cfRule>
  </conditionalFormatting>
  <conditionalFormatting sqref="Z48:Z51">
    <cfRule type="expression" dxfId="21" priority="10">
      <formula>IF(AND(VLOOKUP(Y48,$O$48:$X$51,10,0)&gt;=0,VLOOKUP(Y48,$O$48:$X$51,10,0)&lt;90),1,0)</formula>
    </cfRule>
  </conditionalFormatting>
  <conditionalFormatting sqref="Z55:Z58">
    <cfRule type="expression" dxfId="20" priority="9">
      <formula>IF(AND(VLOOKUP(Y55,$O$55:$X$58,10,0)&gt;=0,VLOOKUP(Y55,$O$55:$X$58,10,0)&lt;90),1,0)</formula>
    </cfRule>
  </conditionalFormatting>
  <conditionalFormatting sqref="Y4:AA5">
    <cfRule type="expression" dxfId="19" priority="8">
      <formula>$X$5&gt;0</formula>
    </cfRule>
  </conditionalFormatting>
  <conditionalFormatting sqref="Y11:AA12">
    <cfRule type="expression" dxfId="18" priority="7">
      <formula>$X$12&gt;0</formula>
    </cfRule>
  </conditionalFormatting>
  <conditionalFormatting sqref="Y18:AA19">
    <cfRule type="expression" dxfId="17" priority="6">
      <formula>$X$19&gt;0</formula>
    </cfRule>
  </conditionalFormatting>
  <conditionalFormatting sqref="Y25:AA26">
    <cfRule type="expression" dxfId="16" priority="5">
      <formula>$X$26&gt;0</formula>
    </cfRule>
  </conditionalFormatting>
  <conditionalFormatting sqref="Y32:AA33">
    <cfRule type="expression" dxfId="15" priority="4">
      <formula>$X$33&gt;0</formula>
    </cfRule>
  </conditionalFormatting>
  <conditionalFormatting sqref="Y39:AA40">
    <cfRule type="expression" dxfId="14" priority="3">
      <formula>$X$40&gt;0</formula>
    </cfRule>
  </conditionalFormatting>
  <conditionalFormatting sqref="Y46:AA47">
    <cfRule type="expression" dxfId="13" priority="2">
      <formula>$X$47&gt;0</formula>
    </cfRule>
  </conditionalFormatting>
  <conditionalFormatting sqref="Y53:AA54">
    <cfRule type="expression" dxfId="12" priority="1">
      <formula>$X$54&gt;0</formula>
    </cfRule>
  </conditionalFormatting>
  <dataValidations count="34">
    <dataValidation type="whole" allowBlank="1" showInputMessage="1" showErrorMessage="1" error="Introduzca un número" sqref="H4:I59" xr:uid="{00000000-0002-0000-0100-000000000000}">
      <formula1>0</formula1>
      <formula2>100</formula2>
    </dataValidation>
    <dataValidation type="whole" allowBlank="1" showInputMessage="1" showErrorMessage="1" error="Introduzca un número." sqref="G64:J71 G74:J77 G80:J81 G84:J84 G87:J87" xr:uid="{00000000-0002-0000-0100-000001000000}">
      <formula1>0</formula1>
      <formula2>100</formula2>
    </dataValidation>
    <dataValidation type="list" allowBlank="1" showInputMessage="1" showErrorMessage="1" sqref="Z58" xr:uid="{00000000-0002-0000-0100-000002000000}">
      <formula1>IF($BY$55=$CA$54,$DC$5:$DC$8,IF(OR($BY$55=$CC$54,$BY$55=$CG$54),$DG$5:$DG$6,IF($BY$55=$CE$54,$DF$5:$DF$7,$DL$5)))</formula1>
    </dataValidation>
    <dataValidation type="list" allowBlank="1" showInputMessage="1" showErrorMessage="1" error="Introduce un puesto que corresponda_x000a_" sqref="Z6" xr:uid="{00000000-0002-0000-0100-000003000000}">
      <formula1>IF($BY$6=$CA$5,$DC$5:$DC$8,IF($BY$6=$CB$5,$DD$5:$DD$7,IF(OR($BY$6=$CC$5,$BY$6=$CD$5),$DE$5:$DE$6,$DI$5)))</formula1>
    </dataValidation>
    <dataValidation type="list" allowBlank="1" showInputMessage="1" showErrorMessage="1" sqref="Z7" xr:uid="{00000000-0002-0000-0100-000004000000}">
      <formula1>IF($BY$6=$CA$5,$DC$5:$DC$8,IF($BY$6=$CB$5,$DD$5:$DD$7,IF(OR($BY$6=$CC$5,$BY$6=$CD$5),$DE$5:$DE$6,IF($BY$6=$CE$5,$DF$5:$DF$7,(IF($BY$6=$CF$5,$DH$5:$DH$6,$DJ$5))))))</formula1>
    </dataValidation>
    <dataValidation type="list" allowBlank="1" showInputMessage="1" showErrorMessage="1" sqref="Z8" xr:uid="{00000000-0002-0000-0100-000005000000}">
      <formula1>IF($BY$6=$CA$5,$DC$5:$DC$8,IF($BY$6=$CB$5,$DD$5:$DD$7,IF(OR($BY$6=$CC$5,$BY$6=$CG$5),$DG$5:$DG$6,IF($BY$6=$CE$5,$DF$5:$DF$7,(IF($BY$6=$CF$5,$DH$5:$DH$6,$DK$5))))))</formula1>
    </dataValidation>
    <dataValidation type="list" allowBlank="1" showInputMessage="1" showErrorMessage="1" sqref="Z9" xr:uid="{00000000-0002-0000-0100-000006000000}">
      <formula1>IF($BY$6=$CA$5,$DC$5:$DC$8,IF(OR($BY$6=$CC$5,$BY$6=$CG$5),$DG$5:$DG$6,IF($BY$6=$CE$5,$DF$5:$DF$7,$DL$5)))</formula1>
    </dataValidation>
    <dataValidation type="list" allowBlank="1" showInputMessage="1" showErrorMessage="1" sqref="Z13" xr:uid="{00000000-0002-0000-0100-000007000000}">
      <formula1>IF($BY$13=$CA$12,$DC$5:$DC$8,IF($BY$13=$CB$12,$DD$5:$DD$7,IF(OR($BY$13=$CC$12,$BY$13=$CD$12),$DE$5:$DE$6,$DI$5)))</formula1>
    </dataValidation>
    <dataValidation type="list" allowBlank="1" showInputMessage="1" showErrorMessage="1" sqref="Z14" xr:uid="{00000000-0002-0000-0100-000008000000}">
      <formula1>IF($BY$13=$CA$12,$DC$5:$DC$8,IF($BY$13=$CB$12,$DD$5:$DD$7,IF(OR($BY$13=$CC$12,$BY$13=$CD$12),$DE$5:$DE$6,IF($BY$13=$CE$12,$DF$5:$DF$7,(IF($BY$13=$CF$12,$DH$5:$DH$6,$DJ$5))))))</formula1>
    </dataValidation>
    <dataValidation type="list" allowBlank="1" showInputMessage="1" showErrorMessage="1" sqref="Z15" xr:uid="{00000000-0002-0000-0100-000009000000}">
      <formula1>IF($BY$13=$CA$12,$DC$5:$DC$8,IF($BY$13=$CB$12,$DD$5:$DD$7,IF(OR($BY$13=$CC$12,$BY$13=$CG$12),$DG$5:$DG$6,IF($BY$13=$CE$12,$DF$5:$DF$7,(IF($BY$13=$CF$12,$DH$5:$DH$6,$DK$5))))))</formula1>
    </dataValidation>
    <dataValidation type="list" allowBlank="1" showInputMessage="1" showErrorMessage="1" sqref="Z16" xr:uid="{00000000-0002-0000-0100-00000A000000}">
      <formula1>IF($BY$13=$CA$12,$DC$5:$DC$8,IF(OR($BY$13=$CC$12,$BY$13=$CG$12),$DG$5:$DG$6,IF($BY$13=$CE$12,$DF$5:$DF$7,$DL$5)))</formula1>
    </dataValidation>
    <dataValidation type="list" allowBlank="1" showInputMessage="1" showErrorMessage="1" sqref="Z20" xr:uid="{00000000-0002-0000-0100-00000B000000}">
      <formula1>IF($BY$20=$CA$19,$DC$5:$DC$8,IF($BY$20=$CB$19,$DD$5:$DD$7,IF(OR($BY$20=$CC$19,$BY$20=$CD$19),$DE$5:$DE$6,$DI$5)))</formula1>
    </dataValidation>
    <dataValidation type="list" allowBlank="1" showInputMessage="1" showErrorMessage="1" sqref="Z21" xr:uid="{00000000-0002-0000-0100-00000C000000}">
      <formula1>IF($BY$20=$CA$19,$DC$5:$DC$8,IF($BY$20=$CB$19,$DD$5:$DD$7,IF(OR($BY$20=$CC$19,$BY$20=$CD$19),$DE$5:$DE$6,IF($BY$20=$CE$19,$DF$5:$DF$7,(IF($BY$20=$CF$19,$DH$5:$DH$6,$DJ$5))))))</formula1>
    </dataValidation>
    <dataValidation type="list" allowBlank="1" showInputMessage="1" showErrorMessage="1" sqref="Z22" xr:uid="{00000000-0002-0000-0100-00000D000000}">
      <formula1>IF($BY$20=$CA$19,$DC$5:$DC$8,IF($BY$20=$CB$19,$DD$5:$DD$7,IF(OR($BY$20=$CC$19,$BY$20=$CG$19),$DG$5:$DG$6,IF($BY$20=$CE$19,$DF$5:$DF$7,(IF($BY$20=$CF$19,$DH$5:$DH$6,$DK$5))))))</formula1>
    </dataValidation>
    <dataValidation type="list" allowBlank="1" showInputMessage="1" showErrorMessage="1" sqref="Z23" xr:uid="{00000000-0002-0000-0100-00000E000000}">
      <formula1>IF($BY$20=$CA$19,$DC$5:$DC$8,IF(OR($BY$20=$CC$19,$BY$20=$CG$19),$DG$5:$DG$6,IF($BY$20=$CE$19,$DF$5:$DF$7,$DL$5)))</formula1>
    </dataValidation>
    <dataValidation type="list" allowBlank="1" showInputMessage="1" showErrorMessage="1" sqref="Z27" xr:uid="{00000000-0002-0000-0100-00000F000000}">
      <formula1>IF($BY$27=$CA$26,$DC$5:$DC$8,IF($BY$27=$CB$26,$DD$5:$DD$7,IF(OR($BY$27=$CC$26,$BY$27=$CD$26),$DE$5:$DE$6,$DI$5)))</formula1>
    </dataValidation>
    <dataValidation type="list" allowBlank="1" showInputMessage="1" showErrorMessage="1" sqref="Z28" xr:uid="{00000000-0002-0000-0100-000010000000}">
      <formula1>IF($BY$27=$CA$26,$DC$5:$DC$8,IF($BY$27=$CB$26,$DD$5:$DD$7,IF(OR($BY$27=$CC$26,$BY$27=$CD$26),$DE$5:$DE$6,IF($BY$27=$CE$26,$DF$5:$DF$7,(IF($BY$27=$CF$26,$DH$5:$DH$6,$DJ$5))))))</formula1>
    </dataValidation>
    <dataValidation type="list" allowBlank="1" showInputMessage="1" showErrorMessage="1" sqref="Z29" xr:uid="{00000000-0002-0000-0100-000011000000}">
      <formula1>IF($BY$27=$CA$26,$DC$5:$DC$8,IF($BY$27=$CB$26,$DD$5:$DD$7,IF(OR($BY$27=$CC$26,$BY$27=$CG$26),$DG$5:$DG$6,IF($BY$27=$CE$26,$DF$5:$DF$7,(IF($BY$27=$CF$26,$DH$5:$DH$6,$DK$5))))))</formula1>
    </dataValidation>
    <dataValidation type="list" allowBlank="1" showInputMessage="1" showErrorMessage="1" sqref="Z30" xr:uid="{00000000-0002-0000-0100-000012000000}">
      <formula1>IF($BY$27=$CA$26,$DC$5:$DC$8,IF(OR($BY$27=$CC$26,$BY$27=$CG$26),$DG$5:$DG$6,IF($BY$27=$CE$26,$DF$5:$DF$7,$DL$5)))</formula1>
    </dataValidation>
    <dataValidation type="list" allowBlank="1" showInputMessage="1" showErrorMessage="1" sqref="Z34" xr:uid="{00000000-0002-0000-0100-000013000000}">
      <formula1>IF($BY$34=$CA$33,$DC$5:$DC$8,IF($BY$34=$CB$33,$DD$5:$DD$7,IF(OR($BY$34=$CC$33,$BY$34=$CD$33),$DE$5:$DE$6,$DI$5)))</formula1>
    </dataValidation>
    <dataValidation type="list" allowBlank="1" showInputMessage="1" showErrorMessage="1" sqref="Z35" xr:uid="{00000000-0002-0000-0100-000014000000}">
      <formula1>IF($BY$34=$CA$33,$DC$5:$DC$8,IF($BY$34=$CB$33,$DD$5:$DD$7,IF(OR($BY$34=$CC$33,$BY$34=$CD$33),$DE$5:$DE$6,IF($BY$34=$CE$33,$DF$5:$DF$7,(IF($BY$34=$CF$33,$DH$5:$DH$6,$DJ$5))))))</formula1>
    </dataValidation>
    <dataValidation type="list" allowBlank="1" showInputMessage="1" showErrorMessage="1" sqref="Z36" xr:uid="{00000000-0002-0000-0100-000015000000}">
      <formula1>IF($BY$34=$CA$33,$DC$5:$DC$8,IF($BY$34=$CB$33,$DD$5:$DD$7,IF(OR($BY$34=$CC$33,$BY$34=$CG$33),$DG$5:$DG$6,IF($BY$34=$CE$33,$DF$5:$DF$7,(IF($BY$34=$CF$33,$DH$5:$DH$6,$DK$5))))))</formula1>
    </dataValidation>
    <dataValidation type="list" allowBlank="1" showInputMessage="1" showErrorMessage="1" sqref="Z37" xr:uid="{00000000-0002-0000-0100-000016000000}">
      <formula1>IF($BY$34=$CA$33,$DC$5:$DC$8,IF(OR($BY$34=$CC$33,$BY$34=$CG$33),$DG$5:$DG$6,IF($BY$34=$CE$33,$DF$5:$DF$7,$DL$5)))</formula1>
    </dataValidation>
    <dataValidation type="list" allowBlank="1" showInputMessage="1" showErrorMessage="1" sqref="Z41" xr:uid="{00000000-0002-0000-0100-000017000000}">
      <formula1>IF($BY$41=$CA$40,$DC$5:$DC$8,IF($BY$41=$CB$40,$DD$5:$DD$7,IF(OR($BY$41=$CC$40,$BY$41=$CD$40),$DE$5:$DE$6,$DI$5)))</formula1>
    </dataValidation>
    <dataValidation type="list" allowBlank="1" showInputMessage="1" showErrorMessage="1" sqref="Z42" xr:uid="{00000000-0002-0000-0100-000018000000}">
      <formula1>IF($BY$41=$CA$40,$DC$5:$DC$8,IF($BY$41=$CB$40,$DD$5:$DD$7,IF(OR($BY$41=$CC$40,$BY$41=$CD$40),$DE$5:$DE$6,IF($BY$41=$CE$40,$DF$5:$DF$7,(IF($BY$41=$CF$40,$DH$5:$DH$6,$DJ$5))))))</formula1>
    </dataValidation>
    <dataValidation type="list" allowBlank="1" showInputMessage="1" showErrorMessage="1" sqref="Z43" xr:uid="{00000000-0002-0000-0100-000019000000}">
      <formula1>IF($BY$41=$CA$40,$DC$5:$DC$8,IF($BY$41=$CB$40,$DD$5:$DD$7,IF(OR($BY$41=$CC$40,$BY$41=$CG$40),$DG$5:$DG$6,IF($BY$41=$CE$40,$DF$5:$DF$7,(IF($BY$41=$CF$40,$DH$5:$DH$6,$DK$5))))))</formula1>
    </dataValidation>
    <dataValidation type="list" allowBlank="1" showInputMessage="1" showErrorMessage="1" sqref="Z44" xr:uid="{00000000-0002-0000-0100-00001A000000}">
      <formula1>IF($BY$41=$CA$40,$DC$5:$DC$8,IF(OR($BY$41=$CC$40,$BY$41=$CG$40),$DG$5:$DG$6,IF($BY$41=$CE$40,$DF$5:$DF$7,$DL$5)))</formula1>
    </dataValidation>
    <dataValidation type="list" allowBlank="1" showInputMessage="1" showErrorMessage="1" sqref="Z48" xr:uid="{00000000-0002-0000-0100-00001B000000}">
      <formula1>IF($BY$48=$CA$47,$DC$5:$DC$8,IF($BY$48=$CB$47,$DD$5:$DD$7,IF(OR($BY$48=$CC$47,$BY$48=$CD$47),$DE$5:$DE$6,$DI$5)))</formula1>
    </dataValidation>
    <dataValidation type="list" allowBlank="1" showInputMessage="1" showErrorMessage="1" sqref="Z49" xr:uid="{00000000-0002-0000-0100-00001C000000}">
      <formula1>IF($BY$48=$CA$47,$DC$5:$DC$8,IF($BY$48=$CB$47,$DD$5:$DD$7,IF(OR($BY$48=$CC$47,$BY$48=$CD$47),$DE$5:$DE$6,IF($BY$48=$CE$47,$DF$5:$DF$7,(IF($BY$48=$CF$47,$DH$5:$DH$6,$DJ$5))))))</formula1>
    </dataValidation>
    <dataValidation type="list" allowBlank="1" showInputMessage="1" showErrorMessage="1" sqref="Z50" xr:uid="{00000000-0002-0000-0100-00001D000000}">
      <formula1>IF($BY$48=$CA$47,$DC$5:$DC$8,IF($BY$48=$CB$47,$DD$5:$DD$7,IF(OR($BY$48=$CC$47,$BY$48=$CG$47),$DG$5:$DG$6,IF($BY$48=$CE$47,$DF$5:$DF$7,(IF($BY$48=$CF$47,$DH$5:$DH$6,$DK$5))))))</formula1>
    </dataValidation>
    <dataValidation type="list" allowBlank="1" showInputMessage="1" showErrorMessage="1" sqref="Z51" xr:uid="{00000000-0002-0000-0100-00001E000000}">
      <formula1>IF($BY$48=$CA$47,$DC$5:$DC$8,IF(OR($BY$48=$CC$47,$BY$48=$CG$47),$DG$5:$DG$6,IF($BY$48=$CE$47,$DF$5:$DF$7,$DL$5)))</formula1>
    </dataValidation>
    <dataValidation type="list" allowBlank="1" showInputMessage="1" showErrorMessage="1" sqref="Z55" xr:uid="{00000000-0002-0000-0100-00001F000000}">
      <formula1>IF($BY$55=$CA$54,$DC$5:$DC$8,IF($BY$55=$CB$54,$DD$5:$DD$7,IF(OR($BY$55=$CC$54,$BY$55=$CD$54),$DE$5:$DE$6,$DI$5)))</formula1>
    </dataValidation>
    <dataValidation type="list" allowBlank="1" showInputMessage="1" showErrorMessage="1" sqref="Z56" xr:uid="{00000000-0002-0000-0100-000020000000}">
      <formula1>IF($BY$55=$CA$54,$DC$5:$DC$8,IF($BY$55=$CB$54,$DD$5:$DD$7,IF(OR($BY$55=$CC$54,$BY$55=$CD$54),$DE$5:$DE$6,IF($BY$55=$CE$54,$DF$5:$DF$7,(IF($BY$55=$CF$54,$DH$5:$DH$6,$DJ$5))))))</formula1>
    </dataValidation>
    <dataValidation type="list" allowBlank="1" showInputMessage="1" showErrorMessage="1" sqref="Z57" xr:uid="{00000000-0002-0000-0100-000021000000}">
      <formula1>IF($BY$55=$CA$54,$DC$5:$DC$8,IF($BY$55=$CB$54,$DD$5:$DD$7,IF(OR($BY$55=$CC$54,$BY$55=$CG$54),$DG$5:$DG$6,IF($BY$55=$CE$54,$DF$5:$DF$7,(IF($BY$55=$CF$54,$DH$5:$DH$6,$DK$5))))))</formula1>
    </dataValidation>
  </dataValidations>
  <hyperlinks>
    <hyperlink ref="Q101" r:id="rId1" display="https://www.paypal.com/cgi-bin/webscr?cmd=_donations&amp;business=PJ2B6ZBH7ZHR4&amp;lc=ES&amp;item_name=matejero&amp;item_number=PorraMundial2018&amp;currency_code=EUR&amp;bn=PP%2dDonationsBF%3abtn_donate_LG%2egif%3aNonHosted" xr:uid="{00000000-0004-0000-0100-000000000000}"/>
  </hyperlinks>
  <pageMargins left="0.7" right="0.7" top="0.75" bottom="0.75" header="0.3" footer="0.3"/>
  <ignoredErrors>
    <ignoredError sqref="F79:G79 J79:K79 F86:G86 J86:K86 F73:G73 J73:K73" unlockedFormula="1"/>
    <ignoredError sqref="F74:F77 K74:K77 F87 K87 F80:F81 K80:K81 F89:F90 F84 K84 X59 X52:X53 X45:X46 X38:X39 X31:X32 X24:X25 X17:X18 X10:X11 N89:X95 D61:W61 L99:L101 L4:L23 D60:W60 L25:L30 L32:L58" emptyCellReference="1"/>
    <ignoredError sqref="F91" unlockedFormula="1" emptyCellReference="1"/>
    <ignoredError sqref="BX10:CD10 BX7:BY7 CA7:CG7 BX8:BY8 CA8:CG8 BX9:BY9 CA9:CD9 BX17:CD17 BX11:BY11 CA11:CD11 BX12:BY12 CA12:CD12 BX13:BY16 CA13:CD16 BX24:CD24 BX18:BY23 CA18:CD23 BX31:CD31 BX25:BY30 CA25:CD30 BX38:CD38 BX32:BY37 CA32:CD37 BX45:CG45 BX39:BY44 CA39:CD44 BX52:CG52 BX46:BY51 CA46:CG51 BX59:CG82 BX53:BY58 CA53:CG58" evalError="1"/>
    <ignoredError sqref="CE39:CG44 CE32:CG37 CE38:CG38 CE25:CG30 CE31:CG31 CE18:CG23 CE24:CG24 CE13:CG16 CE12:CG12 CE11:CG11 CE17:CG17 CE9:CG9 CE10:CG10" evalError="1" formula="1"/>
  </ignoredErrors>
  <drawing r:id="rId2"/>
  <tableParts count="1">
    <tablePart r:id="rId3"/>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MAL33"/>
  <sheetViews>
    <sheetView zoomScale="85" zoomScaleNormal="85" zoomScalePageLayoutView="85" workbookViewId="0">
      <selection activeCell="D14" sqref="D14"/>
    </sheetView>
  </sheetViews>
  <sheetFormatPr baseColWidth="10" defaultColWidth="20.42578125" defaultRowHeight="15" customHeight="1" x14ac:dyDescent="0.25"/>
  <cols>
    <col min="1" max="1" width="20.42578125" style="3"/>
    <col min="2" max="2" width="25" style="3" customWidth="1"/>
    <col min="3" max="3" width="11.42578125" style="3" customWidth="1"/>
    <col min="4" max="16384" width="20.42578125" style="3"/>
  </cols>
  <sheetData>
    <row r="1" spans="1:3 8826:8826" ht="15" customHeight="1" x14ac:dyDescent="0.25">
      <c r="A1" s="5" t="s">
        <v>56</v>
      </c>
      <c r="B1" s="6" t="s">
        <v>115</v>
      </c>
      <c r="C1" s="6" t="s">
        <v>147</v>
      </c>
    </row>
    <row r="2" spans="1:3 8826:8826" ht="15" customHeight="1" x14ac:dyDescent="0.25">
      <c r="A2" s="5" t="b">
        <f>NOT(ISERROR(VLOOKUP(Tabla3[[#This Row],[ZfP4b()8G6b·$55Ma-t·%fv-ttyZxR-.R*+Fd]],'Porra Mundial'!$AF$5:$AF$58,1,FALSE)))</f>
        <v>1</v>
      </c>
      <c r="B2" s="5" t="s">
        <v>19</v>
      </c>
      <c r="C2" s="6">
        <v>1</v>
      </c>
      <c r="MAL2" s="4" t="s">
        <v>39</v>
      </c>
    </row>
    <row r="3" spans="1:3 8826:8826" ht="15" customHeight="1" x14ac:dyDescent="0.25">
      <c r="A3" s="5" t="b">
        <f>NOT(ISERROR(VLOOKUP(Tabla3[[#This Row],[ZfP4b()8G6b·$55Ma-t·%fv-ttyZxR-.R*+Fd]],'Porra Mundial'!$AF$5:$AF$58,1,FALSE)))</f>
        <v>1</v>
      </c>
      <c r="B3" s="5" t="s">
        <v>172</v>
      </c>
      <c r="C3" s="6">
        <v>2</v>
      </c>
    </row>
    <row r="4" spans="1:3 8826:8826" ht="15" customHeight="1" x14ac:dyDescent="0.25">
      <c r="A4" s="5" t="b">
        <f>NOT(ISERROR(VLOOKUP(Tabla3[[#This Row],[ZfP4b()8G6b·$55Ma-t·%fv-ttyZxR-.R*+Fd]],'Porra Mundial'!$AF$5:$AF$58,1,FALSE)))</f>
        <v>1</v>
      </c>
      <c r="B4" s="5" t="s">
        <v>163</v>
      </c>
      <c r="C4" s="6">
        <v>3</v>
      </c>
    </row>
    <row r="5" spans="1:3 8826:8826" ht="15" customHeight="1" x14ac:dyDescent="0.25">
      <c r="A5" s="5" t="b">
        <f>NOT(ISERROR(VLOOKUP(Tabla3[[#This Row],[ZfP4b()8G6b·$55Ma-t·%fv-ttyZxR-.R*+Fd]],'Porra Mundial'!$AF$5:$AF$58,1,FALSE)))</f>
        <v>1</v>
      </c>
      <c r="B5" s="5" t="s">
        <v>162</v>
      </c>
      <c r="C5" s="6">
        <v>4</v>
      </c>
    </row>
    <row r="6" spans="1:3 8826:8826" ht="15" customHeight="1" x14ac:dyDescent="0.25">
      <c r="A6" s="5" t="b">
        <f>NOT(ISERROR(VLOOKUP(Tabla3[[#This Row],[ZfP4b()8G6b·$55Ma-t·%fv-ttyZxR-.R*+Fd]],'Porra Mundial'!$AF$5:$AF$58,1,FALSE)))</f>
        <v>1</v>
      </c>
      <c r="B6" s="5" t="s">
        <v>152</v>
      </c>
      <c r="C6" s="6">
        <v>1</v>
      </c>
    </row>
    <row r="7" spans="1:3 8826:8826" ht="15" customHeight="1" x14ac:dyDescent="0.25">
      <c r="A7" s="5" t="b">
        <f>NOT(ISERROR(VLOOKUP(Tabla3[[#This Row],[ZfP4b()8G6b·$55Ma-t·%fv-ttyZxR-.R*+Fd]],'Porra Mundial'!$AF$5:$AF$58,1,FALSE)))</f>
        <v>1</v>
      </c>
      <c r="B7" s="5" t="s">
        <v>155</v>
      </c>
      <c r="C7" s="6">
        <v>2</v>
      </c>
    </row>
    <row r="8" spans="1:3 8826:8826" ht="15" customHeight="1" x14ac:dyDescent="0.25">
      <c r="A8" s="5" t="b">
        <f>NOT(ISERROR(VLOOKUP(Tabla3[[#This Row],[ZfP4b()8G6b·$55Ma-t·%fv-ttyZxR-.R*+Fd]],'Porra Mundial'!$AF$5:$AF$58,1,FALSE)))</f>
        <v>1</v>
      </c>
      <c r="B8" s="5" t="s">
        <v>170</v>
      </c>
      <c r="C8" s="6">
        <v>3</v>
      </c>
    </row>
    <row r="9" spans="1:3 8826:8826" ht="15" customHeight="1" x14ac:dyDescent="0.25">
      <c r="A9" s="5" t="b">
        <f>NOT(ISERROR(VLOOKUP(Tabla3[[#This Row],[ZfP4b()8G6b·$55Ma-t·%fv-ttyZxR-.R*+Fd]],'Porra Mundial'!$AF$5:$AF$58,1,FALSE)))</f>
        <v>1</v>
      </c>
      <c r="B9" s="5" t="s">
        <v>166</v>
      </c>
      <c r="C9" s="6">
        <v>4</v>
      </c>
    </row>
    <row r="10" spans="1:3 8826:8826" ht="15" customHeight="1" x14ac:dyDescent="0.25">
      <c r="A10" s="5" t="b">
        <f>NOT(ISERROR(VLOOKUP(Tabla3[[#This Row],[ZfP4b()8G6b·$55Ma-t·%fv-ttyZxR-.R*+Fd]],'Porra Mundial'!$AF$5:$AF$58,1,FALSE)))</f>
        <v>1</v>
      </c>
      <c r="B10" s="5" t="s">
        <v>151</v>
      </c>
      <c r="C10" s="6">
        <v>1</v>
      </c>
    </row>
    <row r="11" spans="1:3 8826:8826" ht="15" customHeight="1" x14ac:dyDescent="0.25">
      <c r="A11" s="5" t="b">
        <f>NOT(ISERROR(VLOOKUP(Tabla3[[#This Row],[ZfP4b()8G6b·$55Ma-t·%fv-ttyZxR-.R*+Fd]],'Porra Mundial'!$AF$5:$AF$58,1,FALSE)))</f>
        <v>1</v>
      </c>
      <c r="B11" s="5" t="s">
        <v>173</v>
      </c>
      <c r="C11" s="6">
        <v>2</v>
      </c>
    </row>
    <row r="12" spans="1:3 8826:8826" ht="15" customHeight="1" x14ac:dyDescent="0.25">
      <c r="A12" s="5" t="b">
        <f>NOT(ISERROR(VLOOKUP(Tabla3[[#This Row],[ZfP4b()8G6b·$55Ma-t·%fv-ttyZxR-.R*+Fd]],'Porra Mundial'!$AF$5:$AF$58,1,FALSE)))</f>
        <v>1</v>
      </c>
      <c r="B12" s="5" t="s">
        <v>161</v>
      </c>
      <c r="C12" s="6">
        <v>3</v>
      </c>
    </row>
    <row r="13" spans="1:3 8826:8826" ht="15" customHeight="1" x14ac:dyDescent="0.25">
      <c r="A13" s="5" t="b">
        <f>NOT(ISERROR(VLOOKUP(Tabla3[[#This Row],[ZfP4b()8G6b·$55Ma-t·%fv-ttyZxR-.R*+Fd]],'Porra Mundial'!$AF$5:$AF$58,1,FALSE)))</f>
        <v>1</v>
      </c>
      <c r="B13" s="5" t="s">
        <v>168</v>
      </c>
      <c r="C13" s="6">
        <v>4</v>
      </c>
    </row>
    <row r="14" spans="1:3 8826:8826" ht="15" customHeight="1" x14ac:dyDescent="0.25">
      <c r="A14" s="5" t="b">
        <f>NOT(ISERROR(VLOOKUP(Tabla3[[#This Row],[ZfP4b()8G6b·$55Ma-t·%fv-ttyZxR-.R*+Fd]],'Porra Mundial'!$AF$5:$AF$58,1,FALSE)))</f>
        <v>1</v>
      </c>
      <c r="B14" s="5" t="s">
        <v>153</v>
      </c>
      <c r="C14" s="6">
        <v>1</v>
      </c>
    </row>
    <row r="15" spans="1:3 8826:8826" ht="15" customHeight="1" x14ac:dyDescent="0.25">
      <c r="A15" s="5" t="b">
        <f>NOT(ISERROR(VLOOKUP(Tabla3[[#This Row],[ZfP4b()8G6b·$55Ma-t·%fv-ttyZxR-.R*+Fd]],'Porra Mundial'!$AF$5:$AF$58,1,FALSE)))</f>
        <v>1</v>
      </c>
      <c r="B15" s="5" t="s">
        <v>20</v>
      </c>
      <c r="C15" s="6">
        <v>2</v>
      </c>
    </row>
    <row r="16" spans="1:3 8826:8826" ht="15" customHeight="1" x14ac:dyDescent="0.25">
      <c r="A16" s="5" t="b">
        <f>NOT(ISERROR(VLOOKUP(Tabla3[[#This Row],[ZfP4b()8G6b·$55Ma-t·%fv-ttyZxR-.R*+Fd]],'Porra Mundial'!$AF$5:$AF$58,1,FALSE)))</f>
        <v>1</v>
      </c>
      <c r="B16" s="5" t="s">
        <v>157</v>
      </c>
      <c r="C16" s="6">
        <v>3</v>
      </c>
    </row>
    <row r="17" spans="1:331 8826:8826" ht="15" customHeight="1" x14ac:dyDescent="0.25">
      <c r="A17" s="5" t="b">
        <f>NOT(ISERROR(VLOOKUP(Tabla3[[#This Row],[ZfP4b()8G6b·$55Ma-t·%fv-ttyZxR-.R*+Fd]],'Porra Mundial'!$AF$5:$AF$58,1,FALSE)))</f>
        <v>1</v>
      </c>
      <c r="B17" s="5" t="s">
        <v>171</v>
      </c>
      <c r="C17" s="6">
        <v>4</v>
      </c>
    </row>
    <row r="18" spans="1:331 8826:8826" ht="15" customHeight="1" x14ac:dyDescent="0.25">
      <c r="A18" s="5" t="b">
        <f>NOT(ISERROR(VLOOKUP(Tabla3[[#This Row],[ZfP4b()8G6b·$55Ma-t·%fv-ttyZxR-.R*+Fd]],'Porra Mundial'!$AF$5:$AF$58,1,FALSE)))</f>
        <v>1</v>
      </c>
      <c r="B18" s="5" t="s">
        <v>154</v>
      </c>
      <c r="C18" s="6">
        <v>1</v>
      </c>
    </row>
    <row r="19" spans="1:331 8826:8826" ht="15" customHeight="1" x14ac:dyDescent="0.25">
      <c r="A19" s="5" t="b">
        <f>NOT(ISERROR(VLOOKUP(Tabla3[[#This Row],[ZfP4b()8G6b·$55Ma-t·%fv-ttyZxR-.R*+Fd]],'Porra Mundial'!$AF$5:$AF$58,1,FALSE)))</f>
        <v>1</v>
      </c>
      <c r="B19" s="5" t="s">
        <v>156</v>
      </c>
      <c r="C19" s="6">
        <v>2</v>
      </c>
    </row>
    <row r="20" spans="1:331 8826:8826" ht="15" customHeight="1" x14ac:dyDescent="0.25">
      <c r="A20" s="5" t="b">
        <f>NOT(ISERROR(VLOOKUP(Tabla3[[#This Row],[ZfP4b()8G6b·$55Ma-t·%fv-ttyZxR-.R*+Fd]],'Porra Mundial'!$AF$5:$AF$58,1,FALSE)))</f>
        <v>1</v>
      </c>
      <c r="B20" s="5" t="s">
        <v>169</v>
      </c>
      <c r="C20" s="6">
        <v>3</v>
      </c>
    </row>
    <row r="21" spans="1:331 8826:8826" ht="15" customHeight="1" x14ac:dyDescent="0.25">
      <c r="A21" s="5" t="b">
        <f>NOT(ISERROR(VLOOKUP(Tabla3[[#This Row],[ZfP4b()8G6b·$55Ma-t·%fv-ttyZxR-.R*+Fd]],'Porra Mundial'!$AF$5:$AF$58,1,FALSE)))</f>
        <v>1</v>
      </c>
      <c r="B21" s="5" t="s">
        <v>175</v>
      </c>
      <c r="C21" s="6">
        <v>4</v>
      </c>
    </row>
    <row r="22" spans="1:331 8826:8826" ht="15" customHeight="1" x14ac:dyDescent="0.25">
      <c r="A22" s="5" t="b">
        <f>NOT(ISERROR(VLOOKUP(Tabla3[[#This Row],[ZfP4b()8G6b·$55Ma-t·%fv-ttyZxR-.R*+Fd]],'Porra Mundial'!$AF$5:$AF$58,1,FALSE)))</f>
        <v>1</v>
      </c>
      <c r="B22" s="5" t="s">
        <v>148</v>
      </c>
      <c r="C22" s="6">
        <v>1</v>
      </c>
    </row>
    <row r="23" spans="1:331 8826:8826" ht="15" customHeight="1" x14ac:dyDescent="0.25">
      <c r="A23" s="5" t="b">
        <f>NOT(ISERROR(VLOOKUP(Tabla3[[#This Row],[ZfP4b()8G6b·$55Ma-t·%fv-ttyZxR-.R*+Fd]],'Porra Mundial'!$AF$5:$AF$58,1,FALSE)))</f>
        <v>1</v>
      </c>
      <c r="B23" s="5" t="s">
        <v>159</v>
      </c>
      <c r="C23" s="6">
        <v>2</v>
      </c>
    </row>
    <row r="24" spans="1:331 8826:8826" ht="15" customHeight="1" x14ac:dyDescent="0.25">
      <c r="A24" s="5" t="b">
        <f>NOT(ISERROR(VLOOKUP(Tabla3[[#This Row],[ZfP4b()8G6b·$55Ma-t·%fv-ttyZxR-.R*+Fd]],'Porra Mundial'!$AF$5:$AF$58,1,FALSE)))</f>
        <v>1</v>
      </c>
      <c r="B24" s="5" t="s">
        <v>167</v>
      </c>
      <c r="C24" s="6">
        <v>3</v>
      </c>
    </row>
    <row r="25" spans="1:331 8826:8826" ht="15" customHeight="1" x14ac:dyDescent="0.25">
      <c r="A25" s="5" t="b">
        <f>NOT(ISERROR(VLOOKUP(Tabla3[[#This Row],[ZfP4b()8G6b·$55Ma-t·%fv-ttyZxR-.R*+Fd]],'Porra Mundial'!$AF$5:$AF$58,1,FALSE)))</f>
        <v>1</v>
      </c>
      <c r="B25" s="5" t="s">
        <v>177</v>
      </c>
      <c r="C25" s="6">
        <v>4</v>
      </c>
    </row>
    <row r="26" spans="1:331 8826:8826" ht="15" customHeight="1" x14ac:dyDescent="0.25">
      <c r="A26" s="5" t="b">
        <f>NOT(ISERROR(VLOOKUP(Tabla3[[#This Row],[ZfP4b()8G6b·$55Ma-t·%fv-ttyZxR-.R*+Fd]],'Porra Mundial'!$AF$5:$AF$58,1,FALSE)))</f>
        <v>1</v>
      </c>
      <c r="B26" s="5" t="s">
        <v>150</v>
      </c>
      <c r="C26" s="6">
        <v>1</v>
      </c>
    </row>
    <row r="27" spans="1:331 8826:8826" ht="15" customHeight="1" x14ac:dyDescent="0.25">
      <c r="A27" s="5" t="b">
        <f>NOT(ISERROR(VLOOKUP(Tabla3[[#This Row],[ZfP4b()8G6b·$55Ma-t·%fv-ttyZxR-.R*+Fd]],'Porra Mundial'!$AF$5:$AF$58,1,FALSE)))</f>
        <v>1</v>
      </c>
      <c r="B27" s="5" t="s">
        <v>176</v>
      </c>
      <c r="C27" s="6">
        <v>2</v>
      </c>
    </row>
    <row r="28" spans="1:331 8826:8826" ht="15" customHeight="1" x14ac:dyDescent="0.25">
      <c r="A28" s="5" t="b">
        <f>NOT(ISERROR(VLOOKUP(Tabla3[[#This Row],[ZfP4b()8G6b·$55Ma-t·%fv-ttyZxR-.R*+Fd]],'Porra Mundial'!$AF$5:$AF$58,1,FALSE)))</f>
        <v>1</v>
      </c>
      <c r="B28" s="5" t="s">
        <v>165</v>
      </c>
      <c r="C28" s="6">
        <v>3</v>
      </c>
      <c r="LS28" s="4" t="s">
        <v>39</v>
      </c>
      <c r="MAL28" s="4" t="s">
        <v>39</v>
      </c>
    </row>
    <row r="29" spans="1:331 8826:8826" ht="15" customHeight="1" x14ac:dyDescent="0.25">
      <c r="A29" s="5" t="b">
        <f>NOT(ISERROR(VLOOKUP(Tabla3[[#This Row],[ZfP4b()8G6b·$55Ma-t·%fv-ttyZxR-.R*+Fd]],'Porra Mundial'!$AF$5:$AF$58,1,FALSE)))</f>
        <v>1</v>
      </c>
      <c r="B29" s="5" t="s">
        <v>158</v>
      </c>
      <c r="C29" s="6">
        <v>4</v>
      </c>
    </row>
    <row r="30" spans="1:331 8826:8826" ht="15" customHeight="1" x14ac:dyDescent="0.25">
      <c r="A30" s="5" t="b">
        <f>NOT(ISERROR(VLOOKUP(Tabla3[[#This Row],[ZfP4b()8G6b·$55Ma-t·%fv-ttyZxR-.R*+Fd]],'Porra Mundial'!$AF$5:$AF$58,1,FALSE)))</f>
        <v>1</v>
      </c>
      <c r="B30" s="5" t="s">
        <v>149</v>
      </c>
      <c r="C30" s="6">
        <v>1</v>
      </c>
    </row>
    <row r="31" spans="1:331 8826:8826" ht="15" customHeight="1" x14ac:dyDescent="0.25">
      <c r="A31" s="5" t="b">
        <f>NOT(ISERROR(VLOOKUP(Tabla3[[#This Row],[ZfP4b()8G6b·$55Ma-t·%fv-ttyZxR-.R*+Fd]],'Porra Mundial'!$AF$5:$AF$58,1,FALSE)))</f>
        <v>1</v>
      </c>
      <c r="B31" s="5" t="s">
        <v>164</v>
      </c>
      <c r="C31" s="6">
        <v>2</v>
      </c>
    </row>
    <row r="32" spans="1:331 8826:8826" ht="15" customHeight="1" x14ac:dyDescent="0.25">
      <c r="A32" s="5" t="b">
        <f>NOT(ISERROR(VLOOKUP(Tabla3[[#This Row],[ZfP4b()8G6b·$55Ma-t·%fv-ttyZxR-.R*+Fd]],'Porra Mundial'!$AF$5:$AF$58,1,FALSE)))</f>
        <v>1</v>
      </c>
      <c r="B32" s="5" t="s">
        <v>160</v>
      </c>
      <c r="C32" s="6">
        <v>3</v>
      </c>
    </row>
    <row r="33" spans="1:3" ht="15" customHeight="1" x14ac:dyDescent="0.25">
      <c r="A33" s="5" t="b">
        <f>NOT(ISERROR(VLOOKUP(Tabla3[[#This Row],[ZfP4b()8G6b·$55Ma-t·%fv-ttyZxR-.R*+Fd]],'Porra Mundial'!$AF$5:$AF$58,1,FALSE)))</f>
        <v>1</v>
      </c>
      <c r="B33" s="5" t="s">
        <v>174</v>
      </c>
      <c r="C33" s="6">
        <v>4</v>
      </c>
    </row>
  </sheetData>
  <sheetProtection password="ACDC" sheet="1" objects="1" scenarios="1" selectLockedCells="1" selectUnlockedCells="1"/>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L168"/>
  <sheetViews>
    <sheetView zoomScale="85" zoomScaleNormal="85" zoomScalePageLayoutView="85" workbookViewId="0">
      <selection activeCell="C6" sqref="C6"/>
    </sheetView>
  </sheetViews>
  <sheetFormatPr baseColWidth="10" defaultColWidth="0" defaultRowHeight="15" zeroHeight="1" x14ac:dyDescent="0.25"/>
  <cols>
    <col min="1" max="1" width="10.85546875" style="395" customWidth="1"/>
    <col min="2" max="2" width="31.28515625" style="395" bestFit="1" customWidth="1"/>
    <col min="3" max="3" width="32.42578125" style="395" bestFit="1" customWidth="1"/>
    <col min="4" max="12" width="10.85546875" style="395" customWidth="1"/>
    <col min="13" max="16384" width="10.85546875" style="395" hidden="1"/>
  </cols>
  <sheetData>
    <row r="1" spans="2:4" ht="21" customHeight="1" x14ac:dyDescent="0.25">
      <c r="C1" s="396" t="s">
        <v>94</v>
      </c>
      <c r="D1" s="395" t="s">
        <v>139</v>
      </c>
    </row>
    <row r="2" spans="2:4" ht="19.5" thickBot="1" x14ac:dyDescent="0.35">
      <c r="B2" s="397" t="s">
        <v>89</v>
      </c>
    </row>
    <row r="3" spans="2:4" ht="15.75" thickBot="1" x14ac:dyDescent="0.3">
      <c r="B3" s="395" t="s">
        <v>92</v>
      </c>
      <c r="C3" s="398" t="str">
        <f>'Porra Mundial'!F101</f>
        <v>ESCRIBE TU NOMBRE</v>
      </c>
    </row>
    <row r="4" spans="2:4" ht="21" customHeight="1" x14ac:dyDescent="0.25">
      <c r="C4" s="401" t="s">
        <v>182</v>
      </c>
    </row>
    <row r="5" spans="2:4" ht="18.75" x14ac:dyDescent="0.3">
      <c r="B5" s="397" t="s">
        <v>24</v>
      </c>
    </row>
    <row r="6" spans="2:4" x14ac:dyDescent="0.25">
      <c r="B6" s="395" t="str">
        <f>CONCATENATE('Porra Mundial'!F4,"-",'Porra Mundial'!K4)</f>
        <v>Rusia-Arabia Saudí</v>
      </c>
      <c r="C6" s="399" t="str">
        <f>CONCATENATE(IF('Porra Mundial'!H4&gt;'Porra Mundial'!I4,1,IF('Porra Mundial'!H4&lt;'Porra Mundial'!I4,2,IF(AND('Porra Mundial'!H4='Porra Mundial'!I4,'Porra Mundial'!H4&lt;&gt;"",'Porra Mundial'!I4&lt;&gt;""),"X",0))),"|",'Porra Mundial'!H4,"-",'Porra Mundial'!I4)</f>
        <v>1|2-0</v>
      </c>
    </row>
    <row r="7" spans="2:4" x14ac:dyDescent="0.25">
      <c r="B7" s="395" t="str">
        <f>CONCATENATE('Porra Mundial'!F5,"-",'Porra Mundial'!K5)</f>
        <v>Egipto-Uruguay</v>
      </c>
      <c r="C7" s="399" t="str">
        <f>CONCATENATE(IF('Porra Mundial'!H5&gt;'Porra Mundial'!I5,1,IF('Porra Mundial'!H5&lt;'Porra Mundial'!I5,2,IF(AND('Porra Mundial'!H5='Porra Mundial'!I5,'Porra Mundial'!H5&lt;&gt;"",'Porra Mundial'!I5&lt;&gt;""),"X",0))),"|",'Porra Mundial'!H5,"-",'Porra Mundial'!I5)</f>
        <v>2|1-3</v>
      </c>
    </row>
    <row r="8" spans="2:4" x14ac:dyDescent="0.25">
      <c r="B8" s="395" t="str">
        <f>CONCATENATE('Porra Mundial'!F6,"-",'Porra Mundial'!K6)</f>
        <v>Rusia-Egipto</v>
      </c>
      <c r="C8" s="399" t="str">
        <f>CONCATENATE(IF('Porra Mundial'!H6&gt;'Porra Mundial'!I6,1,IF('Porra Mundial'!H6&lt;'Porra Mundial'!I6,2,IF(AND('Porra Mundial'!H6='Porra Mundial'!I6,'Porra Mundial'!H6&lt;&gt;"",'Porra Mundial'!I6&lt;&gt;""),"X",0))),"|",'Porra Mundial'!H6,"-",'Porra Mundial'!I6)</f>
        <v>X|1-1</v>
      </c>
    </row>
    <row r="9" spans="2:4" x14ac:dyDescent="0.25">
      <c r="B9" s="395" t="str">
        <f>CONCATENATE('Porra Mundial'!F7,"-",'Porra Mundial'!K7)</f>
        <v>Uruguay-Arabia Saudí</v>
      </c>
      <c r="C9" s="399" t="str">
        <f>CONCATENATE(IF('Porra Mundial'!H7&gt;'Porra Mundial'!I7,1,IF('Porra Mundial'!H7&lt;'Porra Mundial'!I7,2,IF(AND('Porra Mundial'!H7='Porra Mundial'!I7,'Porra Mundial'!H7&lt;&gt;"",'Porra Mundial'!I7&lt;&gt;""),"X",0))),"|",'Porra Mundial'!H7,"-",'Porra Mundial'!I7)</f>
        <v>1|2-1</v>
      </c>
    </row>
    <row r="10" spans="2:4" x14ac:dyDescent="0.25">
      <c r="B10" s="395" t="str">
        <f>CONCATENATE('Porra Mundial'!F8,"-",'Porra Mundial'!K8)</f>
        <v>Uruguay-Rusia</v>
      </c>
      <c r="C10" s="399" t="str">
        <f>CONCATENATE(IF('Porra Mundial'!H8&gt;'Porra Mundial'!I8,1,IF('Porra Mundial'!H8&lt;'Porra Mundial'!I8,2,IF(AND('Porra Mundial'!H8='Porra Mundial'!I8,'Porra Mundial'!H8&lt;&gt;"",'Porra Mundial'!I8&lt;&gt;""),"X",0))),"|",'Porra Mundial'!H8,"-",'Porra Mundial'!I8)</f>
        <v>1|2-1</v>
      </c>
    </row>
    <row r="11" spans="2:4" x14ac:dyDescent="0.25">
      <c r="B11" s="395" t="str">
        <f>CONCATENATE('Porra Mundial'!F9,"-",'Porra Mundial'!K9)</f>
        <v>Arabia Saudí-Egipto</v>
      </c>
      <c r="C11" s="399" t="str">
        <f>CONCATENATE(IF('Porra Mundial'!H9&gt;'Porra Mundial'!I9,1,IF('Porra Mundial'!H9&lt;'Porra Mundial'!I9,2,IF(AND('Porra Mundial'!H9='Porra Mundial'!I9,'Porra Mundial'!H9&lt;&gt;"",'Porra Mundial'!I9&lt;&gt;""),"X",0))),"|",'Porra Mundial'!H9,"-",'Porra Mundial'!I9)</f>
        <v>2|1-3</v>
      </c>
    </row>
    <row r="12" spans="2:4" x14ac:dyDescent="0.25">
      <c r="B12" s="395" t="str">
        <f>CONCATENATE('Porra Mundial'!F11,"-",'Porra Mundial'!K11)</f>
        <v>Portugal-España</v>
      </c>
      <c r="C12" s="399" t="str">
        <f>CONCATENATE(IF('Porra Mundial'!H11&gt;'Porra Mundial'!I11,1,IF('Porra Mundial'!H11&lt;'Porra Mundial'!I11,2,IF(AND('Porra Mundial'!H11='Porra Mundial'!I11,'Porra Mundial'!H11&lt;&gt;"",'Porra Mundial'!I11&lt;&gt;""),"X",0))),"|",'Porra Mundial'!H11,"-",'Porra Mundial'!I11)</f>
        <v>2|2-3</v>
      </c>
    </row>
    <row r="13" spans="2:4" x14ac:dyDescent="0.25">
      <c r="B13" s="395" t="str">
        <f>CONCATENATE('Porra Mundial'!F12,"-",'Porra Mundial'!K12)</f>
        <v>Marruecos-Irán</v>
      </c>
      <c r="C13" s="399" t="str">
        <f>CONCATENATE(IF('Porra Mundial'!H12&gt;'Porra Mundial'!I12,1,IF('Porra Mundial'!H12&lt;'Porra Mundial'!I12,2,IF(AND('Porra Mundial'!H12='Porra Mundial'!I12,'Porra Mundial'!H12&lt;&gt;"",'Porra Mundial'!I12&lt;&gt;""),"X",0))),"|",'Porra Mundial'!H12,"-",'Porra Mundial'!I12)</f>
        <v>1|1-0</v>
      </c>
    </row>
    <row r="14" spans="2:4" x14ac:dyDescent="0.25">
      <c r="B14" s="395" t="str">
        <f>CONCATENATE('Porra Mundial'!F13,"-",'Porra Mundial'!K13)</f>
        <v>Portugal-Marruecos</v>
      </c>
      <c r="C14" s="399" t="str">
        <f>CONCATENATE(IF('Porra Mundial'!H13&gt;'Porra Mundial'!I13,1,IF('Porra Mundial'!H13&lt;'Porra Mundial'!I13,2,IF(AND('Porra Mundial'!H13='Porra Mundial'!I13,'Porra Mundial'!H13&lt;&gt;"",'Porra Mundial'!I13&lt;&gt;""),"X",0))),"|",'Porra Mundial'!H13,"-",'Porra Mundial'!I13)</f>
        <v>X|1-1</v>
      </c>
    </row>
    <row r="15" spans="2:4" x14ac:dyDescent="0.25">
      <c r="B15" s="395" t="str">
        <f>CONCATENATE('Porra Mundial'!F14,"-",'Porra Mundial'!K14)</f>
        <v>Irán-España</v>
      </c>
      <c r="C15" s="399" t="str">
        <f>CONCATENATE(IF('Porra Mundial'!H14&gt;'Porra Mundial'!I14,1,IF('Porra Mundial'!H14&lt;'Porra Mundial'!I14,2,IF(AND('Porra Mundial'!H14='Porra Mundial'!I14,'Porra Mundial'!H14&lt;&gt;"",'Porra Mundial'!I14&lt;&gt;""),"X",0))),"|",'Porra Mundial'!H14,"-",'Porra Mundial'!I14)</f>
        <v>2|1-2</v>
      </c>
    </row>
    <row r="16" spans="2:4" x14ac:dyDescent="0.25">
      <c r="B16" s="395" t="str">
        <f>CONCATENATE('Porra Mundial'!F15,"-",'Porra Mundial'!K15)</f>
        <v>Irán-Portugal</v>
      </c>
      <c r="C16" s="399" t="str">
        <f>CONCATENATE(IF('Porra Mundial'!H15&gt;'Porra Mundial'!I15,1,IF('Porra Mundial'!H15&lt;'Porra Mundial'!I15,2,IF(AND('Porra Mundial'!H15='Porra Mundial'!I15,'Porra Mundial'!H15&lt;&gt;"",'Porra Mundial'!I15&lt;&gt;""),"X",0))),"|",'Porra Mundial'!H15,"-",'Porra Mundial'!I15)</f>
        <v>2|2-3</v>
      </c>
    </row>
    <row r="17" spans="2:3" x14ac:dyDescent="0.25">
      <c r="B17" s="395" t="str">
        <f>CONCATENATE('Porra Mundial'!F16,"-",'Porra Mundial'!K16)</f>
        <v>España-Marruecos</v>
      </c>
      <c r="C17" s="399" t="str">
        <f>CONCATENATE(IF('Porra Mundial'!H16&gt;'Porra Mundial'!I16,1,IF('Porra Mundial'!H16&lt;'Porra Mundial'!I16,2,IF(AND('Porra Mundial'!H16='Porra Mundial'!I16,'Porra Mundial'!H16&lt;&gt;"",'Porra Mundial'!I16&lt;&gt;""),"X",0))),"|",'Porra Mundial'!H16,"-",'Porra Mundial'!I16)</f>
        <v>1|4-1</v>
      </c>
    </row>
    <row r="18" spans="2:3" x14ac:dyDescent="0.25">
      <c r="B18" s="395" t="str">
        <f>CONCATENATE('Porra Mundial'!F18,"-",'Porra Mundial'!K18)</f>
        <v>Francia-Australia</v>
      </c>
      <c r="C18" s="399" t="str">
        <f>CONCATENATE(IF('Porra Mundial'!H18&gt;'Porra Mundial'!I18,1,IF('Porra Mundial'!H18&lt;'Porra Mundial'!I18,2,IF(AND('Porra Mundial'!H18='Porra Mundial'!I18,'Porra Mundial'!H18&lt;&gt;"",'Porra Mundial'!I18&lt;&gt;""),"X",0))),"|",'Porra Mundial'!H18,"-",'Porra Mundial'!I18)</f>
        <v>1|4-1</v>
      </c>
    </row>
    <row r="19" spans="2:3" x14ac:dyDescent="0.25">
      <c r="B19" s="395" t="str">
        <f>CONCATENATE('Porra Mundial'!F19,"-",'Porra Mundial'!K19)</f>
        <v>Perú-Dinamarca</v>
      </c>
      <c r="C19" s="399" t="str">
        <f>CONCATENATE(IF('Porra Mundial'!H19&gt;'Porra Mundial'!I19,1,IF('Porra Mundial'!H19&lt;'Porra Mundial'!I19,2,IF(AND('Porra Mundial'!H19='Porra Mundial'!I19,'Porra Mundial'!H19&lt;&gt;"",'Porra Mundial'!I19&lt;&gt;""),"X",0))),"|",'Porra Mundial'!H19,"-",'Porra Mundial'!I19)</f>
        <v>X|1-1</v>
      </c>
    </row>
    <row r="20" spans="2:3" x14ac:dyDescent="0.25">
      <c r="B20" s="395" t="str">
        <f>CONCATENATE('Porra Mundial'!F20,"-",'Porra Mundial'!K20)</f>
        <v>Francia-Perú</v>
      </c>
      <c r="C20" s="399" t="str">
        <f>CONCATENATE(IF('Porra Mundial'!H20&gt;'Porra Mundial'!I20,1,IF('Porra Mundial'!H20&lt;'Porra Mundial'!I20,2,IF(AND('Porra Mundial'!H20='Porra Mundial'!I20,'Porra Mundial'!H20&lt;&gt;"",'Porra Mundial'!I20&lt;&gt;""),"X",0))),"|",'Porra Mundial'!H20,"-",'Porra Mundial'!I20)</f>
        <v>1|3-2</v>
      </c>
    </row>
    <row r="21" spans="2:3" x14ac:dyDescent="0.25">
      <c r="B21" s="395" t="str">
        <f>CONCATENATE('Porra Mundial'!F21,"-",'Porra Mundial'!K21)</f>
        <v>Dinamarca-Australia</v>
      </c>
      <c r="C21" s="399" t="str">
        <f>CONCATENATE(IF('Porra Mundial'!H21&gt;'Porra Mundial'!I21,1,IF('Porra Mundial'!H21&lt;'Porra Mundial'!I21,2,IF(AND('Porra Mundial'!H21='Porra Mundial'!I21,'Porra Mundial'!H21&lt;&gt;"",'Porra Mundial'!I21&lt;&gt;""),"X",0))),"|",'Porra Mundial'!H21,"-",'Porra Mundial'!I21)</f>
        <v>X|2-2</v>
      </c>
    </row>
    <row r="22" spans="2:3" x14ac:dyDescent="0.25">
      <c r="B22" s="395" t="str">
        <f>CONCATENATE('Porra Mundial'!F22,"-",'Porra Mundial'!K22)</f>
        <v>Dinamarca-Francia</v>
      </c>
      <c r="C22" s="399" t="str">
        <f>CONCATENATE(IF('Porra Mundial'!H22&gt;'Porra Mundial'!I22,1,IF('Porra Mundial'!H22&lt;'Porra Mundial'!I22,2,IF(AND('Porra Mundial'!H22='Porra Mundial'!I22,'Porra Mundial'!H22&lt;&gt;"",'Porra Mundial'!I22&lt;&gt;""),"X",0))),"|",'Porra Mundial'!H22,"-",'Porra Mundial'!I22)</f>
        <v>2|1-3</v>
      </c>
    </row>
    <row r="23" spans="2:3" x14ac:dyDescent="0.25">
      <c r="B23" s="395" t="str">
        <f>CONCATENATE('Porra Mundial'!F23,"-",'Porra Mundial'!K23)</f>
        <v>Australia-Perú</v>
      </c>
      <c r="C23" s="399" t="str">
        <f>CONCATENATE(IF('Porra Mundial'!H23&gt;'Porra Mundial'!I23,1,IF('Porra Mundial'!H23&lt;'Porra Mundial'!I23,2,IF(AND('Porra Mundial'!H23='Porra Mundial'!I23,'Porra Mundial'!H23&lt;&gt;"",'Porra Mundial'!I23&lt;&gt;""),"X",0))),"|",'Porra Mundial'!H23,"-",'Porra Mundial'!I23)</f>
        <v>2|1-2</v>
      </c>
    </row>
    <row r="24" spans="2:3" x14ac:dyDescent="0.25">
      <c r="B24" s="395" t="str">
        <f>CONCATENATE('Porra Mundial'!F25,"-",'Porra Mundial'!K25)</f>
        <v>Argentina-Islandia</v>
      </c>
      <c r="C24" s="399" t="str">
        <f>CONCATENATE(IF('Porra Mundial'!H25&gt;'Porra Mundial'!I25,1,IF('Porra Mundial'!H25&lt;'Porra Mundial'!I25,2,IF(AND('Porra Mundial'!H25='Porra Mundial'!I25,'Porra Mundial'!H25&lt;&gt;"",'Porra Mundial'!I25&lt;&gt;""),"X",0))),"|",'Porra Mundial'!H25,"-",'Porra Mundial'!I25)</f>
        <v>1|4-0</v>
      </c>
    </row>
    <row r="25" spans="2:3" x14ac:dyDescent="0.25">
      <c r="B25" s="395" t="str">
        <f>CONCATENATE('Porra Mundial'!F26,"-",'Porra Mundial'!K26)</f>
        <v>Croacia-Nigeria</v>
      </c>
      <c r="C25" s="399" t="str">
        <f>CONCATENATE(IF('Porra Mundial'!H26&gt;'Porra Mundial'!I26,1,IF('Porra Mundial'!H26&lt;'Porra Mundial'!I26,2,IF(AND('Porra Mundial'!H26='Porra Mundial'!I26,'Porra Mundial'!H26&lt;&gt;"",'Porra Mundial'!I26&lt;&gt;""),"X",0))),"|",'Porra Mundial'!H26,"-",'Porra Mundial'!I26)</f>
        <v>1|3-1</v>
      </c>
    </row>
    <row r="26" spans="2:3" x14ac:dyDescent="0.25">
      <c r="B26" s="395" t="str">
        <f>CONCATENATE('Porra Mundial'!F27,"-",'Porra Mundial'!K27)</f>
        <v>Argentina-Croacia</v>
      </c>
      <c r="C26" s="399" t="str">
        <f>CONCATENATE(IF('Porra Mundial'!H27&gt;'Porra Mundial'!I27,1,IF('Porra Mundial'!H27&lt;'Porra Mundial'!I27,2,IF(AND('Porra Mundial'!H27='Porra Mundial'!I27,'Porra Mundial'!H27&lt;&gt;"",'Porra Mundial'!I27&lt;&gt;""),"X",0))),"|",'Porra Mundial'!H27,"-",'Porra Mundial'!I27)</f>
        <v>X|1-1</v>
      </c>
    </row>
    <row r="27" spans="2:3" x14ac:dyDescent="0.25">
      <c r="B27" s="395" t="str">
        <f>CONCATENATE('Porra Mundial'!F28,"-",'Porra Mundial'!K28)</f>
        <v>Nigeria-Islandia</v>
      </c>
      <c r="C27" s="399" t="str">
        <f>CONCATENATE(IF('Porra Mundial'!H28&gt;'Porra Mundial'!I28,1,IF('Porra Mundial'!H28&lt;'Porra Mundial'!I28,2,IF(AND('Porra Mundial'!H28='Porra Mundial'!I28,'Porra Mundial'!H28&lt;&gt;"",'Porra Mundial'!I28&lt;&gt;""),"X",0))),"|",'Porra Mundial'!H28,"-",'Porra Mundial'!I28)</f>
        <v>X|1-1</v>
      </c>
    </row>
    <row r="28" spans="2:3" x14ac:dyDescent="0.25">
      <c r="B28" s="395" t="str">
        <f>CONCATENATE('Porra Mundial'!F29,"-",'Porra Mundial'!K29)</f>
        <v>Nigeria-Argentina</v>
      </c>
      <c r="C28" s="399" t="str">
        <f>CONCATENATE(IF('Porra Mundial'!H29&gt;'Porra Mundial'!I29,1,IF('Porra Mundial'!H29&lt;'Porra Mundial'!I29,2,IF(AND('Porra Mundial'!H29='Porra Mundial'!I29,'Porra Mundial'!H29&lt;&gt;"",'Porra Mundial'!I29&lt;&gt;""),"X",0))),"|",'Porra Mundial'!H29,"-",'Porra Mundial'!I29)</f>
        <v>2|1-3</v>
      </c>
    </row>
    <row r="29" spans="2:3" x14ac:dyDescent="0.25">
      <c r="B29" s="395" t="str">
        <f>CONCATENATE('Porra Mundial'!F30,"-",'Porra Mundial'!K30)</f>
        <v>Islandia-Croacia</v>
      </c>
      <c r="C29" s="399" t="str">
        <f>CONCATENATE(IF('Porra Mundial'!H30&gt;'Porra Mundial'!I30,1,IF('Porra Mundial'!H30&lt;'Porra Mundial'!I30,2,IF(AND('Porra Mundial'!H30='Porra Mundial'!I30,'Porra Mundial'!H30&lt;&gt;"",'Porra Mundial'!I30&lt;&gt;""),"X",0))),"|",'Porra Mundial'!H30,"-",'Porra Mundial'!I30)</f>
        <v>2|1-3</v>
      </c>
    </row>
    <row r="30" spans="2:3" x14ac:dyDescent="0.25">
      <c r="B30" s="395" t="str">
        <f>CONCATENATE('Porra Mundial'!F32,"-",'Porra Mundial'!K32)</f>
        <v>Brasil-Suiza</v>
      </c>
      <c r="C30" s="399" t="str">
        <f>CONCATENATE(IF('Porra Mundial'!H32&gt;'Porra Mundial'!I32,1,IF('Porra Mundial'!H32&lt;'Porra Mundial'!I32,2,IF(AND('Porra Mundial'!H32='Porra Mundial'!I32,'Porra Mundial'!H32&lt;&gt;"",'Porra Mundial'!I32&lt;&gt;""),"X",0))),"|",'Porra Mundial'!H32,"-",'Porra Mundial'!I32)</f>
        <v>1|3-2</v>
      </c>
    </row>
    <row r="31" spans="2:3" x14ac:dyDescent="0.25">
      <c r="B31" s="395" t="str">
        <f>CONCATENATE('Porra Mundial'!F33,"-",'Porra Mundial'!K33)</f>
        <v>Costa Rica-Serbia</v>
      </c>
      <c r="C31" s="399" t="str">
        <f>CONCATENATE(IF('Porra Mundial'!H33&gt;'Porra Mundial'!I33,1,IF('Porra Mundial'!H33&lt;'Porra Mundial'!I33,2,IF(AND('Porra Mundial'!H33='Porra Mundial'!I33,'Porra Mundial'!H33&lt;&gt;"",'Porra Mundial'!I33&lt;&gt;""),"X",0))),"|",'Porra Mundial'!H33,"-",'Porra Mundial'!I33)</f>
        <v>2|1-2</v>
      </c>
    </row>
    <row r="32" spans="2:3" x14ac:dyDescent="0.25">
      <c r="B32" s="395" t="str">
        <f>CONCATENATE('Porra Mundial'!F34,"-",'Porra Mundial'!K34)</f>
        <v>Brasil-Costa Rica</v>
      </c>
      <c r="C32" s="399" t="str">
        <f>CONCATENATE(IF('Porra Mundial'!H34&gt;'Porra Mundial'!I34,1,IF('Porra Mundial'!H34&lt;'Porra Mundial'!I34,2,IF(AND('Porra Mundial'!H34='Porra Mundial'!I34,'Porra Mundial'!H34&lt;&gt;"",'Porra Mundial'!I34&lt;&gt;""),"X",0))),"|",'Porra Mundial'!H34,"-",'Porra Mundial'!I34)</f>
        <v>1|3-0</v>
      </c>
    </row>
    <row r="33" spans="2:3" x14ac:dyDescent="0.25">
      <c r="B33" s="395" t="str">
        <f>CONCATENATE('Porra Mundial'!F35,"-",'Porra Mundial'!K35)</f>
        <v>Serbia-Suiza</v>
      </c>
      <c r="C33" s="399" t="str">
        <f>CONCATENATE(IF('Porra Mundial'!H35&gt;'Porra Mundial'!I35,1,IF('Porra Mundial'!H35&lt;'Porra Mundial'!I35,2,IF(AND('Porra Mundial'!H35='Porra Mundial'!I35,'Porra Mundial'!H35&lt;&gt;"",'Porra Mundial'!I35&lt;&gt;""),"X",0))),"|",'Porra Mundial'!H35,"-",'Porra Mundial'!I35)</f>
        <v>X|1-1</v>
      </c>
    </row>
    <row r="34" spans="2:3" x14ac:dyDescent="0.25">
      <c r="B34" s="395" t="str">
        <f>CONCATENATE('Porra Mundial'!F36,"-",'Porra Mundial'!K36)</f>
        <v>Serbia-Brasil</v>
      </c>
      <c r="C34" s="399" t="str">
        <f>CONCATENATE(IF('Porra Mundial'!H36&gt;'Porra Mundial'!I36,1,IF('Porra Mundial'!H36&lt;'Porra Mundial'!I36,2,IF(AND('Porra Mundial'!H36='Porra Mundial'!I36,'Porra Mundial'!H36&lt;&gt;"",'Porra Mundial'!I36&lt;&gt;""),"X",0))),"|",'Porra Mundial'!H36,"-",'Porra Mundial'!I36)</f>
        <v>2|1-4</v>
      </c>
    </row>
    <row r="35" spans="2:3" x14ac:dyDescent="0.25">
      <c r="B35" s="395" t="str">
        <f>CONCATENATE('Porra Mundial'!F37,"-",'Porra Mundial'!K37)</f>
        <v>Suiza-Costa Rica</v>
      </c>
      <c r="C35" s="399" t="str">
        <f>CONCATENATE(IF('Porra Mundial'!H37&gt;'Porra Mundial'!I37,1,IF('Porra Mundial'!H37&lt;'Porra Mundial'!I37,2,IF(AND('Porra Mundial'!H37='Porra Mundial'!I37,'Porra Mundial'!H37&lt;&gt;"",'Porra Mundial'!I37&lt;&gt;""),"X",0))),"|",'Porra Mundial'!H37,"-",'Porra Mundial'!I37)</f>
        <v>1|2-1</v>
      </c>
    </row>
    <row r="36" spans="2:3" x14ac:dyDescent="0.25">
      <c r="B36" s="395" t="str">
        <f>CONCATENATE('Porra Mundial'!F39,"-",'Porra Mundial'!K39)</f>
        <v>Alemania-México</v>
      </c>
      <c r="C36" s="399" t="str">
        <f>CONCATENATE(IF('Porra Mundial'!H39&gt;'Porra Mundial'!I39,1,IF('Porra Mundial'!H39&lt;'Porra Mundial'!I39,2,IF(AND('Porra Mundial'!H39='Porra Mundial'!I39,'Porra Mundial'!H39&lt;&gt;"",'Porra Mundial'!I39&lt;&gt;""),"X",0))),"|",'Porra Mundial'!H39,"-",'Porra Mundial'!I39)</f>
        <v>1|3-1</v>
      </c>
    </row>
    <row r="37" spans="2:3" x14ac:dyDescent="0.25">
      <c r="B37" s="395" t="str">
        <f>CONCATENATE('Porra Mundial'!F40,"-",'Porra Mundial'!K40)</f>
        <v>Suecia-Rep. de Corea</v>
      </c>
      <c r="C37" s="399" t="str">
        <f>CONCATENATE(IF('Porra Mundial'!H40&gt;'Porra Mundial'!I40,1,IF('Porra Mundial'!H40&lt;'Porra Mundial'!I40,2,IF(AND('Porra Mundial'!H40='Porra Mundial'!I40,'Porra Mundial'!H40&lt;&gt;"",'Porra Mundial'!I40&lt;&gt;""),"X",0))),"|",'Porra Mundial'!H40,"-",'Porra Mundial'!I40)</f>
        <v>X|1-1</v>
      </c>
    </row>
    <row r="38" spans="2:3" x14ac:dyDescent="0.25">
      <c r="B38" s="395" t="str">
        <f>CONCATENATE('Porra Mundial'!F41,"-",'Porra Mundial'!K41)</f>
        <v>Alemania-Suecia</v>
      </c>
      <c r="C38" s="399" t="str">
        <f>CONCATENATE(IF('Porra Mundial'!H41&gt;'Porra Mundial'!I41,1,IF('Porra Mundial'!H41&lt;'Porra Mundial'!I41,2,IF(AND('Porra Mundial'!H41='Porra Mundial'!I41,'Porra Mundial'!H41&lt;&gt;"",'Porra Mundial'!I41&lt;&gt;""),"X",0))),"|",'Porra Mundial'!H41,"-",'Porra Mundial'!I41)</f>
        <v>1|2-1</v>
      </c>
    </row>
    <row r="39" spans="2:3" x14ac:dyDescent="0.25">
      <c r="B39" s="395" t="str">
        <f>CONCATENATE('Porra Mundial'!F42,"-",'Porra Mundial'!K42)</f>
        <v>Rep. de Corea-México</v>
      </c>
      <c r="C39" s="399" t="str">
        <f>CONCATENATE(IF('Porra Mundial'!H42&gt;'Porra Mundial'!I42,1,IF('Porra Mundial'!H42&lt;'Porra Mundial'!I42,2,IF(AND('Porra Mundial'!H42='Porra Mundial'!I42,'Porra Mundial'!H42&lt;&gt;"",'Porra Mundial'!I42&lt;&gt;""),"X",0))),"|",'Porra Mundial'!H42,"-",'Porra Mundial'!I42)</f>
        <v>2|1-3</v>
      </c>
    </row>
    <row r="40" spans="2:3" x14ac:dyDescent="0.25">
      <c r="B40" s="395" t="str">
        <f>CONCATENATE('Porra Mundial'!F43,"-",'Porra Mundial'!K43)</f>
        <v>Rep. de Corea-Alemania</v>
      </c>
      <c r="C40" s="399" t="str">
        <f>CONCATENATE(IF('Porra Mundial'!H43&gt;'Porra Mundial'!I43,1,IF('Porra Mundial'!H43&lt;'Porra Mundial'!I43,2,IF(AND('Porra Mundial'!H43='Porra Mundial'!I43,'Porra Mundial'!H43&lt;&gt;"",'Porra Mundial'!I43&lt;&gt;""),"X",0))),"|",'Porra Mundial'!H43,"-",'Porra Mundial'!I43)</f>
        <v>2|0-4</v>
      </c>
    </row>
    <row r="41" spans="2:3" x14ac:dyDescent="0.25">
      <c r="B41" s="395" t="str">
        <f>CONCATENATE('Porra Mundial'!F44,"-",'Porra Mundial'!K44)</f>
        <v>México-Suecia</v>
      </c>
      <c r="C41" s="399" t="str">
        <f>CONCATENATE(IF('Porra Mundial'!H44&gt;'Porra Mundial'!I44,1,IF('Porra Mundial'!H44&lt;'Porra Mundial'!I44,2,IF(AND('Porra Mundial'!H44='Porra Mundial'!I44,'Porra Mundial'!H44&lt;&gt;"",'Porra Mundial'!I44&lt;&gt;""),"X",0))),"|",'Porra Mundial'!H44,"-",'Porra Mundial'!I44)</f>
        <v>1|3-1</v>
      </c>
    </row>
    <row r="42" spans="2:3" x14ac:dyDescent="0.25">
      <c r="B42" s="395" t="str">
        <f>CONCATENATE('Porra Mundial'!F46,"-",'Porra Mundial'!K46)</f>
        <v>Bélgica-Panamá</v>
      </c>
      <c r="C42" s="399" t="str">
        <f>CONCATENATE(IF('Porra Mundial'!H46&gt;'Porra Mundial'!I46,1,IF('Porra Mundial'!H46&lt;'Porra Mundial'!I46,2,IF(AND('Porra Mundial'!H46='Porra Mundial'!I46,'Porra Mundial'!H46&lt;&gt;"",'Porra Mundial'!I46&lt;&gt;""),"X",0))),"|",'Porra Mundial'!H46,"-",'Porra Mundial'!I46)</f>
        <v>1|6-0</v>
      </c>
    </row>
    <row r="43" spans="2:3" x14ac:dyDescent="0.25">
      <c r="B43" s="395" t="str">
        <f>CONCATENATE('Porra Mundial'!F47,"-",'Porra Mundial'!K47)</f>
        <v>Túnez-Inglaterra</v>
      </c>
      <c r="C43" s="399" t="str">
        <f>CONCATENATE(IF('Porra Mundial'!H47&gt;'Porra Mundial'!I47,1,IF('Porra Mundial'!H47&lt;'Porra Mundial'!I47,2,IF(AND('Porra Mundial'!H47='Porra Mundial'!I47,'Porra Mundial'!H47&lt;&gt;"",'Porra Mundial'!I47&lt;&gt;""),"X",0))),"|",'Porra Mundial'!H47,"-",'Porra Mundial'!I47)</f>
        <v>2|1-4</v>
      </c>
    </row>
    <row r="44" spans="2:3" x14ac:dyDescent="0.25">
      <c r="B44" s="395" t="str">
        <f>CONCATENATE('Porra Mundial'!F48,"-",'Porra Mundial'!K48)</f>
        <v>Bélgica-Túnez</v>
      </c>
      <c r="C44" s="399" t="str">
        <f>CONCATENATE(IF('Porra Mundial'!H48&gt;'Porra Mundial'!I48,1,IF('Porra Mundial'!H48&lt;'Porra Mundial'!I48,2,IF(AND('Porra Mundial'!H48='Porra Mundial'!I48,'Porra Mundial'!H48&lt;&gt;"",'Porra Mundial'!I48&lt;&gt;""),"X",0))),"|",'Porra Mundial'!H48,"-",'Porra Mundial'!I48)</f>
        <v>1|4-1</v>
      </c>
    </row>
    <row r="45" spans="2:3" x14ac:dyDescent="0.25">
      <c r="B45" s="395" t="str">
        <f>CONCATENATE('Porra Mundial'!F49,"-",'Porra Mundial'!K49)</f>
        <v>Inglaterra-Panamá</v>
      </c>
      <c r="C45" s="399" t="str">
        <f>CONCATENATE(IF('Porra Mundial'!H49&gt;'Porra Mundial'!I49,1,IF('Porra Mundial'!H49&lt;'Porra Mundial'!I49,2,IF(AND('Porra Mundial'!H49='Porra Mundial'!I49,'Porra Mundial'!H49&lt;&gt;"",'Porra Mundial'!I49&lt;&gt;""),"X",0))),"|",'Porra Mundial'!H49,"-",'Porra Mundial'!I49)</f>
        <v>1|3-0</v>
      </c>
    </row>
    <row r="46" spans="2:3" x14ac:dyDescent="0.25">
      <c r="B46" s="395" t="str">
        <f>CONCATENATE('Porra Mundial'!F50,"-",'Porra Mundial'!K50)</f>
        <v>Inglaterra-Bélgica</v>
      </c>
      <c r="C46" s="399" t="str">
        <f>CONCATENATE(IF('Porra Mundial'!H50&gt;'Porra Mundial'!I50,1,IF('Porra Mundial'!H50&lt;'Porra Mundial'!I50,2,IF(AND('Porra Mundial'!H50='Porra Mundial'!I50,'Porra Mundial'!H50&lt;&gt;"",'Porra Mundial'!I50&lt;&gt;""),"X",0))),"|",'Porra Mundial'!H50,"-",'Porra Mundial'!I50)</f>
        <v>X|3-3</v>
      </c>
    </row>
    <row r="47" spans="2:3" x14ac:dyDescent="0.25">
      <c r="B47" s="395" t="str">
        <f>CONCATENATE('Porra Mundial'!F51,"-",'Porra Mundial'!K51)</f>
        <v>Panamá-Túnez</v>
      </c>
      <c r="C47" s="399" t="str">
        <f>CONCATENATE(IF('Porra Mundial'!H51&gt;'Porra Mundial'!I51,1,IF('Porra Mundial'!H51&lt;'Porra Mundial'!I51,2,IF(AND('Porra Mundial'!H51='Porra Mundial'!I51,'Porra Mundial'!H51&lt;&gt;"",'Porra Mundial'!I51&lt;&gt;""),"X",0))),"|",'Porra Mundial'!H51,"-",'Porra Mundial'!I51)</f>
        <v>2|1-2</v>
      </c>
    </row>
    <row r="48" spans="2:3" x14ac:dyDescent="0.25">
      <c r="B48" s="395" t="str">
        <f>CONCATENATE('Porra Mundial'!F53,"-",'Porra Mundial'!K53)</f>
        <v>Polonia-Senegal</v>
      </c>
      <c r="C48" s="399" t="str">
        <f>CONCATENATE(IF('Porra Mundial'!H53&gt;'Porra Mundial'!I53,1,IF('Porra Mundial'!H53&lt;'Porra Mundial'!I53,2,IF(AND('Porra Mundial'!H53='Porra Mundial'!I53,'Porra Mundial'!H53&lt;&gt;"",'Porra Mundial'!I53&lt;&gt;""),"X",0))),"|",'Porra Mundial'!H53,"-",'Porra Mundial'!I53)</f>
        <v>1|2-0</v>
      </c>
    </row>
    <row r="49" spans="2:3" x14ac:dyDescent="0.25">
      <c r="B49" s="395" t="str">
        <f>CONCATENATE('Porra Mundial'!F54,"-",'Porra Mundial'!K54)</f>
        <v>Colombia-Japón</v>
      </c>
      <c r="C49" s="399" t="str">
        <f>CONCATENATE(IF('Porra Mundial'!H54&gt;'Porra Mundial'!I54,1,IF('Porra Mundial'!H54&lt;'Porra Mundial'!I54,2,IF(AND('Porra Mundial'!H54='Porra Mundial'!I54,'Porra Mundial'!H54&lt;&gt;"",'Porra Mundial'!I54&lt;&gt;""),"X",0))),"|",'Porra Mundial'!H54,"-",'Porra Mundial'!I54)</f>
        <v>1|2-1</v>
      </c>
    </row>
    <row r="50" spans="2:3" x14ac:dyDescent="0.25">
      <c r="B50" s="395" t="str">
        <f>CONCATENATE('Porra Mundial'!F55,"-",'Porra Mundial'!K55)</f>
        <v>Polonia-Colombia</v>
      </c>
      <c r="C50" s="399" t="str">
        <f>CONCATENATE(IF('Porra Mundial'!H55&gt;'Porra Mundial'!I55,1,IF('Porra Mundial'!H55&lt;'Porra Mundial'!I55,2,IF(AND('Porra Mundial'!H55='Porra Mundial'!I55,'Porra Mundial'!H55&lt;&gt;"",'Porra Mundial'!I55&lt;&gt;""),"X",0))),"|",'Porra Mundial'!H55,"-",'Porra Mundial'!I55)</f>
        <v>X|2-2</v>
      </c>
    </row>
    <row r="51" spans="2:3" x14ac:dyDescent="0.25">
      <c r="B51" s="395" t="str">
        <f>CONCATENATE('Porra Mundial'!F56,"-",'Porra Mundial'!K56)</f>
        <v>Japón-Senegal</v>
      </c>
      <c r="C51" s="399" t="str">
        <f>CONCATENATE(IF('Porra Mundial'!H56&gt;'Porra Mundial'!I56,1,IF('Porra Mundial'!H56&lt;'Porra Mundial'!I56,2,IF(AND('Porra Mundial'!H56='Porra Mundial'!I56,'Porra Mundial'!H56&lt;&gt;"",'Porra Mundial'!I56&lt;&gt;""),"X",0))),"|",'Porra Mundial'!H56,"-",'Porra Mundial'!I56)</f>
        <v>1|3-1</v>
      </c>
    </row>
    <row r="52" spans="2:3" x14ac:dyDescent="0.25">
      <c r="B52" s="395" t="str">
        <f>CONCATENATE('Porra Mundial'!F57,"-",'Porra Mundial'!K57)</f>
        <v>Japón-Polonia</v>
      </c>
      <c r="C52" s="399" t="str">
        <f>CONCATENATE(IF('Porra Mundial'!H57&gt;'Porra Mundial'!I57,1,IF('Porra Mundial'!H57&lt;'Porra Mundial'!I57,2,IF(AND('Porra Mundial'!H57='Porra Mundial'!I57,'Porra Mundial'!H57&lt;&gt;"",'Porra Mundial'!I57&lt;&gt;""),"X",0))),"|",'Porra Mundial'!H57,"-",'Porra Mundial'!I57)</f>
        <v>X|1-1</v>
      </c>
    </row>
    <row r="53" spans="2:3" x14ac:dyDescent="0.25">
      <c r="B53" s="395" t="str">
        <f>CONCATENATE('Porra Mundial'!F58,"-",'Porra Mundial'!K58)</f>
        <v>Senegal-Colombia</v>
      </c>
      <c r="C53" s="399" t="str">
        <f>CONCATENATE(IF('Porra Mundial'!H58&gt;'Porra Mundial'!I58,1,IF('Porra Mundial'!H58&lt;'Porra Mundial'!I58,2,IF(AND('Porra Mundial'!H58='Porra Mundial'!I58,'Porra Mundial'!H58&lt;&gt;"",'Porra Mundial'!I58&lt;&gt;""),"X",0))),"|",'Porra Mundial'!H58,"-",'Porra Mundial'!I58)</f>
        <v>2|1-2</v>
      </c>
    </row>
    <row r="54" spans="2:3" x14ac:dyDescent="0.25">
      <c r="C54" s="399"/>
    </row>
    <row r="55" spans="2:3" ht="18.75" x14ac:dyDescent="0.3">
      <c r="B55" s="397" t="s">
        <v>57</v>
      </c>
      <c r="C55" s="399"/>
    </row>
    <row r="56" spans="2:3" x14ac:dyDescent="0.25">
      <c r="B56" s="395" t="s">
        <v>58</v>
      </c>
      <c r="C56" s="399" t="str">
        <f>IF(SUM('Porra Mundial'!$Q$6:$Q$9)=12,'Porra Mundial'!O6,B56)</f>
        <v>Uruguay</v>
      </c>
    </row>
    <row r="57" spans="2:3" x14ac:dyDescent="0.25">
      <c r="B57" s="395" t="s">
        <v>59</v>
      </c>
      <c r="C57" s="399" t="str">
        <f>IF(SUM('Porra Mundial'!$Q$6:$Q$9)=12,'Porra Mundial'!O7,B57)</f>
        <v>Rusia</v>
      </c>
    </row>
    <row r="58" spans="2:3" x14ac:dyDescent="0.25">
      <c r="B58" s="395" t="s">
        <v>60</v>
      </c>
      <c r="C58" s="399" t="str">
        <f>IF(SUM('Porra Mundial'!$Q$6:$Q$9)=12,'Porra Mundial'!O8,B58)</f>
        <v>Egipto</v>
      </c>
    </row>
    <row r="59" spans="2:3" x14ac:dyDescent="0.25">
      <c r="B59" s="395" t="s">
        <v>61</v>
      </c>
      <c r="C59" s="399" t="str">
        <f>IF(SUM('Porra Mundial'!$Q$6:$Q$9)=12,'Porra Mundial'!O9,B59)</f>
        <v>Arabia Saudí</v>
      </c>
    </row>
    <row r="60" spans="2:3" x14ac:dyDescent="0.25">
      <c r="B60" s="395" t="s">
        <v>62</v>
      </c>
      <c r="C60" s="399" t="str">
        <f>IF(SUM('Porra Mundial'!$Q$13:$Q$16)=12,'Porra Mundial'!O13,B60)</f>
        <v>España</v>
      </c>
    </row>
    <row r="61" spans="2:3" x14ac:dyDescent="0.25">
      <c r="B61" s="395" t="s">
        <v>65</v>
      </c>
      <c r="C61" s="399" t="str">
        <f>IF(SUM('Porra Mundial'!$Q$13:$Q$16)=12,'Porra Mundial'!O14,B61)</f>
        <v>Portugal</v>
      </c>
    </row>
    <row r="62" spans="2:3" x14ac:dyDescent="0.25">
      <c r="B62" s="395" t="s">
        <v>64</v>
      </c>
      <c r="C62" s="399" t="str">
        <f>IF(SUM('Porra Mundial'!$Q$13:$Q$16)=12,'Porra Mundial'!O15,B62)</f>
        <v>Marruecos</v>
      </c>
    </row>
    <row r="63" spans="2:3" x14ac:dyDescent="0.25">
      <c r="B63" s="395" t="s">
        <v>66</v>
      </c>
      <c r="C63" s="399" t="str">
        <f>IF(SUM('Porra Mundial'!$Q$13:$Q$16)=12,'Porra Mundial'!O16,B63)</f>
        <v>Irán</v>
      </c>
    </row>
    <row r="64" spans="2:3" x14ac:dyDescent="0.25">
      <c r="B64" s="395" t="s">
        <v>67</v>
      </c>
      <c r="C64" s="399" t="str">
        <f>IF(SUM('Porra Mundial'!$Q$20:$Q$23)=12,'Porra Mundial'!O20,B64)</f>
        <v>Francia</v>
      </c>
    </row>
    <row r="65" spans="2:3" x14ac:dyDescent="0.25">
      <c r="B65" s="395" t="s">
        <v>63</v>
      </c>
      <c r="C65" s="399" t="str">
        <f>IF(SUM('Porra Mundial'!$Q$20:$Q$23)=12,'Porra Mundial'!O21,B65)</f>
        <v>Perú</v>
      </c>
    </row>
    <row r="66" spans="2:3" x14ac:dyDescent="0.25">
      <c r="B66" s="395" t="s">
        <v>68</v>
      </c>
      <c r="C66" s="399" t="str">
        <f>IF(SUM('Porra Mundial'!$Q$20:$Q$23)=12,'Porra Mundial'!O22,B66)</f>
        <v>Dinamarca</v>
      </c>
    </row>
    <row r="67" spans="2:3" x14ac:dyDescent="0.25">
      <c r="B67" s="395" t="s">
        <v>69</v>
      </c>
      <c r="C67" s="399" t="str">
        <f>IF(SUM('Porra Mundial'!$Q$20:$Q$23)=12,'Porra Mundial'!O23,B67)</f>
        <v>Australia</v>
      </c>
    </row>
    <row r="68" spans="2:3" x14ac:dyDescent="0.25">
      <c r="B68" s="395" t="s">
        <v>70</v>
      </c>
      <c r="C68" s="399" t="str">
        <f>IF(SUM('Porra Mundial'!$Q$27:$Q$30)=12,'Porra Mundial'!O27,B68)</f>
        <v>Argentina</v>
      </c>
    </row>
    <row r="69" spans="2:3" x14ac:dyDescent="0.25">
      <c r="B69" s="395" t="s">
        <v>71</v>
      </c>
      <c r="C69" s="399" t="str">
        <f>IF(SUM('Porra Mundial'!$Q$27:$Q$30)=12,'Porra Mundial'!O28,B69)</f>
        <v>Croacia</v>
      </c>
    </row>
    <row r="70" spans="2:3" x14ac:dyDescent="0.25">
      <c r="B70" s="395" t="s">
        <v>72</v>
      </c>
      <c r="C70" s="399" t="str">
        <f>IF(SUM('Porra Mundial'!$Q$27:$Q$30)=12,'Porra Mundial'!O29,B70)</f>
        <v>Nigeria</v>
      </c>
    </row>
    <row r="71" spans="2:3" x14ac:dyDescent="0.25">
      <c r="B71" s="395" t="s">
        <v>73</v>
      </c>
      <c r="C71" s="399" t="str">
        <f>IF(SUM('Porra Mundial'!$Q$27:$Q$30)=12,'Porra Mundial'!O30,B71)</f>
        <v>Islandia</v>
      </c>
    </row>
    <row r="72" spans="2:3" x14ac:dyDescent="0.25">
      <c r="B72" s="395" t="s">
        <v>74</v>
      </c>
      <c r="C72" s="399" t="str">
        <f>IF(SUM('Porra Mundial'!$Q$34:$Q$37)=12,'Porra Mundial'!O34,B72)</f>
        <v>Brasil</v>
      </c>
    </row>
    <row r="73" spans="2:3" x14ac:dyDescent="0.25">
      <c r="B73" s="395" t="s">
        <v>75</v>
      </c>
      <c r="C73" s="399" t="str">
        <f>IF(SUM('Porra Mundial'!$Q$34:$Q$37)=12,'Porra Mundial'!O35,B73)</f>
        <v>Suiza</v>
      </c>
    </row>
    <row r="74" spans="2:3" x14ac:dyDescent="0.25">
      <c r="B74" s="395" t="s">
        <v>76</v>
      </c>
      <c r="C74" s="399" t="str">
        <f>IF(SUM('Porra Mundial'!$Q$34:$Q$37)=12,'Porra Mundial'!O36,B74)</f>
        <v>Serbia</v>
      </c>
    </row>
    <row r="75" spans="2:3" x14ac:dyDescent="0.25">
      <c r="B75" s="395" t="s">
        <v>77</v>
      </c>
      <c r="C75" s="399" t="str">
        <f>IF(SUM('Porra Mundial'!$Q$34:$Q$37)=12,'Porra Mundial'!O37,B75)</f>
        <v>Costa Rica</v>
      </c>
    </row>
    <row r="76" spans="2:3" x14ac:dyDescent="0.25">
      <c r="B76" s="395" t="s">
        <v>78</v>
      </c>
      <c r="C76" s="399" t="str">
        <f>IF(SUM('Porra Mundial'!$Q$41:$Q$44)=12,'Porra Mundial'!O41,B76)</f>
        <v>Alemania</v>
      </c>
    </row>
    <row r="77" spans="2:3" x14ac:dyDescent="0.25">
      <c r="B77" s="395" t="s">
        <v>79</v>
      </c>
      <c r="C77" s="399" t="str">
        <f>IF(SUM('Porra Mundial'!$Q$41:$Q$44)=12,'Porra Mundial'!O42,B77)</f>
        <v>México</v>
      </c>
    </row>
    <row r="78" spans="2:3" x14ac:dyDescent="0.25">
      <c r="B78" s="395" t="s">
        <v>80</v>
      </c>
      <c r="C78" s="399" t="str">
        <f>IF(SUM('Porra Mundial'!$Q$41:$Q$44)=12,'Porra Mundial'!O43,B78)</f>
        <v>Suecia</v>
      </c>
    </row>
    <row r="79" spans="2:3" x14ac:dyDescent="0.25">
      <c r="B79" s="395" t="s">
        <v>81</v>
      </c>
      <c r="C79" s="399" t="str">
        <f>IF(SUM('Porra Mundial'!$Q$41:$Q$44)=12,'Porra Mundial'!O44,B79)</f>
        <v>Rep. de Corea</v>
      </c>
    </row>
    <row r="80" spans="2:3" x14ac:dyDescent="0.25">
      <c r="B80" s="395" t="s">
        <v>119</v>
      </c>
      <c r="C80" s="399" t="str">
        <f>IF(SUM('Porra Mundial'!$Q$48:$Q$51)=12,'Porra Mundial'!O48,B80)</f>
        <v>Bélgica</v>
      </c>
    </row>
    <row r="81" spans="2:3" x14ac:dyDescent="0.25">
      <c r="B81" s="395" t="s">
        <v>120</v>
      </c>
      <c r="C81" s="399" t="str">
        <f>IF(SUM('Porra Mundial'!$Q$48:$Q$51)=12,'Porra Mundial'!O49,B81)</f>
        <v>Inglaterra</v>
      </c>
    </row>
    <row r="82" spans="2:3" x14ac:dyDescent="0.25">
      <c r="B82" s="395" t="s">
        <v>121</v>
      </c>
      <c r="C82" s="399" t="str">
        <f>IF(SUM('Porra Mundial'!$Q$48:$Q$51)=12,'Porra Mundial'!O50,B82)</f>
        <v>Túnez</v>
      </c>
    </row>
    <row r="83" spans="2:3" x14ac:dyDescent="0.25">
      <c r="B83" s="395" t="s">
        <v>122</v>
      </c>
      <c r="C83" s="399" t="str">
        <f>IF(SUM('Porra Mundial'!$Q$48:$Q$51)=12,'Porra Mundial'!O51,B83)</f>
        <v>Panamá</v>
      </c>
    </row>
    <row r="84" spans="2:3" x14ac:dyDescent="0.25">
      <c r="B84" s="395" t="s">
        <v>123</v>
      </c>
      <c r="C84" s="399" t="str">
        <f>IF(SUM('Porra Mundial'!$Q$55:$Q$58)=12,'Porra Mundial'!O55,B84)</f>
        <v>Colombia</v>
      </c>
    </row>
    <row r="85" spans="2:3" x14ac:dyDescent="0.25">
      <c r="B85" s="395" t="s">
        <v>124</v>
      </c>
      <c r="C85" s="399" t="str">
        <f>IF(SUM('Porra Mundial'!$Q$55:$Q$58)=12,'Porra Mundial'!O56,B85)</f>
        <v>Polonia</v>
      </c>
    </row>
    <row r="86" spans="2:3" x14ac:dyDescent="0.25">
      <c r="B86" s="395" t="s">
        <v>125</v>
      </c>
      <c r="C86" s="399" t="str">
        <f>IF(SUM('Porra Mundial'!$Q$55:$Q$58)=12,'Porra Mundial'!O57,B86)</f>
        <v>Japón</v>
      </c>
    </row>
    <row r="87" spans="2:3" x14ac:dyDescent="0.25">
      <c r="B87" s="395" t="s">
        <v>126</v>
      </c>
      <c r="C87" s="399" t="str">
        <f>IF(SUM('Porra Mundial'!$Q$55:$Q$58)=12,'Porra Mundial'!O58,B87)</f>
        <v>Senegal</v>
      </c>
    </row>
    <row r="88" spans="2:3" x14ac:dyDescent="0.25">
      <c r="C88" s="399"/>
    </row>
    <row r="89" spans="2:3" ht="18.75" x14ac:dyDescent="0.3">
      <c r="B89" s="397" t="s">
        <v>84</v>
      </c>
      <c r="C89" s="399"/>
    </row>
    <row r="90" spans="2:3" x14ac:dyDescent="0.25">
      <c r="B90" s="395" t="s">
        <v>82</v>
      </c>
      <c r="C90" s="399" t="str">
        <f>'Porra Mundial'!F64</f>
        <v>Uruguay</v>
      </c>
    </row>
    <row r="91" spans="2:3" x14ac:dyDescent="0.25">
      <c r="B91" s="395" t="s">
        <v>82</v>
      </c>
      <c r="C91" s="399" t="str">
        <f>'Porra Mundial'!F65</f>
        <v>Francia</v>
      </c>
    </row>
    <row r="92" spans="2:3" x14ac:dyDescent="0.25">
      <c r="B92" s="395" t="s">
        <v>82</v>
      </c>
      <c r="C92" s="399" t="str">
        <f>'Porra Mundial'!F66</f>
        <v>España</v>
      </c>
    </row>
    <row r="93" spans="2:3" x14ac:dyDescent="0.25">
      <c r="B93" s="395" t="s">
        <v>82</v>
      </c>
      <c r="C93" s="399" t="str">
        <f>'Porra Mundial'!F67</f>
        <v>Argentina</v>
      </c>
    </row>
    <row r="94" spans="2:3" x14ac:dyDescent="0.25">
      <c r="B94" s="395" t="s">
        <v>82</v>
      </c>
      <c r="C94" s="399" t="str">
        <f>'Porra Mundial'!F68</f>
        <v>Brasil</v>
      </c>
    </row>
    <row r="95" spans="2:3" x14ac:dyDescent="0.25">
      <c r="B95" s="395" t="s">
        <v>82</v>
      </c>
      <c r="C95" s="399" t="str">
        <f>'Porra Mundial'!F69</f>
        <v>Bélgica</v>
      </c>
    </row>
    <row r="96" spans="2:3" x14ac:dyDescent="0.25">
      <c r="B96" s="395" t="s">
        <v>82</v>
      </c>
      <c r="C96" s="399" t="str">
        <f>'Porra Mundial'!F70</f>
        <v>Alemania</v>
      </c>
    </row>
    <row r="97" spans="2:3" x14ac:dyDescent="0.25">
      <c r="B97" s="395" t="s">
        <v>82</v>
      </c>
      <c r="C97" s="399" t="str">
        <f>'Porra Mundial'!F71</f>
        <v>Colombia</v>
      </c>
    </row>
    <row r="98" spans="2:3" x14ac:dyDescent="0.25">
      <c r="B98" s="395" t="s">
        <v>82</v>
      </c>
      <c r="C98" s="399" t="str">
        <f>'Porra Mundial'!K64</f>
        <v>Portugal</v>
      </c>
    </row>
    <row r="99" spans="2:3" x14ac:dyDescent="0.25">
      <c r="B99" s="395" t="s">
        <v>82</v>
      </c>
      <c r="C99" s="399" t="str">
        <f>'Porra Mundial'!K65</f>
        <v>Croacia</v>
      </c>
    </row>
    <row r="100" spans="2:3" x14ac:dyDescent="0.25">
      <c r="B100" s="395" t="s">
        <v>82</v>
      </c>
      <c r="C100" s="399" t="str">
        <f>'Porra Mundial'!K66</f>
        <v>Rusia</v>
      </c>
    </row>
    <row r="101" spans="2:3" x14ac:dyDescent="0.25">
      <c r="B101" s="395" t="s">
        <v>82</v>
      </c>
      <c r="C101" s="399" t="str">
        <f>'Porra Mundial'!K67</f>
        <v>Perú</v>
      </c>
    </row>
    <row r="102" spans="2:3" x14ac:dyDescent="0.25">
      <c r="B102" s="395" t="s">
        <v>82</v>
      </c>
      <c r="C102" s="399" t="str">
        <f>'Porra Mundial'!K68</f>
        <v>México</v>
      </c>
    </row>
    <row r="103" spans="2:3" x14ac:dyDescent="0.25">
      <c r="B103" s="395" t="s">
        <v>82</v>
      </c>
      <c r="C103" s="399" t="str">
        <f>'Porra Mundial'!K69</f>
        <v>Polonia</v>
      </c>
    </row>
    <row r="104" spans="2:3" x14ac:dyDescent="0.25">
      <c r="B104" s="395" t="s">
        <v>82</v>
      </c>
      <c r="C104" s="399" t="str">
        <f>'Porra Mundial'!K70</f>
        <v>Suiza</v>
      </c>
    </row>
    <row r="105" spans="2:3" x14ac:dyDescent="0.25">
      <c r="B105" s="395" t="s">
        <v>82</v>
      </c>
      <c r="C105" s="399" t="str">
        <f>'Porra Mundial'!K71</f>
        <v>Inglaterra</v>
      </c>
    </row>
    <row r="106" spans="2:3" x14ac:dyDescent="0.25">
      <c r="C106" s="399"/>
    </row>
    <row r="107" spans="2:3" ht="18.75" x14ac:dyDescent="0.3">
      <c r="B107" s="397" t="s">
        <v>96</v>
      </c>
      <c r="C107" s="399"/>
    </row>
    <row r="108" spans="2:3" x14ac:dyDescent="0.25">
      <c r="B108" s="395" t="str">
        <f>CONCATENATE('Porra Mundial'!F64,"-",'Porra Mundial'!K64)</f>
        <v>Uruguay-Portugal</v>
      </c>
      <c r="C108" s="399" t="str">
        <f>CONCATENATE('Porra Mundial'!F64,"-",'Porra Mundial'!K64,"· ",IF('Porra Mundial'!H64&gt;'Porra Mundial'!I64,1,IF('Porra Mundial'!H64&lt;'Porra Mundial'!I64,2,IF(AND('Porra Mundial'!H64='Porra Mundial'!I64,'Porra Mundial'!H64&lt;&gt;"",'Porra Mundial'!I64&lt;&gt;""),"X",0))),"|",'Porra Mundial'!H64,"-",'Porra Mundial'!I64)</f>
        <v>Uruguay-Portugal· X|2-2</v>
      </c>
    </row>
    <row r="109" spans="2:3" x14ac:dyDescent="0.25">
      <c r="B109" s="395" t="str">
        <f>CONCATENATE('Porra Mundial'!F65,"-",'Porra Mundial'!K65)</f>
        <v>Francia-Croacia</v>
      </c>
      <c r="C109" s="399" t="str">
        <f>CONCATENATE('Porra Mundial'!F65,"-",'Porra Mundial'!K65,"· ",IF('Porra Mundial'!H65&gt;'Porra Mundial'!I65,1,IF('Porra Mundial'!H65&lt;'Porra Mundial'!I65,2,IF(AND('Porra Mundial'!H65='Porra Mundial'!I65,'Porra Mundial'!H65&lt;&gt;"",'Porra Mundial'!I65&lt;&gt;""),"X",0))),"|",'Porra Mundial'!H65,"-",'Porra Mundial'!I65)</f>
        <v>Francia-Croacia· 1|3-1</v>
      </c>
    </row>
    <row r="110" spans="2:3" x14ac:dyDescent="0.25">
      <c r="B110" s="395" t="str">
        <f>CONCATENATE('Porra Mundial'!F66,"-",'Porra Mundial'!K66)</f>
        <v>España-Rusia</v>
      </c>
      <c r="C110" s="399" t="str">
        <f>CONCATENATE('Porra Mundial'!F66,"-",'Porra Mundial'!K66,"· ",IF('Porra Mundial'!H66&gt;'Porra Mundial'!I66,1,IF('Porra Mundial'!H66&lt;'Porra Mundial'!I66,2,IF(AND('Porra Mundial'!H66='Porra Mundial'!I66,'Porra Mundial'!H66&lt;&gt;"",'Porra Mundial'!I66&lt;&gt;""),"X",0))),"|",'Porra Mundial'!H66,"-",'Porra Mundial'!I66)</f>
        <v>España-Rusia· 1|3-2</v>
      </c>
    </row>
    <row r="111" spans="2:3" x14ac:dyDescent="0.25">
      <c r="B111" s="395" t="str">
        <f>CONCATENATE('Porra Mundial'!F67,"-",'Porra Mundial'!K67)</f>
        <v>Argentina-Perú</v>
      </c>
      <c r="C111" s="399" t="str">
        <f>CONCATENATE('Porra Mundial'!F67,"-",'Porra Mundial'!K67,"· ",IF('Porra Mundial'!H67&gt;'Porra Mundial'!I67,1,IF('Porra Mundial'!H67&lt;'Porra Mundial'!I67,2,IF(AND('Porra Mundial'!H67='Porra Mundial'!I67,'Porra Mundial'!H67&lt;&gt;"",'Porra Mundial'!I67&lt;&gt;""),"X",0))),"|",'Porra Mundial'!H67,"-",'Porra Mundial'!I67)</f>
        <v>Argentina-Perú· X|1-1</v>
      </c>
    </row>
    <row r="112" spans="2:3" x14ac:dyDescent="0.25">
      <c r="B112" s="395" t="str">
        <f>CONCATENATE('Porra Mundial'!F68,"-",'Porra Mundial'!K68)</f>
        <v>Brasil-México</v>
      </c>
      <c r="C112" s="399" t="str">
        <f>CONCATENATE('Porra Mundial'!F68,"-",'Porra Mundial'!K68,"· ",IF('Porra Mundial'!H68&gt;'Porra Mundial'!I68,1,IF('Porra Mundial'!H68&lt;'Porra Mundial'!I68,2,IF(AND('Porra Mundial'!H68='Porra Mundial'!I68,'Porra Mundial'!H68&lt;&gt;"",'Porra Mundial'!I68&lt;&gt;""),"X",0))),"|",'Porra Mundial'!H68,"-",'Porra Mundial'!I68)</f>
        <v>Brasil-México· 1|4-1</v>
      </c>
    </row>
    <row r="113" spans="2:3" x14ac:dyDescent="0.25">
      <c r="B113" s="395" t="str">
        <f>CONCATENATE('Porra Mundial'!F69,"-",'Porra Mundial'!K69)</f>
        <v>Bélgica-Polonia</v>
      </c>
      <c r="C113" s="399" t="str">
        <f>CONCATENATE('Porra Mundial'!F69,"-",'Porra Mundial'!K69,"· ",IF('Porra Mundial'!H69&gt;'Porra Mundial'!I69,1,IF('Porra Mundial'!H69&lt;'Porra Mundial'!I69,2,IF(AND('Porra Mundial'!H69='Porra Mundial'!I69,'Porra Mundial'!H69&lt;&gt;"",'Porra Mundial'!I69&lt;&gt;""),"X",0))),"|",'Porra Mundial'!H69,"-",'Porra Mundial'!I69)</f>
        <v>Bélgica-Polonia· 1|4-2</v>
      </c>
    </row>
    <row r="114" spans="2:3" x14ac:dyDescent="0.25">
      <c r="B114" s="395" t="str">
        <f>CONCATENATE('Porra Mundial'!F70,"-",'Porra Mundial'!K70)</f>
        <v>Alemania-Suiza</v>
      </c>
      <c r="C114" s="399" t="str">
        <f>CONCATENATE('Porra Mundial'!F70,"-",'Porra Mundial'!K70,"· ",IF('Porra Mundial'!H70&gt;'Porra Mundial'!I70,1,IF('Porra Mundial'!H70&lt;'Porra Mundial'!I70,2,IF(AND('Porra Mundial'!H70='Porra Mundial'!I70,'Porra Mundial'!H70&lt;&gt;"",'Porra Mundial'!I70&lt;&gt;""),"X",0))),"|",'Porra Mundial'!H70,"-",'Porra Mundial'!I70)</f>
        <v>Alemania-Suiza· 1|3-1</v>
      </c>
    </row>
    <row r="115" spans="2:3" x14ac:dyDescent="0.25">
      <c r="B115" s="395" t="str">
        <f>CONCATENATE('Porra Mundial'!F71,"-",'Porra Mundial'!K71)</f>
        <v>Colombia-Inglaterra</v>
      </c>
      <c r="C115" s="399" t="str">
        <f>CONCATENATE('Porra Mundial'!F71,"-",'Porra Mundial'!K71,"· ",IF('Porra Mundial'!H71&gt;'Porra Mundial'!I71,1,IF('Porra Mundial'!H71&lt;'Porra Mundial'!I71,2,IF(AND('Porra Mundial'!H71='Porra Mundial'!I71,'Porra Mundial'!H71&lt;&gt;"",'Porra Mundial'!I71&lt;&gt;""),"X",0))),"|",'Porra Mundial'!H71,"-",'Porra Mundial'!I71)</f>
        <v>Colombia-Inglaterra· X|2-2</v>
      </c>
    </row>
    <row r="116" spans="2:3" x14ac:dyDescent="0.25">
      <c r="C116" s="399"/>
    </row>
    <row r="117" spans="2:3" ht="18.75" x14ac:dyDescent="0.3">
      <c r="B117" s="397" t="s">
        <v>83</v>
      </c>
      <c r="C117" s="399"/>
    </row>
    <row r="118" spans="2:3" x14ac:dyDescent="0.25">
      <c r="B118" s="395" t="s">
        <v>85</v>
      </c>
      <c r="C118" s="399" t="str">
        <f>'Porra Mundial'!F74</f>
        <v>Uruguay</v>
      </c>
    </row>
    <row r="119" spans="2:3" x14ac:dyDescent="0.25">
      <c r="B119" s="395" t="s">
        <v>85</v>
      </c>
      <c r="C119" s="399" t="str">
        <f>'Porra Mundial'!F75</f>
        <v>Brasil</v>
      </c>
    </row>
    <row r="120" spans="2:3" x14ac:dyDescent="0.25">
      <c r="B120" s="395" t="s">
        <v>85</v>
      </c>
      <c r="C120" s="399" t="str">
        <f>'Porra Mundial'!F76</f>
        <v>España</v>
      </c>
    </row>
    <row r="121" spans="2:3" x14ac:dyDescent="0.25">
      <c r="B121" s="395" t="s">
        <v>85</v>
      </c>
      <c r="C121" s="399" t="str">
        <f>'Porra Mundial'!F77</f>
        <v>Alemania</v>
      </c>
    </row>
    <row r="122" spans="2:3" x14ac:dyDescent="0.25">
      <c r="B122" s="395" t="s">
        <v>85</v>
      </c>
      <c r="C122" s="399" t="str">
        <f>'Porra Mundial'!K74</f>
        <v>Francia</v>
      </c>
    </row>
    <row r="123" spans="2:3" x14ac:dyDescent="0.25">
      <c r="B123" s="395" t="s">
        <v>85</v>
      </c>
      <c r="C123" s="399" t="str">
        <f>'Porra Mundial'!K75</f>
        <v>Bélgica</v>
      </c>
    </row>
    <row r="124" spans="2:3" x14ac:dyDescent="0.25">
      <c r="B124" s="395" t="s">
        <v>85</v>
      </c>
      <c r="C124" s="399" t="str">
        <f>'Porra Mundial'!K76</f>
        <v>Argentina</v>
      </c>
    </row>
    <row r="125" spans="2:3" x14ac:dyDescent="0.25">
      <c r="B125" s="395" t="s">
        <v>85</v>
      </c>
      <c r="C125" s="399" t="str">
        <f>'Porra Mundial'!K77</f>
        <v>Colombia</v>
      </c>
    </row>
    <row r="126" spans="2:3" x14ac:dyDescent="0.25">
      <c r="C126" s="399"/>
    </row>
    <row r="127" spans="2:3" ht="18.75" x14ac:dyDescent="0.3">
      <c r="B127" s="397" t="s">
        <v>97</v>
      </c>
      <c r="C127" s="399"/>
    </row>
    <row r="128" spans="2:3" x14ac:dyDescent="0.25">
      <c r="B128" s="395" t="str">
        <f>CONCATENATE('Porra Mundial'!F74,"-",'Porra Mundial'!K74)</f>
        <v>Uruguay-Francia</v>
      </c>
      <c r="C128" s="399" t="str">
        <f>CONCATENATE('Porra Mundial'!F74,"-",'Porra Mundial'!K74,"· ",IF('Porra Mundial'!H74&gt;'Porra Mundial'!I74,1,IF('Porra Mundial'!H74&lt;'Porra Mundial'!I74,2,IF(AND('Porra Mundial'!H74='Porra Mundial'!I74,'Porra Mundial'!H74&lt;&gt;"",'Porra Mundial'!I74&lt;&gt;""),"X",0))),"|",'Porra Mundial'!H74,"-",'Porra Mundial'!I74)</f>
        <v>Uruguay-Francia· 2|1-3</v>
      </c>
    </row>
    <row r="129" spans="2:3" x14ac:dyDescent="0.25">
      <c r="B129" s="395" t="str">
        <f>CONCATENATE('Porra Mundial'!F75,"-",'Porra Mundial'!K75)</f>
        <v>Brasil-Bélgica</v>
      </c>
      <c r="C129" s="399" t="str">
        <f>CONCATENATE('Porra Mundial'!F75,"-",'Porra Mundial'!K75,"· ",IF('Porra Mundial'!H75&gt;'Porra Mundial'!I75,1,IF('Porra Mundial'!H75&lt;'Porra Mundial'!I75,2,IF(AND('Porra Mundial'!H75='Porra Mundial'!I75,'Porra Mundial'!H75&lt;&gt;"",'Porra Mundial'!I75&lt;&gt;""),"X",0))),"|",'Porra Mundial'!H75,"-",'Porra Mundial'!I75)</f>
        <v>Brasil-Bélgica· X|2-2</v>
      </c>
    </row>
    <row r="130" spans="2:3" x14ac:dyDescent="0.25">
      <c r="B130" s="395" t="str">
        <f>CONCATENATE('Porra Mundial'!F76,"-",'Porra Mundial'!K76)</f>
        <v>España-Argentina</v>
      </c>
      <c r="C130" s="399" t="str">
        <f>CONCATENATE('Porra Mundial'!F76,"-",'Porra Mundial'!K76,"· ",IF('Porra Mundial'!H76&gt;'Porra Mundial'!I76,1,IF('Porra Mundial'!H76&lt;'Porra Mundial'!I76,2,IF(AND('Porra Mundial'!H76='Porra Mundial'!I76,'Porra Mundial'!H76&lt;&gt;"",'Porra Mundial'!I76&lt;&gt;""),"X",0))),"|",'Porra Mundial'!H76,"-",'Porra Mundial'!I76)</f>
        <v>España-Argentina· 1|4-1</v>
      </c>
    </row>
    <row r="131" spans="2:3" x14ac:dyDescent="0.25">
      <c r="B131" s="395" t="str">
        <f>CONCATENATE('Porra Mundial'!F77,"-",'Porra Mundial'!K77)</f>
        <v>Alemania-Colombia</v>
      </c>
      <c r="C131" s="399" t="str">
        <f>CONCATENATE('Porra Mundial'!F77,"-",'Porra Mundial'!K77,"· ",IF('Porra Mundial'!H77&gt;'Porra Mundial'!I77,1,IF('Porra Mundial'!H77&lt;'Porra Mundial'!I77,2,IF(AND('Porra Mundial'!H77='Porra Mundial'!I77,'Porra Mundial'!H77&lt;&gt;"",'Porra Mundial'!I77&lt;&gt;""),"X",0))),"|",'Porra Mundial'!H77,"-",'Porra Mundial'!I77)</f>
        <v>Alemania-Colombia· 1|3-1</v>
      </c>
    </row>
    <row r="132" spans="2:3" x14ac:dyDescent="0.25">
      <c r="C132" s="399"/>
    </row>
    <row r="133" spans="2:3" ht="18.75" x14ac:dyDescent="0.3">
      <c r="B133" s="397" t="s">
        <v>86</v>
      </c>
      <c r="C133" s="399"/>
    </row>
    <row r="134" spans="2:3" x14ac:dyDescent="0.25">
      <c r="B134" s="395" t="s">
        <v>87</v>
      </c>
      <c r="C134" s="399" t="str">
        <f>'Porra Mundial'!F80</f>
        <v>Francia</v>
      </c>
    </row>
    <row r="135" spans="2:3" x14ac:dyDescent="0.25">
      <c r="B135" s="395" t="s">
        <v>87</v>
      </c>
      <c r="C135" s="399" t="str">
        <f>'Porra Mundial'!F81</f>
        <v>España</v>
      </c>
    </row>
    <row r="136" spans="2:3" x14ac:dyDescent="0.25">
      <c r="B136" s="395" t="s">
        <v>87</v>
      </c>
      <c r="C136" s="399" t="str">
        <f>'Porra Mundial'!K80</f>
        <v>Brasil</v>
      </c>
    </row>
    <row r="137" spans="2:3" x14ac:dyDescent="0.25">
      <c r="B137" s="395" t="s">
        <v>87</v>
      </c>
      <c r="C137" s="399" t="str">
        <f>'Porra Mundial'!K81</f>
        <v>Alemania</v>
      </c>
    </row>
    <row r="138" spans="2:3" x14ac:dyDescent="0.25">
      <c r="C138" s="399"/>
    </row>
    <row r="139" spans="2:3" ht="18.75" x14ac:dyDescent="0.3">
      <c r="B139" s="397" t="s">
        <v>98</v>
      </c>
      <c r="C139" s="399"/>
    </row>
    <row r="140" spans="2:3" x14ac:dyDescent="0.25">
      <c r="B140" s="395" t="str">
        <f>CONCATENATE('Porra Mundial'!F80,"-",'Porra Mundial'!K80)</f>
        <v>Francia-Brasil</v>
      </c>
      <c r="C140" s="399" t="str">
        <f>CONCATENATE('Porra Mundial'!F80,"-",'Porra Mundial'!K80,"· ",IF('Porra Mundial'!H80&gt;'Porra Mundial'!I80,1,IF('Porra Mundial'!H80&lt;'Porra Mundial'!I80,2,IF(AND('Porra Mundial'!H80='Porra Mundial'!I80,'Porra Mundial'!H80&lt;&gt;"",'Porra Mundial'!I80&lt;&gt;""),"X",0))),"|",'Porra Mundial'!H80,"-",'Porra Mundial'!I80)</f>
        <v>Francia-Brasil· 0|-</v>
      </c>
    </row>
    <row r="141" spans="2:3" x14ac:dyDescent="0.25">
      <c r="B141" s="395" t="str">
        <f>CONCATENATE('Porra Mundial'!F81,"-",'Porra Mundial'!K81)</f>
        <v>España-Alemania</v>
      </c>
      <c r="C141" s="399" t="str">
        <f>CONCATENATE('Porra Mundial'!F81,"-",'Porra Mundial'!K81,"· ",IF('Porra Mundial'!H81&gt;'Porra Mundial'!I81,1,IF('Porra Mundial'!H81&lt;'Porra Mundial'!I81,2,IF(AND('Porra Mundial'!H81='Porra Mundial'!I81,'Porra Mundial'!H81&lt;&gt;"",'Porra Mundial'!I81&lt;&gt;""),"X",0))),"|",'Porra Mundial'!H81,"-",'Porra Mundial'!I81)</f>
        <v>España-Alemania· 0|-</v>
      </c>
    </row>
    <row r="142" spans="2:3" x14ac:dyDescent="0.25">
      <c r="C142" s="399"/>
    </row>
    <row r="143" spans="2:3" ht="18.75" x14ac:dyDescent="0.3">
      <c r="B143" s="397" t="s">
        <v>110</v>
      </c>
      <c r="C143" s="399"/>
    </row>
    <row r="144" spans="2:3" x14ac:dyDescent="0.25">
      <c r="B144" s="395" t="s">
        <v>129</v>
      </c>
      <c r="C144" s="399" t="str">
        <f>'Porra Mundial'!F84</f>
        <v>L61</v>
      </c>
    </row>
    <row r="145" spans="2:3" x14ac:dyDescent="0.25">
      <c r="B145" s="395" t="s">
        <v>130</v>
      </c>
      <c r="C145" s="399" t="str">
        <f>'Porra Mundial'!K84</f>
        <v>L62</v>
      </c>
    </row>
    <row r="146" spans="2:3" x14ac:dyDescent="0.25">
      <c r="C146" s="399"/>
    </row>
    <row r="147" spans="2:3" ht="18.75" x14ac:dyDescent="0.3">
      <c r="B147" s="397" t="s">
        <v>127</v>
      </c>
      <c r="C147" s="399"/>
    </row>
    <row r="148" spans="2:3" x14ac:dyDescent="0.25">
      <c r="B148" s="395" t="str">
        <f>CONCATENATE('Porra Mundial'!F84,"-",'Porra Mundial'!K84)</f>
        <v>L61-L62</v>
      </c>
      <c r="C148" s="399" t="str">
        <f>CONCATENATE('Porra Mundial'!F84,"-",'Porra Mundial'!K84,"· ",IF('Porra Mundial'!H84&gt;'Porra Mundial'!I84,1,IF('Porra Mundial'!H84&lt;'Porra Mundial'!I84,2,IF(AND('Porra Mundial'!H84='Porra Mundial'!I84,'Porra Mundial'!H84&lt;&gt;"",'Porra Mundial'!I84&lt;&gt;""),"X",0))),"|",'Porra Mundial'!H84,"-",'Porra Mundial'!I84)</f>
        <v>L61-L62· 0|-</v>
      </c>
    </row>
    <row r="149" spans="2:3" x14ac:dyDescent="0.25">
      <c r="C149" s="399"/>
    </row>
    <row r="150" spans="2:3" ht="18.75" x14ac:dyDescent="0.3">
      <c r="B150" s="397" t="s">
        <v>88</v>
      </c>
      <c r="C150" s="399"/>
    </row>
    <row r="151" spans="2:3" x14ac:dyDescent="0.25">
      <c r="B151" s="395" t="s">
        <v>90</v>
      </c>
      <c r="C151" s="399" t="str">
        <f>'Porra Mundial'!F87</f>
        <v>W61</v>
      </c>
    </row>
    <row r="152" spans="2:3" x14ac:dyDescent="0.25">
      <c r="B152" s="395" t="s">
        <v>90</v>
      </c>
      <c r="C152" s="399" t="str">
        <f>'Porra Mundial'!K87</f>
        <v>W62</v>
      </c>
    </row>
    <row r="153" spans="2:3" x14ac:dyDescent="0.25">
      <c r="C153" s="399"/>
    </row>
    <row r="154" spans="2:3" ht="18.75" x14ac:dyDescent="0.3">
      <c r="B154" s="397" t="s">
        <v>99</v>
      </c>
      <c r="C154" s="399"/>
    </row>
    <row r="155" spans="2:3" x14ac:dyDescent="0.25">
      <c r="B155" s="395" t="str">
        <f>CONCATENATE('Porra Mundial'!F87,"-",'Porra Mundial'!K87)</f>
        <v>W61-W62</v>
      </c>
      <c r="C155" s="399" t="str">
        <f>CONCATENATE('Porra Mundial'!F87,"-",'Porra Mundial'!K87,"· ",IF('Porra Mundial'!H87&gt;'Porra Mundial'!I87,1,IF('Porra Mundial'!H87&lt;'Porra Mundial'!I87,2,IF(AND('Porra Mundial'!H87='Porra Mundial'!I87,'Porra Mundial'!H87&lt;&gt;"",'Porra Mundial'!I87&lt;&gt;""),"X",0))),"|",'Porra Mundial'!H87,"-",'Porra Mundial'!I87)</f>
        <v>W61-W62· 0|-</v>
      </c>
    </row>
    <row r="156" spans="2:3" x14ac:dyDescent="0.25">
      <c r="C156" s="399"/>
    </row>
    <row r="157" spans="2:3" ht="18.75" x14ac:dyDescent="0.3">
      <c r="B157" s="397" t="s">
        <v>91</v>
      </c>
      <c r="C157" s="399"/>
    </row>
    <row r="158" spans="2:3" x14ac:dyDescent="0.25">
      <c r="B158" s="395" t="s">
        <v>128</v>
      </c>
      <c r="C158" s="399" t="str">
        <f>'Porra Mundial'!F89</f>
        <v>W64</v>
      </c>
    </row>
    <row r="159" spans="2:3" x14ac:dyDescent="0.25">
      <c r="B159" s="395" t="s">
        <v>131</v>
      </c>
      <c r="C159" s="399" t="str">
        <f>'Porra Mundial'!F90</f>
        <v>L64</v>
      </c>
    </row>
    <row r="160" spans="2:3" x14ac:dyDescent="0.25">
      <c r="B160" s="395" t="s">
        <v>132</v>
      </c>
      <c r="C160" s="399" t="str">
        <f>'Porra Mundial'!F91</f>
        <v>W63</v>
      </c>
    </row>
    <row r="161" spans="2:3" x14ac:dyDescent="0.25">
      <c r="B161" s="395" t="s">
        <v>133</v>
      </c>
      <c r="C161" s="399" t="str">
        <f>'Porra Mundial'!F93</f>
        <v>Escribe un jugador</v>
      </c>
    </row>
    <row r="162" spans="2:3" x14ac:dyDescent="0.25">
      <c r="B162" s="395" t="s">
        <v>134</v>
      </c>
      <c r="C162" s="399" t="str">
        <f>'Porra Mundial'!F94</f>
        <v>Escribe un jugador</v>
      </c>
    </row>
    <row r="163" spans="2:3" x14ac:dyDescent="0.25">
      <c r="B163" s="395" t="s">
        <v>135</v>
      </c>
      <c r="C163" s="399" t="str">
        <f>'Porra Mundial'!F95</f>
        <v>Escribe un jugador</v>
      </c>
    </row>
    <row r="164" spans="2:3" x14ac:dyDescent="0.25">
      <c r="B164" s="395" t="s">
        <v>136</v>
      </c>
      <c r="C164" s="399" t="str">
        <f>'Porra Mundial'!F97</f>
        <v>Escribe un jugador</v>
      </c>
    </row>
    <row r="165" spans="2:3" x14ac:dyDescent="0.25">
      <c r="B165" s="395" t="s">
        <v>137</v>
      </c>
      <c r="C165" s="399" t="str">
        <f>'Porra Mundial'!F98</f>
        <v>Escribe un jugador</v>
      </c>
    </row>
    <row r="166" spans="2:3" x14ac:dyDescent="0.25">
      <c r="B166" s="395" t="s">
        <v>138</v>
      </c>
      <c r="C166" s="399" t="str">
        <f>'Porra Mundial'!F99</f>
        <v>Escribe un jugador</v>
      </c>
    </row>
    <row r="167" spans="2:3" x14ac:dyDescent="0.25"/>
    <row r="168" spans="2:3" x14ac:dyDescent="0.25"/>
  </sheetData>
  <sheetProtection sheet="1" objects="1" scenarios="1" selectLockedCells="1"/>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8"/>
  <sheetViews>
    <sheetView showRowColHeaders="0" workbookViewId="0"/>
  </sheetViews>
  <sheetFormatPr baseColWidth="10" defaultColWidth="10.85546875" defaultRowHeight="15" x14ac:dyDescent="0.25"/>
  <cols>
    <col min="1" max="1" width="6" style="1" customWidth="1"/>
    <col min="2" max="2" width="7.42578125" style="1" customWidth="1"/>
    <col min="3" max="6" width="10.85546875" style="1"/>
    <col min="7" max="7" width="39.7109375" style="1" customWidth="1"/>
    <col min="8" max="16384" width="10.85546875" style="1"/>
  </cols>
  <sheetData>
    <row r="1" spans="1:7" x14ac:dyDescent="0.25">
      <c r="A1" s="2"/>
      <c r="B1" s="2"/>
      <c r="C1" s="498"/>
      <c r="D1" s="498"/>
      <c r="E1" s="498"/>
      <c r="F1" s="498"/>
      <c r="G1" s="498"/>
    </row>
    <row r="2" spans="1:7" x14ac:dyDescent="0.25">
      <c r="A2" s="499"/>
      <c r="B2" s="500" t="s">
        <v>222</v>
      </c>
      <c r="C2" s="501"/>
      <c r="D2" s="501"/>
      <c r="E2" s="501"/>
      <c r="F2" s="501"/>
      <c r="G2" s="501"/>
    </row>
    <row r="3" spans="1:7" x14ac:dyDescent="0.25">
      <c r="A3" s="2"/>
      <c r="B3" s="568" t="s">
        <v>223</v>
      </c>
      <c r="C3" s="568"/>
      <c r="D3" s="568"/>
      <c r="E3" s="568"/>
      <c r="F3" s="568"/>
      <c r="G3" s="568"/>
    </row>
    <row r="4" spans="1:7" x14ac:dyDescent="0.25">
      <c r="A4" s="2"/>
      <c r="B4" s="568"/>
      <c r="C4" s="568"/>
      <c r="D4" s="568"/>
      <c r="E4" s="568"/>
      <c r="F4" s="568"/>
      <c r="G4" s="568"/>
    </row>
    <row r="5" spans="1:7" x14ac:dyDescent="0.25">
      <c r="A5" s="2"/>
      <c r="B5" s="568"/>
      <c r="C5" s="568"/>
      <c r="D5" s="568"/>
      <c r="E5" s="568"/>
      <c r="F5" s="568"/>
      <c r="G5" s="568"/>
    </row>
    <row r="6" spans="1:7" x14ac:dyDescent="0.25">
      <c r="A6" s="2"/>
      <c r="B6" s="568"/>
      <c r="C6" s="568"/>
      <c r="D6" s="568"/>
      <c r="E6" s="568"/>
      <c r="F6" s="568"/>
      <c r="G6" s="568"/>
    </row>
    <row r="7" spans="1:7" x14ac:dyDescent="0.25">
      <c r="A7" s="2"/>
      <c r="B7" s="568"/>
      <c r="C7" s="568"/>
      <c r="D7" s="568"/>
      <c r="E7" s="568"/>
      <c r="F7" s="568"/>
      <c r="G7" s="568"/>
    </row>
    <row r="8" spans="1:7" x14ac:dyDescent="0.25">
      <c r="A8" s="2"/>
      <c r="B8" s="568"/>
      <c r="C8" s="568"/>
      <c r="D8" s="568"/>
      <c r="E8" s="568"/>
      <c r="F8" s="568"/>
      <c r="G8" s="568"/>
    </row>
    <row r="9" spans="1:7" x14ac:dyDescent="0.25">
      <c r="A9" s="2"/>
      <c r="B9" s="568"/>
      <c r="C9" s="568"/>
      <c r="D9" s="568"/>
      <c r="E9" s="568"/>
      <c r="F9" s="568"/>
      <c r="G9" s="568"/>
    </row>
    <row r="10" spans="1:7" x14ac:dyDescent="0.25">
      <c r="A10" s="2"/>
      <c r="B10" s="568"/>
      <c r="C10" s="568"/>
      <c r="D10" s="568"/>
      <c r="E10" s="568"/>
      <c r="F10" s="568"/>
      <c r="G10" s="568"/>
    </row>
    <row r="11" spans="1:7" x14ac:dyDescent="0.25">
      <c r="A11" s="2"/>
      <c r="B11" s="568"/>
      <c r="C11" s="568"/>
      <c r="D11" s="568"/>
      <c r="E11" s="568"/>
      <c r="F11" s="568"/>
      <c r="G11" s="568"/>
    </row>
    <row r="12" spans="1:7" x14ac:dyDescent="0.25">
      <c r="A12" s="2"/>
      <c r="B12" s="568"/>
      <c r="C12" s="568"/>
      <c r="D12" s="568"/>
      <c r="E12" s="568"/>
      <c r="F12" s="568"/>
      <c r="G12" s="568"/>
    </row>
    <row r="13" spans="1:7" x14ac:dyDescent="0.25">
      <c r="A13" s="2"/>
      <c r="B13" s="502"/>
      <c r="C13" s="502"/>
      <c r="D13" s="502"/>
      <c r="E13" s="502"/>
      <c r="F13" s="502"/>
      <c r="G13" s="502"/>
    </row>
    <row r="14" spans="1:7" x14ac:dyDescent="0.25">
      <c r="A14" s="2"/>
      <c r="B14" s="503" t="s">
        <v>224</v>
      </c>
      <c r="C14" s="504" t="s">
        <v>225</v>
      </c>
      <c r="D14" s="505"/>
      <c r="E14" s="505"/>
      <c r="F14" s="502"/>
      <c r="G14" s="502"/>
    </row>
    <row r="15" spans="1:7" x14ac:dyDescent="0.25">
      <c r="A15" s="2"/>
      <c r="B15" s="501" t="s">
        <v>226</v>
      </c>
      <c r="C15" s="501"/>
      <c r="D15" s="501"/>
      <c r="E15" s="501"/>
      <c r="F15" s="498"/>
      <c r="G15" s="498"/>
    </row>
    <row r="16" spans="1:7" x14ac:dyDescent="0.25">
      <c r="A16" s="2"/>
      <c r="B16" s="506" t="s">
        <v>227</v>
      </c>
      <c r="C16" s="499"/>
      <c r="D16" s="499"/>
      <c r="E16" s="499"/>
      <c r="F16" s="2"/>
      <c r="G16" s="2"/>
    </row>
    <row r="17" spans="1:7" x14ac:dyDescent="0.25">
      <c r="A17" s="2"/>
      <c r="B17" s="2"/>
      <c r="C17" s="2"/>
      <c r="D17" s="2"/>
      <c r="E17" s="2"/>
      <c r="F17" s="2"/>
      <c r="G17" s="2"/>
    </row>
    <row r="18" spans="1:7" x14ac:dyDescent="0.25">
      <c r="A18" s="2"/>
      <c r="B18" s="507" t="s">
        <v>228</v>
      </c>
      <c r="C18" s="2"/>
      <c r="D18" s="2"/>
      <c r="E18" s="2"/>
      <c r="F18" s="2"/>
      <c r="G18" s="2"/>
    </row>
  </sheetData>
  <sheetProtection password="9663" sheet="1" objects="1" scenarios="1" selectLockedCells="1" selectUnlockedCells="1"/>
  <mergeCells count="1">
    <mergeCell ref="B3:G12"/>
  </mergeCells>
  <hyperlinks>
    <hyperlink ref="C14" r:id="rId1" xr:uid="{00000000-0004-0000-0400-000000000000}"/>
    <hyperlink ref="B16" r:id="rId2" xr:uid="{00000000-0004-0000-0400-000001000000}"/>
    <hyperlink ref="B18" r:id="rId3" xr:uid="{00000000-0004-0000-0400-000002000000}"/>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2</vt:i4>
      </vt:variant>
    </vt:vector>
  </HeadingPairs>
  <TitlesOfParts>
    <vt:vector size="6" baseType="lpstr">
      <vt:lpstr>Inicio</vt:lpstr>
      <vt:lpstr>Porra Mundial</vt:lpstr>
      <vt:lpstr>La Apuesta</vt:lpstr>
      <vt:lpstr>Creditos</vt:lpstr>
      <vt:lpstr>·······</vt:lpstr>
      <vt:lpstr>gwgvftwvn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ludwin.ayala</cp:lastModifiedBy>
  <dcterms:created xsi:type="dcterms:W3CDTF">2015-10-31T09:41:54Z</dcterms:created>
  <dcterms:modified xsi:type="dcterms:W3CDTF">2018-06-14T14:24:14Z</dcterms:modified>
</cp:coreProperties>
</file>